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erver24\бухгалтерия\экономисты\2026\ШКОЛЫ\Школа № 1\Расчеты\"/>
    </mc:Choice>
  </mc:AlternateContent>
  <bookViews>
    <workbookView xWindow="-120" yWindow="-120" windowWidth="24240" windowHeight="13140" activeTab="4"/>
  </bookViews>
  <sheets>
    <sheet name="Лист1" sheetId="1" r:id="rId1"/>
    <sheet name="Лист2" sheetId="9" r:id="rId2"/>
    <sheet name="Лист3" sheetId="10" r:id="rId3"/>
    <sheet name="Лист4" sheetId="11" r:id="rId4"/>
    <sheet name="Лист5" sheetId="12" r:id="rId5"/>
    <sheet name="Коммуналка" sheetId="13" r:id="rId6"/>
    <sheet name="Обязательные платежи" sheetId="14" r:id="rId7"/>
  </sheets>
  <definedNames>
    <definedName name="_xlnm._FilterDatabase" localSheetId="6" hidden="1">'Обязательные платежи'!$B$3:$S$3</definedName>
    <definedName name="_xlnm.Print_Area" localSheetId="5">Коммуналка!$A$1:$Y$39</definedName>
    <definedName name="_xlnm.Print_Area" localSheetId="0">Лист1!$A$1:$EA$44</definedName>
    <definedName name="_xlnm.Print_Area" localSheetId="1">Лист2!$A$1:$F$69</definedName>
    <definedName name="_xlnm.Print_Area" localSheetId="2">Лист3!$A$1:$E$111</definedName>
    <definedName name="_xlnm.Print_Area" localSheetId="3">Лист4!$A$1:$F$94</definedName>
    <definedName name="_xlnm.Print_Area" localSheetId="4">Лист5!$A$1:$E$88</definedName>
  </definedNames>
  <calcPr calcId="162913"/>
</workbook>
</file>

<file path=xl/calcChain.xml><?xml version="1.0" encoding="utf-8"?>
<calcChain xmlns="http://schemas.openxmlformats.org/spreadsheetml/2006/main">
  <c r="F73" i="11" l="1"/>
  <c r="F67" i="11"/>
  <c r="F66" i="11"/>
  <c r="F65" i="11"/>
  <c r="H67" i="11" l="1"/>
  <c r="H66" i="11"/>
  <c r="H65" i="11"/>
  <c r="G67" i="11"/>
  <c r="G66" i="11"/>
  <c r="G65" i="11"/>
  <c r="H20" i="11" l="1"/>
  <c r="H43" i="11" l="1"/>
  <c r="G43" i="11"/>
  <c r="H9" i="11" l="1"/>
  <c r="G9" i="11"/>
  <c r="H11" i="11"/>
  <c r="G11" i="11"/>
  <c r="N14" i="14"/>
  <c r="F5" i="12"/>
  <c r="G5" i="12"/>
  <c r="H5" i="12" l="1"/>
  <c r="H76" i="11"/>
  <c r="H75" i="11" l="1"/>
  <c r="G94" i="10"/>
  <c r="G40" i="12"/>
  <c r="F40" i="12"/>
  <c r="E40" i="12"/>
  <c r="F63" i="11"/>
  <c r="H90" i="10"/>
  <c r="I90" i="10"/>
  <c r="H91" i="10"/>
  <c r="I91" i="10"/>
  <c r="H92" i="10"/>
  <c r="I92" i="10"/>
  <c r="H93" i="10"/>
  <c r="I93" i="10"/>
  <c r="H94" i="10"/>
  <c r="I94" i="10"/>
  <c r="I96" i="10" s="1"/>
  <c r="H95" i="10"/>
  <c r="I95" i="10"/>
  <c r="E92" i="10"/>
  <c r="E89" i="10"/>
  <c r="E83" i="10"/>
  <c r="E96" i="10"/>
  <c r="E84" i="10"/>
  <c r="H46" i="11" l="1"/>
  <c r="E67" i="10" l="1"/>
  <c r="H49" i="11" l="1"/>
  <c r="H47" i="11"/>
  <c r="H48" i="11"/>
  <c r="H85" i="10" l="1"/>
  <c r="G85" i="10" l="1"/>
  <c r="F85" i="10"/>
  <c r="E85" i="10" l="1"/>
  <c r="I85" i="10" s="1"/>
  <c r="H70" i="11" l="1"/>
  <c r="M6" i="14"/>
  <c r="H50" i="11" l="1"/>
  <c r="M14" i="14" l="1"/>
  <c r="H39" i="11" l="1"/>
  <c r="E33" i="12" l="1"/>
  <c r="H27" i="11" l="1"/>
  <c r="E11" i="12" l="1"/>
  <c r="H8" i="12"/>
  <c r="I8" i="12"/>
  <c r="H9" i="12"/>
  <c r="I9" i="12"/>
  <c r="E5" i="12"/>
  <c r="G83" i="10"/>
  <c r="H78" i="11"/>
  <c r="G8" i="10" l="1"/>
  <c r="F8" i="10"/>
  <c r="G7" i="10"/>
  <c r="F7" i="10"/>
  <c r="L6" i="14" l="1"/>
  <c r="I42" i="11" l="1"/>
  <c r="J42" i="11"/>
  <c r="I43" i="11"/>
  <c r="J43" i="11"/>
  <c r="K14" i="14" l="1"/>
  <c r="L14" i="14"/>
  <c r="F83" i="10" l="1"/>
  <c r="F18" i="14"/>
  <c r="S18" i="14" s="1"/>
  <c r="F69" i="11" l="1"/>
  <c r="G58" i="12" l="1"/>
  <c r="F58" i="12"/>
  <c r="E58" i="12"/>
  <c r="F62" i="11"/>
  <c r="F39" i="11"/>
  <c r="F59" i="11"/>
  <c r="H41" i="12" l="1"/>
  <c r="I41" i="12"/>
  <c r="H42" i="12"/>
  <c r="I42" i="12"/>
  <c r="H43" i="12"/>
  <c r="I43" i="12"/>
  <c r="F72" i="11" l="1"/>
  <c r="G66" i="10" l="1"/>
  <c r="G65" i="10"/>
  <c r="G64" i="10"/>
  <c r="H72" i="11" l="1"/>
  <c r="G72" i="11"/>
  <c r="H44" i="11" l="1"/>
  <c r="H73" i="11" l="1"/>
  <c r="I52" i="11" l="1"/>
  <c r="J52" i="11"/>
  <c r="G75" i="12"/>
  <c r="F46" i="11"/>
  <c r="F49" i="11"/>
  <c r="H59" i="12"/>
  <c r="I59" i="12"/>
  <c r="H60" i="12"/>
  <c r="H7" i="12"/>
  <c r="I7" i="12"/>
  <c r="H10" i="11" l="1"/>
  <c r="K6" i="14"/>
  <c r="G12" i="12" l="1"/>
  <c r="F12" i="12"/>
  <c r="J14" i="14" l="1"/>
  <c r="F66" i="10" l="1"/>
  <c r="F65" i="10"/>
  <c r="F64" i="10"/>
  <c r="H12" i="11" l="1"/>
  <c r="H13" i="11" s="1"/>
  <c r="J6" i="14"/>
  <c r="I6" i="14"/>
  <c r="T7" i="13"/>
  <c r="U7" i="13"/>
  <c r="I14" i="14" l="1"/>
  <c r="F16" i="14" l="1"/>
  <c r="S16" i="14" s="1"/>
  <c r="G73" i="11"/>
  <c r="J61" i="11" l="1"/>
  <c r="I61" i="11"/>
  <c r="F68" i="11"/>
  <c r="I5" i="14" l="1"/>
  <c r="E95" i="10" l="1"/>
  <c r="E78" i="10"/>
  <c r="E80" i="12" l="1"/>
  <c r="F17" i="14" l="1"/>
  <c r="S17" i="14" s="1"/>
  <c r="G12" i="11" l="1"/>
  <c r="G39" i="11"/>
  <c r="K11" i="11"/>
  <c r="H14" i="14"/>
  <c r="F22" i="14" l="1"/>
  <c r="S22" i="14" s="1"/>
  <c r="F21" i="14"/>
  <c r="S21" i="14" s="1"/>
  <c r="J37" i="11" l="1"/>
  <c r="I37" i="11"/>
  <c r="F10" i="11"/>
  <c r="H5" i="14" l="1"/>
  <c r="J64" i="11" l="1"/>
  <c r="I64" i="11"/>
  <c r="F27" i="11"/>
  <c r="E6" i="12" l="1"/>
  <c r="E12" i="12" s="1"/>
  <c r="K9" i="11"/>
  <c r="F12" i="14" l="1"/>
  <c r="S12" i="14" s="1"/>
  <c r="Q6" i="13"/>
  <c r="W6" i="13" s="1"/>
  <c r="Q7" i="13"/>
  <c r="W7" i="13" s="1"/>
  <c r="V7" i="13" s="1"/>
  <c r="X7" i="13" s="1"/>
  <c r="Q8" i="13"/>
  <c r="W8" i="13" s="1"/>
  <c r="Q9" i="13"/>
  <c r="W9" i="13" s="1"/>
  <c r="Q10" i="13"/>
  <c r="W10" i="13" s="1"/>
  <c r="Q11" i="13"/>
  <c r="W11" i="13" s="1"/>
  <c r="Q12" i="13"/>
  <c r="W12" i="13" s="1"/>
  <c r="Q13" i="13"/>
  <c r="W13" i="13" s="1"/>
  <c r="Q14" i="13"/>
  <c r="W14" i="13" s="1"/>
  <c r="Q15" i="13"/>
  <c r="W15" i="13" s="1"/>
  <c r="Q16" i="13"/>
  <c r="W16" i="13" s="1"/>
  <c r="H6" i="14"/>
  <c r="E60" i="12"/>
  <c r="I60" i="12" s="1"/>
  <c r="I60" i="11" l="1"/>
  <c r="I62" i="11"/>
  <c r="I63" i="11"/>
  <c r="I75" i="11"/>
  <c r="I65" i="11"/>
  <c r="I66" i="11"/>
  <c r="I67" i="11"/>
  <c r="G14" i="14" l="1"/>
  <c r="F44" i="11" l="1"/>
  <c r="F34" i="11"/>
  <c r="F19" i="14"/>
  <c r="S19" i="14" s="1"/>
  <c r="H68" i="11" l="1"/>
  <c r="G68" i="11"/>
  <c r="G79" i="11" s="1"/>
  <c r="F24" i="14"/>
  <c r="S24" i="14" s="1"/>
  <c r="F41" i="11" l="1"/>
  <c r="F60" i="11" l="1"/>
  <c r="F70" i="11"/>
  <c r="I45" i="12" l="1"/>
  <c r="G45" i="12"/>
  <c r="F45" i="12"/>
  <c r="J60" i="11"/>
  <c r="J62" i="11"/>
  <c r="J63" i="11"/>
  <c r="J75" i="11"/>
  <c r="J65" i="11"/>
  <c r="J66" i="11"/>
  <c r="J67" i="11"/>
  <c r="J68" i="11"/>
  <c r="J69" i="11"/>
  <c r="J70" i="11"/>
  <c r="E45" i="12"/>
  <c r="G44" i="12"/>
  <c r="F44" i="12"/>
  <c r="E44" i="12" l="1"/>
  <c r="F50" i="11"/>
  <c r="F54" i="11" s="1"/>
  <c r="J71" i="11"/>
  <c r="J72" i="11"/>
  <c r="J73" i="11"/>
  <c r="J74" i="11"/>
  <c r="J76" i="11"/>
  <c r="J77" i="11"/>
  <c r="H73" i="12" l="1"/>
  <c r="H72" i="12"/>
  <c r="H71" i="12"/>
  <c r="H70" i="12"/>
  <c r="H69" i="12"/>
  <c r="H61" i="12"/>
  <c r="H58" i="12"/>
  <c r="H51" i="12"/>
  <c r="H50" i="12"/>
  <c r="H45" i="12"/>
  <c r="H40" i="12"/>
  <c r="H44" i="12" s="1"/>
  <c r="H34" i="12"/>
  <c r="H33" i="12"/>
  <c r="H32" i="12"/>
  <c r="H26" i="12"/>
  <c r="H25" i="12"/>
  <c r="H19" i="12"/>
  <c r="H18" i="12"/>
  <c r="H6" i="12"/>
  <c r="H10" i="12"/>
  <c r="I86" i="11"/>
  <c r="H88" i="10"/>
  <c r="H87" i="10"/>
  <c r="H86" i="10"/>
  <c r="H84" i="10"/>
  <c r="H83" i="10"/>
  <c r="H82" i="10"/>
  <c r="H81" i="10"/>
  <c r="H80" i="10"/>
  <c r="H79" i="10"/>
  <c r="H68" i="10"/>
  <c r="H67" i="10"/>
  <c r="H66" i="10"/>
  <c r="H65" i="10"/>
  <c r="H64" i="10"/>
  <c r="H54" i="10"/>
  <c r="H53" i="10"/>
  <c r="H32" i="10"/>
  <c r="H31" i="10"/>
  <c r="H30" i="10"/>
  <c r="H29" i="10"/>
  <c r="H20" i="10"/>
  <c r="H19" i="10"/>
  <c r="H18" i="10"/>
  <c r="H8" i="10"/>
  <c r="H9" i="10"/>
  <c r="H7" i="10"/>
  <c r="I38" i="9"/>
  <c r="I37" i="9"/>
  <c r="I36" i="9"/>
  <c r="I35" i="9"/>
  <c r="I34" i="9"/>
  <c r="I33" i="9"/>
  <c r="I32" i="9"/>
  <c r="I31" i="9"/>
  <c r="I30" i="9"/>
  <c r="I29" i="9"/>
  <c r="I20" i="9"/>
  <c r="I19" i="9"/>
  <c r="I10" i="9"/>
  <c r="I9" i="9"/>
  <c r="I8" i="9"/>
  <c r="I7" i="9"/>
  <c r="I89" i="11"/>
  <c r="I88" i="11"/>
  <c r="I87" i="11"/>
  <c r="I85" i="11"/>
  <c r="I78" i="11"/>
  <c r="I77" i="11"/>
  <c r="I76" i="11"/>
  <c r="I74" i="11"/>
  <c r="I73" i="11"/>
  <c r="I72" i="11"/>
  <c r="I71" i="11"/>
  <c r="I70" i="11"/>
  <c r="I69" i="11"/>
  <c r="I68" i="11"/>
  <c r="I59" i="11"/>
  <c r="I53" i="11"/>
  <c r="I51" i="11"/>
  <c r="I50" i="11"/>
  <c r="I49" i="11"/>
  <c r="I48" i="11"/>
  <c r="I47" i="11"/>
  <c r="I46" i="11"/>
  <c r="I45" i="11"/>
  <c r="I44" i="11"/>
  <c r="I41" i="11"/>
  <c r="I40" i="11"/>
  <c r="I39" i="11"/>
  <c r="I38" i="11"/>
  <c r="I36" i="11"/>
  <c r="I35" i="11"/>
  <c r="I34" i="11"/>
  <c r="I28" i="11"/>
  <c r="I27" i="11"/>
  <c r="I21" i="11"/>
  <c r="I20" i="11"/>
  <c r="I10" i="11"/>
  <c r="I11" i="11"/>
  <c r="I9" i="11"/>
  <c r="G6" i="14"/>
  <c r="Q5" i="13"/>
  <c r="W5" i="13" s="1"/>
  <c r="H12" i="12" l="1"/>
  <c r="J50" i="11"/>
  <c r="F7" i="14" l="1"/>
  <c r="S7" i="14" s="1"/>
  <c r="F8" i="14"/>
  <c r="S8" i="14" s="1"/>
  <c r="F9" i="14"/>
  <c r="S9" i="14" s="1"/>
  <c r="F10" i="14"/>
  <c r="S10" i="14" s="1"/>
  <c r="F11" i="14"/>
  <c r="S11" i="14" s="1"/>
  <c r="F13" i="14"/>
  <c r="S13" i="14" s="1"/>
  <c r="F15" i="14"/>
  <c r="F20" i="14"/>
  <c r="S20" i="14" s="1"/>
  <c r="F23" i="14"/>
  <c r="S23" i="14" s="1"/>
  <c r="F25" i="14"/>
  <c r="S25" i="14" s="1"/>
  <c r="F4" i="14"/>
  <c r="S4" i="14" s="1"/>
  <c r="S15" i="14" l="1"/>
  <c r="F14" i="14"/>
  <c r="S14" i="14" s="1"/>
  <c r="F5" i="14"/>
  <c r="S5" i="14" s="1"/>
  <c r="F6" i="14"/>
  <c r="S6" i="14" s="1"/>
  <c r="D37" i="13" l="1"/>
  <c r="E35" i="13"/>
  <c r="E34" i="13"/>
  <c r="E33" i="13"/>
  <c r="E32" i="13"/>
  <c r="E31" i="13"/>
  <c r="E30" i="13"/>
  <c r="E29" i="13"/>
  <c r="E28" i="13"/>
  <c r="E27" i="13"/>
  <c r="E26" i="13"/>
  <c r="E25" i="13"/>
  <c r="E24" i="13"/>
  <c r="E37" i="13" l="1"/>
  <c r="T6" i="13"/>
  <c r="U6" i="13"/>
  <c r="V6" i="13" s="1"/>
  <c r="X6" i="13" s="1"/>
  <c r="T8" i="13"/>
  <c r="U8" i="13"/>
  <c r="T9" i="13"/>
  <c r="U9" i="13"/>
  <c r="T10" i="13"/>
  <c r="U10" i="13"/>
  <c r="T11" i="13"/>
  <c r="U11" i="13"/>
  <c r="T12" i="13"/>
  <c r="U12" i="13"/>
  <c r="T13" i="13"/>
  <c r="U13" i="13"/>
  <c r="T14" i="13"/>
  <c r="U14" i="13"/>
  <c r="T15" i="13"/>
  <c r="U15" i="13"/>
  <c r="T16" i="13"/>
  <c r="U16" i="13"/>
  <c r="U5" i="13"/>
  <c r="T5" i="13"/>
  <c r="S18" i="13"/>
  <c r="V5" i="13" l="1"/>
  <c r="X5" i="13" s="1"/>
  <c r="V15" i="13"/>
  <c r="X15" i="13" s="1"/>
  <c r="V13" i="13"/>
  <c r="X13" i="13" s="1"/>
  <c r="V11" i="13"/>
  <c r="X11" i="13" s="1"/>
  <c r="V9" i="13"/>
  <c r="X9" i="13" s="1"/>
  <c r="V14" i="13"/>
  <c r="X14" i="13" s="1"/>
  <c r="V10" i="13"/>
  <c r="X10" i="13" s="1"/>
  <c r="V8" i="13"/>
  <c r="X8" i="13" s="1"/>
  <c r="V16" i="13"/>
  <c r="X16" i="13" s="1"/>
  <c r="V12" i="13"/>
  <c r="X12" i="13" s="1"/>
  <c r="T18" i="13"/>
  <c r="U18" i="13"/>
  <c r="R18" i="13"/>
  <c r="K18" i="13" l="1"/>
  <c r="L16" i="13"/>
  <c r="M16" i="13" s="1"/>
  <c r="L15" i="13"/>
  <c r="L14" i="13"/>
  <c r="L13" i="13"/>
  <c r="M13" i="13" s="1"/>
  <c r="L12" i="13"/>
  <c r="M12" i="13" s="1"/>
  <c r="L11" i="13"/>
  <c r="L10" i="13"/>
  <c r="L9" i="13"/>
  <c r="M9" i="13" s="1"/>
  <c r="L8" i="13"/>
  <c r="M8" i="13" s="1"/>
  <c r="L7" i="13"/>
  <c r="L6" i="13"/>
  <c r="L5" i="13"/>
  <c r="M5" i="13" s="1"/>
  <c r="M6" i="13" l="1"/>
  <c r="N6" i="13" s="1"/>
  <c r="M14" i="13"/>
  <c r="N14" i="13" s="1"/>
  <c r="M11" i="13"/>
  <c r="N11" i="13" s="1"/>
  <c r="M10" i="13"/>
  <c r="N10" i="13" s="1"/>
  <c r="M7" i="13"/>
  <c r="N7" i="13" s="1"/>
  <c r="M15" i="13"/>
  <c r="N15" i="13" s="1"/>
  <c r="W18" i="13"/>
  <c r="N9" i="13"/>
  <c r="N13" i="13"/>
  <c r="L18" i="13"/>
  <c r="N8" i="13"/>
  <c r="N12" i="13"/>
  <c r="N16" i="13"/>
  <c r="X18" i="13" l="1"/>
  <c r="V18" i="13"/>
  <c r="M18" i="13"/>
  <c r="N5" i="13"/>
  <c r="N18" i="13" s="1"/>
  <c r="E5" i="13" l="1"/>
  <c r="E11" i="13"/>
  <c r="F11" i="13" s="1"/>
  <c r="E12" i="13"/>
  <c r="E13" i="13"/>
  <c r="F13" i="13" s="1"/>
  <c r="E14" i="13"/>
  <c r="F14" i="13" s="1"/>
  <c r="E15" i="13"/>
  <c r="E16" i="13"/>
  <c r="E10" i="13"/>
  <c r="E9" i="13"/>
  <c r="F9" i="13" s="1"/>
  <c r="E8" i="13"/>
  <c r="E7" i="13"/>
  <c r="E6" i="13"/>
  <c r="F6" i="13" s="1"/>
  <c r="D18" i="13"/>
  <c r="F96" i="10"/>
  <c r="BW44" i="1"/>
  <c r="F11" i="9"/>
  <c r="F10" i="13" l="1"/>
  <c r="G10" i="13"/>
  <c r="F5" i="13"/>
  <c r="G5" i="13" s="1"/>
  <c r="F7" i="13"/>
  <c r="G7" i="13" s="1"/>
  <c r="F16" i="13"/>
  <c r="G16" i="13" s="1"/>
  <c r="F12" i="13"/>
  <c r="G12" i="13" s="1"/>
  <c r="F8" i="13"/>
  <c r="G8" i="13" s="1"/>
  <c r="F15" i="13"/>
  <c r="G15" i="13" s="1"/>
  <c r="G11" i="13"/>
  <c r="G6" i="13"/>
  <c r="G14" i="13"/>
  <c r="E18" i="13"/>
  <c r="G9" i="13"/>
  <c r="G13" i="13"/>
  <c r="G74" i="12"/>
  <c r="F75" i="12"/>
  <c r="F74" i="12"/>
  <c r="E75" i="12"/>
  <c r="E74" i="12"/>
  <c r="I73" i="12"/>
  <c r="I72" i="12"/>
  <c r="H75" i="12"/>
  <c r="I71" i="12"/>
  <c r="I70" i="12"/>
  <c r="I69" i="12"/>
  <c r="G63" i="12"/>
  <c r="F63" i="12"/>
  <c r="E63" i="12"/>
  <c r="I61" i="12"/>
  <c r="I58" i="12"/>
  <c r="G52" i="12"/>
  <c r="F52" i="12"/>
  <c r="E52" i="12"/>
  <c r="I51" i="12"/>
  <c r="I50" i="12"/>
  <c r="I40" i="12"/>
  <c r="I44" i="12" s="1"/>
  <c r="I33" i="12"/>
  <c r="I34" i="12"/>
  <c r="G35" i="12"/>
  <c r="F35" i="12"/>
  <c r="E35" i="12"/>
  <c r="I32" i="12"/>
  <c r="G27" i="12"/>
  <c r="F27" i="12"/>
  <c r="E27" i="12"/>
  <c r="I26" i="12"/>
  <c r="I25" i="12"/>
  <c r="I19" i="12"/>
  <c r="G20" i="12"/>
  <c r="E20" i="12"/>
  <c r="F20" i="12"/>
  <c r="I18" i="12"/>
  <c r="G11" i="12"/>
  <c r="F11" i="12"/>
  <c r="I6" i="12"/>
  <c r="I10" i="12"/>
  <c r="I5" i="12"/>
  <c r="J86" i="11"/>
  <c r="J87" i="11"/>
  <c r="J88" i="11"/>
  <c r="J89" i="11"/>
  <c r="H90" i="11"/>
  <c r="G90" i="11"/>
  <c r="F90" i="11"/>
  <c r="J85" i="11"/>
  <c r="H79" i="11"/>
  <c r="F79" i="11"/>
  <c r="H80" i="11"/>
  <c r="G80" i="11"/>
  <c r="F80" i="11"/>
  <c r="E77" i="12" s="1"/>
  <c r="J78" i="11"/>
  <c r="J80" i="11" s="1"/>
  <c r="I80" i="11"/>
  <c r="J59" i="11"/>
  <c r="J48" i="11"/>
  <c r="J49" i="11"/>
  <c r="J51" i="11"/>
  <c r="J53" i="11"/>
  <c r="J35" i="11"/>
  <c r="J36" i="11"/>
  <c r="J38" i="11"/>
  <c r="J39" i="11"/>
  <c r="J40" i="11"/>
  <c r="J41" i="11"/>
  <c r="J44" i="11"/>
  <c r="J45" i="11"/>
  <c r="J46" i="11"/>
  <c r="J47" i="11"/>
  <c r="H54" i="11"/>
  <c r="G54" i="11"/>
  <c r="J34" i="11"/>
  <c r="H29" i="11"/>
  <c r="G29" i="11"/>
  <c r="F29" i="11"/>
  <c r="J28" i="11"/>
  <c r="J27" i="11"/>
  <c r="H22" i="11"/>
  <c r="G22" i="11"/>
  <c r="F22" i="11"/>
  <c r="J21" i="11"/>
  <c r="J20" i="11"/>
  <c r="J11" i="11"/>
  <c r="J10" i="11"/>
  <c r="J9" i="11"/>
  <c r="F12" i="11"/>
  <c r="G13" i="11" s="1"/>
  <c r="E107" i="10"/>
  <c r="E81" i="12" s="1"/>
  <c r="I81" i="10"/>
  <c r="I82" i="10"/>
  <c r="I83" i="10"/>
  <c r="I84" i="10"/>
  <c r="I86" i="10"/>
  <c r="I87" i="10"/>
  <c r="I88" i="10"/>
  <c r="G96" i="10"/>
  <c r="I80" i="10"/>
  <c r="I79" i="10"/>
  <c r="H96" i="10"/>
  <c r="F82" i="12" l="1"/>
  <c r="I75" i="12"/>
  <c r="I12" i="12"/>
  <c r="I79" i="11"/>
  <c r="H74" i="12"/>
  <c r="I74" i="12"/>
  <c r="I52" i="12"/>
  <c r="H63" i="12"/>
  <c r="I90" i="11"/>
  <c r="J90" i="11"/>
  <c r="G18" i="13"/>
  <c r="F18" i="13"/>
  <c r="I63" i="12"/>
  <c r="J79" i="11"/>
  <c r="H52" i="12"/>
  <c r="H27" i="12"/>
  <c r="H20" i="12"/>
  <c r="I27" i="12"/>
  <c r="H35" i="12"/>
  <c r="I20" i="12"/>
  <c r="I35" i="12"/>
  <c r="I11" i="12"/>
  <c r="H11" i="12"/>
  <c r="I29" i="11"/>
  <c r="I22" i="11"/>
  <c r="I54" i="11"/>
  <c r="J54" i="11"/>
  <c r="J12" i="11"/>
  <c r="J29" i="11"/>
  <c r="I12" i="11"/>
  <c r="J22" i="11"/>
  <c r="I65" i="10" l="1"/>
  <c r="I66" i="10"/>
  <c r="I67" i="10"/>
  <c r="I68" i="10"/>
  <c r="E69" i="10"/>
  <c r="G69" i="10"/>
  <c r="F69" i="10"/>
  <c r="I64" i="10"/>
  <c r="J30" i="9"/>
  <c r="J31" i="9"/>
  <c r="J32" i="9"/>
  <c r="J33" i="9"/>
  <c r="J34" i="9"/>
  <c r="J35" i="9"/>
  <c r="J36" i="9"/>
  <c r="J37" i="9"/>
  <c r="J38" i="9"/>
  <c r="E55" i="10"/>
  <c r="G55" i="10"/>
  <c r="F55" i="10"/>
  <c r="I54" i="10"/>
  <c r="I53" i="10"/>
  <c r="H55" i="10" l="1"/>
  <c r="I55" i="10"/>
  <c r="H69" i="10"/>
  <c r="I69" i="10"/>
  <c r="E42" i="10" l="1"/>
  <c r="E33" i="10"/>
  <c r="I31" i="10"/>
  <c r="I32" i="10"/>
  <c r="G33" i="10"/>
  <c r="F33" i="10"/>
  <c r="I30" i="10"/>
  <c r="I29" i="10"/>
  <c r="G21" i="10"/>
  <c r="F21" i="10"/>
  <c r="I20" i="10"/>
  <c r="I19" i="10"/>
  <c r="I18" i="10"/>
  <c r="G10" i="10"/>
  <c r="F10" i="10"/>
  <c r="I8" i="10"/>
  <c r="I9" i="10"/>
  <c r="I7" i="10"/>
  <c r="E21" i="10"/>
  <c r="E10" i="10"/>
  <c r="E78" i="12" l="1"/>
  <c r="E76" i="12" s="1"/>
  <c r="H33" i="10"/>
  <c r="I21" i="10"/>
  <c r="I33" i="10"/>
  <c r="I10" i="10"/>
  <c r="H10" i="10"/>
  <c r="H21" i="10"/>
  <c r="H39" i="9"/>
  <c r="G39" i="9"/>
  <c r="F39" i="9"/>
  <c r="I39" i="9"/>
  <c r="J29" i="9"/>
  <c r="J39" i="9" s="1"/>
  <c r="G21" i="9" l="1"/>
  <c r="H21" i="9"/>
  <c r="H11" i="9"/>
  <c r="G11" i="9"/>
  <c r="J20" i="9"/>
  <c r="J19" i="9"/>
  <c r="F21" i="9"/>
  <c r="E79" i="12" s="1"/>
  <c r="E82" i="12" s="1"/>
  <c r="J21" i="9" l="1"/>
  <c r="I21" i="9"/>
  <c r="J8" i="9"/>
  <c r="J9" i="9"/>
  <c r="J10" i="9"/>
  <c r="J7" i="9"/>
  <c r="U44" i="1"/>
  <c r="I11" i="9" l="1"/>
  <c r="J11" i="9"/>
  <c r="DW8" i="1" l="1"/>
  <c r="EA17" i="1"/>
  <c r="EA20" i="1"/>
  <c r="AG44" i="1"/>
</calcChain>
</file>

<file path=xl/sharedStrings.xml><?xml version="1.0" encoding="utf-8"?>
<sst xmlns="http://schemas.openxmlformats.org/spreadsheetml/2006/main" count="696" uniqueCount="376">
  <si>
    <t>Приложение № 2</t>
  </si>
  <si>
    <t>к Требованиям к плану финансово-хозяйственной</t>
  </si>
  <si>
    <t>деятельности государственного (муниципального) учреждения,</t>
  </si>
  <si>
    <t>утв. приказом Минфина России от 28 июля 2010 г. № 81н</t>
  </si>
  <si>
    <t>1. Расчеты (обоснования) выплат персоналу (строка 210)</t>
  </si>
  <si>
    <t>Код видов расходов</t>
  </si>
  <si>
    <t>Источник финансового обеспечения</t>
  </si>
  <si>
    <t>Субсидия на выполнение муниципального задания</t>
  </si>
  <si>
    <t>1.1. Расчеты (обоснования) расходов на оплату труда</t>
  </si>
  <si>
    <t>№</t>
  </si>
  <si>
    <t>Должность,</t>
  </si>
  <si>
    <t>Установленная</t>
  </si>
  <si>
    <t>Среднемесячный размер оплаты труда на одного работника, руб.</t>
  </si>
  <si>
    <t>Ежемесячная</t>
  </si>
  <si>
    <t>Районный</t>
  </si>
  <si>
    <t>Фонд оплаты</t>
  </si>
  <si>
    <t>ФОТ в мес.яц (без стимул)</t>
  </si>
  <si>
    <t>ФОТ В ГОД БЕЗ СТИМУЛИР</t>
  </si>
  <si>
    <t>норма в мес с учетом средней оплаты</t>
  </si>
  <si>
    <t>норма в год с учетом средней</t>
  </si>
  <si>
    <t>Фонд стимулирующие в год</t>
  </si>
  <si>
    <t>стимулирующ на чел</t>
  </si>
  <si>
    <t>п/п</t>
  </si>
  <si>
    <t>группа</t>
  </si>
  <si>
    <t>численность,</t>
  </si>
  <si>
    <t>всего</t>
  </si>
  <si>
    <t>в том числе:</t>
  </si>
  <si>
    <t>надбавка к</t>
  </si>
  <si>
    <t>коэффициент</t>
  </si>
  <si>
    <t>труда в год, руб.</t>
  </si>
  <si>
    <t>должностей</t>
  </si>
  <si>
    <t>единиц</t>
  </si>
  <si>
    <t>по</t>
  </si>
  <si>
    <t>по выплатам</t>
  </si>
  <si>
    <t>должностному</t>
  </si>
  <si>
    <t>(гр. 3×гр. 4×</t>
  </si>
  <si>
    <t>компенсационного</t>
  </si>
  <si>
    <t>стимулирующего</t>
  </si>
  <si>
    <t>окладу, %</t>
  </si>
  <si>
    <t>(1+гр. 8/100)×</t>
  </si>
  <si>
    <t>окладу</t>
  </si>
  <si>
    <t>характера</t>
  </si>
  <si>
    <t>гр. 9×12)</t>
  </si>
  <si>
    <t>Итого:</t>
  </si>
  <si>
    <t>х</t>
  </si>
  <si>
    <t>1.2. Расчеты (обоснования) выплат персоналу при направлении в служебные командировки</t>
  </si>
  <si>
    <t>Наименование расходов</t>
  </si>
  <si>
    <t>Количество</t>
  </si>
  <si>
    <t>договор</t>
  </si>
  <si>
    <t>оплата</t>
  </si>
  <si>
    <t>остаток по проплате</t>
  </si>
  <si>
    <t>остаток для переброски</t>
  </si>
  <si>
    <t>Конпенсация ЖКУ</t>
  </si>
  <si>
    <t>фонд Российской Федерации, в Фонд социального страхования Российской Федерации,</t>
  </si>
  <si>
    <t>в Федеральный фонд обязательного медицинского страхования</t>
  </si>
  <si>
    <t>Наименование государственного внебюджетного фонда</t>
  </si>
  <si>
    <t>Страховые взносы в Пенсионный фонд Российской Федерации, всего</t>
  </si>
  <si>
    <t>по ставке 22,0 %</t>
  </si>
  <si>
    <t>по ставке 10,0 %</t>
  </si>
  <si>
    <t>3. Расчет (обоснование) расходов на уплату налогов, сборов и иных платежей</t>
  </si>
  <si>
    <t>остатки по проплатам</t>
  </si>
  <si>
    <t>3.1. Расчет (обоснование) расходов на уплату налогов, сборов и иных платежей</t>
  </si>
  <si>
    <t>3.2 Расчет (обоснование) расходов на уплату налогов, сборов и иных платежей</t>
  </si>
  <si>
    <t>Оплата за негативное воздействие на окружающую среду</t>
  </si>
  <si>
    <t>6. Расчет (обоснование) расходов на закупку товаров, работ, услуг в целях капитального ремонта</t>
  </si>
  <si>
    <t>Стоимость</t>
  </si>
  <si>
    <t>Итого</t>
  </si>
  <si>
    <t>Горячее питание РБ 244/226</t>
  </si>
  <si>
    <t>6. Расчет (обоснование) расходов на закупку товаров, работ, услуг</t>
  </si>
  <si>
    <t>Абонентская и повременная оплата телефонной связи</t>
  </si>
  <si>
    <t>Расходы за использование сети Интернет</t>
  </si>
  <si>
    <t>Оплата потребления электроэнергии</t>
  </si>
  <si>
    <t>Оплата водоснабжения и канализации</t>
  </si>
  <si>
    <t>Объект</t>
  </si>
  <si>
    <t>Профдезинфекция</t>
  </si>
  <si>
    <t>Измерение контуров заземления</t>
  </si>
  <si>
    <t>Техническое обслуживание системы видеонаблюдения</t>
  </si>
  <si>
    <t>Ремонт оргтехники</t>
  </si>
  <si>
    <t>Лабораторные исследования РосПотребнадзор</t>
  </si>
  <si>
    <t>Противопожарные мероприятия</t>
  </si>
  <si>
    <t>Подготовка экологической отчетности</t>
  </si>
  <si>
    <t>Обслуживание сайта учреждения</t>
  </si>
  <si>
    <t>Учеба</t>
  </si>
  <si>
    <t>Медицинский осмотр сотрудников</t>
  </si>
  <si>
    <t>Страхование детей во время перевозок</t>
  </si>
  <si>
    <t>Страхование водителя</t>
  </si>
  <si>
    <t>Страхование транспортных средств</t>
  </si>
  <si>
    <t>Итого МБ:</t>
  </si>
  <si>
    <t>Итого РБ:</t>
  </si>
  <si>
    <t>Масло</t>
  </si>
  <si>
    <t>Строительные материалы</t>
  </si>
  <si>
    <t>Итого на выполнение муниципального задания:</t>
  </si>
  <si>
    <t>в том числе за счет субвенции:</t>
  </si>
  <si>
    <t>в том числе за счет муниципального бюджета:</t>
  </si>
  <si>
    <t>ВСЕГО</t>
  </si>
  <si>
    <t>Классное руководство 119/213 ФБ</t>
  </si>
  <si>
    <t>112/226</t>
  </si>
  <si>
    <t>Классное руководство 111/211 ФБ</t>
  </si>
  <si>
    <t>Налог на имущество</t>
  </si>
  <si>
    <t>Земельный налог</t>
  </si>
  <si>
    <t xml:space="preserve"> Расчет (обоснование) расходов на оплату прочих работ, услуг</t>
  </si>
  <si>
    <t>Горячее питание МБ 244/226</t>
  </si>
  <si>
    <t>Возврат в бюджет средств субсидии</t>
  </si>
  <si>
    <t>Федеральный бюджет</t>
  </si>
  <si>
    <t>Питание детей льготных категорий, посещающих лагерь дневного пребывания (М.Б.)</t>
  </si>
  <si>
    <t>месяц</t>
  </si>
  <si>
    <t>тариф</t>
  </si>
  <si>
    <t>кВт</t>
  </si>
  <si>
    <t>цена,руб.</t>
  </si>
  <si>
    <t>НДС,руб</t>
  </si>
  <si>
    <t>цена с НДС,руб</t>
  </si>
  <si>
    <t>гКал</t>
  </si>
  <si>
    <t>НДС,руб.</t>
  </si>
  <si>
    <t>цена с НДС,руб.</t>
  </si>
  <si>
    <t>м3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</si>
  <si>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</si>
  <si>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</si>
  <si>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</si>
  <si>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</si>
  <si>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</si>
  <si>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</si>
  <si>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</si>
  <si>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</si>
  <si>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</si>
  <si>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</si>
  <si>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</si>
  <si>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</si>
  <si>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Советник директора</t>
  </si>
  <si>
    <t>Советник директора 5 111/211 ФБ</t>
  </si>
  <si>
    <t>Советник директора 5 119/213 ФБ</t>
  </si>
  <si>
    <t>Советник директора 5 111/211 РБ</t>
  </si>
  <si>
    <t>Советник директора 5 119/213 РБ</t>
  </si>
  <si>
    <t>Советник директора 5 111/211 МБ</t>
  </si>
  <si>
    <t>Подписка</t>
  </si>
  <si>
    <t>Директор</t>
  </si>
  <si>
    <t>111</t>
  </si>
  <si>
    <t>Заместитель директора</t>
  </si>
  <si>
    <t>Педагог-организатор</t>
  </si>
  <si>
    <t>Педагог доп.образования</t>
  </si>
  <si>
    <t>Педагог - библиотекарь</t>
  </si>
  <si>
    <t>Педагог-психолог</t>
  </si>
  <si>
    <t>Учитель</t>
  </si>
  <si>
    <t xml:space="preserve">Делопроизводитель </t>
  </si>
  <si>
    <t>Рабочий по комплексному обслуживанию и ремонту зданий</t>
  </si>
  <si>
    <t>Уборщик служебных помещений</t>
  </si>
  <si>
    <t xml:space="preserve">Медицинская сестра </t>
  </si>
  <si>
    <t xml:space="preserve">Дворник </t>
  </si>
  <si>
    <t xml:space="preserve">Сторож </t>
  </si>
  <si>
    <t>Госпошлина  (852/291)</t>
  </si>
  <si>
    <t>Бензин</t>
  </si>
  <si>
    <t>Транспортный налог</t>
  </si>
  <si>
    <t>Юридические услуги</t>
  </si>
  <si>
    <t>Дизель для генератора</t>
  </si>
  <si>
    <t>Местный бюджет</t>
  </si>
  <si>
    <t>Средства во временном распоряжении</t>
  </si>
  <si>
    <t>Ежемесячное денежное вознаграждение советникам директоров ФБ 111/211</t>
  </si>
  <si>
    <t>Ежемесячное денежное вознаграждение советникам директоров ФБ 119/213</t>
  </si>
  <si>
    <t>Услуги  по организации временного трудоустройства несовершеннолетних от 14 до 18 лет в свободное от учебы время</t>
  </si>
  <si>
    <t>111/211</t>
  </si>
  <si>
    <t>119/213</t>
  </si>
  <si>
    <t xml:space="preserve">Расчеты (обоснования) к плану финансово-хозяйственной деятельности </t>
  </si>
  <si>
    <t>Код видов расходов:</t>
  </si>
  <si>
    <t>Источник финансового обеспечения:</t>
  </si>
  <si>
    <t>№ п/п</t>
  </si>
  <si>
    <t>Сумма</t>
  </si>
  <si>
    <t>Проезд</t>
  </si>
  <si>
    <t xml:space="preserve">Проживание </t>
  </si>
  <si>
    <t>Суточные</t>
  </si>
  <si>
    <t xml:space="preserve">1.3. Расчеты (обоснования) выплат персоналу </t>
  </si>
  <si>
    <t xml:space="preserve"> 112/214</t>
  </si>
  <si>
    <t>Средний размер выплаты на одного работника в день, руб.</t>
  </si>
  <si>
    <t>Количество работников, чел.</t>
  </si>
  <si>
    <t>Количество дней</t>
  </si>
  <si>
    <t>1.4 Расчеты (обоснования) выплат персоналу</t>
  </si>
  <si>
    <t xml:space="preserve">Код видов расходов: </t>
  </si>
  <si>
    <t>111/211;   119/213</t>
  </si>
  <si>
    <t>Советник директора 5 119/213 МБ</t>
  </si>
  <si>
    <t>Налоговая база, руб.</t>
  </si>
  <si>
    <t>Численность работников, получающих пособие</t>
  </si>
  <si>
    <t>Количество выплат в год на одного работника</t>
  </si>
  <si>
    <t>Размер выплаты (пособия) в месяц, руб.</t>
  </si>
  <si>
    <t>Сумма выплат</t>
  </si>
  <si>
    <t>1.5 Расчеты (обоснования) страховых взносов на обязательное страхование в Пенсионный</t>
  </si>
  <si>
    <t>с применением пониженных тарифов взносов в Пенсионный фонд Российской Федерации для отдельных категорий плательщиков</t>
  </si>
  <si>
    <t>Страховые взносы в Фонд социального страхования Российской Федерации, всего</t>
  </si>
  <si>
    <t>1.1</t>
  </si>
  <si>
    <t>1.2</t>
  </si>
  <si>
    <t>1.3</t>
  </si>
  <si>
    <t>2</t>
  </si>
  <si>
    <t>обязательное социальное страхование на случай временной нетрудоспособности и в связи с материнством по ставке 2,9 %</t>
  </si>
  <si>
    <t>2.1</t>
  </si>
  <si>
    <t>с применением ставки взносов в Фонд социального страхования Российской Федерации по ставке 0,0 %</t>
  </si>
  <si>
    <t>2.2</t>
  </si>
  <si>
    <t>обязательное социальное страхование от несчастных случаев на производстве и профессиональных заболеваний по ставке 0,2 %</t>
  </si>
  <si>
    <t>2.3</t>
  </si>
  <si>
    <t xml:space="preserve">обязательное социальное страхование от несчастных случаев на производстве и профессиональных заболеваний по ставке 0,_ %* </t>
  </si>
  <si>
    <t>2.4</t>
  </si>
  <si>
    <t>обязательное социальное страхование от несчастных случаев на производстве и профессиональных заболеваний по ставке 0,_ %*</t>
  </si>
  <si>
    <t>2.5</t>
  </si>
  <si>
    <t>3</t>
  </si>
  <si>
    <t>Страховые взносы в Федеральный фонд обязательного медицинского страхования, всего (по ставке 5,1 %)</t>
  </si>
  <si>
    <t xml:space="preserve">* Указываются страховые тарифы, дифференцированные по классам профессионального риска, установленные </t>
  </si>
  <si>
    <t xml:space="preserve">Федеральным законом от 22 декабря 2005 г. № 179-ФЗ «О страховых тарифах на обязательное социальное страхование от </t>
  </si>
  <si>
    <t>несчастных случаев на производстве и профессиональных заболеваний на 2006 год»</t>
  </si>
  <si>
    <t>(Собрание законодательства Российской Федерации, 2005, № 52, ст. 5592; 2015, № 51, ст.7233).</t>
  </si>
  <si>
    <t xml:space="preserve">Ставка налога, % </t>
  </si>
  <si>
    <t xml:space="preserve">Сумма исчисленного налога, подлежащего уплате, руб. </t>
  </si>
  <si>
    <t>Пеня</t>
  </si>
  <si>
    <t>Штраф</t>
  </si>
  <si>
    <t xml:space="preserve">Республиканский бюджет </t>
  </si>
  <si>
    <t xml:space="preserve">Субсидии, предоставляемые в соответствии с абзацем вторым </t>
  </si>
  <si>
    <t>пункта 1 статьи 78.1 БК РФ</t>
  </si>
  <si>
    <t>Горячее питание ФБ 244/226</t>
  </si>
  <si>
    <t>"5"</t>
  </si>
  <si>
    <t>244, 247</t>
  </si>
  <si>
    <t xml:space="preserve">Поступления от оказания услуг (выполнения работ) на платной </t>
  </si>
  <si>
    <t>основе и от иной приносящей доход деятельности</t>
  </si>
  <si>
    <t xml:space="preserve">6.1. Расчет (обоснование) расходов на оплату коммунальных услуг </t>
  </si>
  <si>
    <t>Возмещение ком.услуг,в т.ч.</t>
  </si>
  <si>
    <t xml:space="preserve">      вода в т. ч. остаток 2025 г.</t>
  </si>
  <si>
    <t xml:space="preserve">      тепло в т. ч. остаток 2025 г.</t>
  </si>
  <si>
    <t xml:space="preserve">      электроэнергия в т. ч. остаток 2025 г.</t>
  </si>
  <si>
    <t>Аренда недвижимого имущества из них</t>
  </si>
  <si>
    <t>Интернет</t>
  </si>
  <si>
    <t xml:space="preserve">Макулатура </t>
  </si>
  <si>
    <t>Оплата неустойки по претензии</t>
  </si>
  <si>
    <t xml:space="preserve">6. Расчет (обоснование) расходов на закупку товаров, работ, услуг </t>
  </si>
  <si>
    <t>социального страхования Российской Федерации</t>
  </si>
  <si>
    <t xml:space="preserve">Средства от возмещения работодателю денежных средств на приобретение товаров, работ, услуг для сотрудничества на предмет меры по сокаращению производственных травм и проффесиональных заболеваний </t>
  </si>
  <si>
    <t xml:space="preserve">Доходы от возмещений затрат Фондом </t>
  </si>
  <si>
    <r>
      <t xml:space="preserve">6.1 Расчет (обоснование) расходов на оплату энергетических ресурсов </t>
    </r>
    <r>
      <rPr>
        <b/>
        <sz val="12"/>
        <color rgb="FFFF0000"/>
        <rFont val="Times New Roman"/>
        <family val="1"/>
        <charset val="204"/>
      </rPr>
      <t>247/223</t>
    </r>
  </si>
  <si>
    <t>Количество номеров</t>
  </si>
  <si>
    <t>Количество платежей в год</t>
  </si>
  <si>
    <t>Стоимость за единицу, руб.</t>
  </si>
  <si>
    <t>Сумма, руб.                  (гр. 3×гр. 4×гр.5)</t>
  </si>
  <si>
    <t>Оплата отопления</t>
  </si>
  <si>
    <r>
      <t xml:space="preserve">6.2. Расчет (обоснование) расходов на оплату услуг связи </t>
    </r>
    <r>
      <rPr>
        <b/>
        <sz val="12"/>
        <color rgb="FFFF0000"/>
        <rFont val="Times New Roman"/>
        <family val="1"/>
        <charset val="204"/>
      </rPr>
      <t>244/221</t>
    </r>
  </si>
  <si>
    <r>
      <t xml:space="preserve">6.3. Расчет (обоснование) расходов на оплату коммунальных услуг </t>
    </r>
    <r>
      <rPr>
        <b/>
        <sz val="12"/>
        <color rgb="FFFF0000"/>
        <rFont val="Times New Roman"/>
        <family val="1"/>
        <charset val="204"/>
      </rPr>
      <t>244/223</t>
    </r>
  </si>
  <si>
    <t>Вывоз ТБО</t>
  </si>
  <si>
    <r>
      <t xml:space="preserve">6.4. Расчет (обоснование) расходов на оплату работ, услуг по содержанию имущества </t>
    </r>
    <r>
      <rPr>
        <b/>
        <sz val="12"/>
        <color rgb="FFFF0000"/>
        <rFont val="Times New Roman"/>
        <family val="1"/>
        <charset val="204"/>
      </rPr>
      <t>244/225</t>
    </r>
  </si>
  <si>
    <t>Количество работ (услуг)</t>
  </si>
  <si>
    <t>Стоимость работ (услуг), руб.</t>
  </si>
  <si>
    <t>Поверки дымовых и вент. каналов</t>
  </si>
  <si>
    <t>Техничекое обслуживание системы экстренного оповещения</t>
  </si>
  <si>
    <t xml:space="preserve">Техничекое обслуживание пожарной сигнализации </t>
  </si>
  <si>
    <t>Техническое обслуживание автоматической системы охранной сигнализации</t>
  </si>
  <si>
    <t>Обслуживание ДГУ</t>
  </si>
  <si>
    <t>Утилизация</t>
  </si>
  <si>
    <r>
      <t xml:space="preserve">6.5. Расчет (обоснование) расходов на оплату прочих работ, услуг </t>
    </r>
    <r>
      <rPr>
        <b/>
        <sz val="12"/>
        <color rgb="FFFF0000"/>
        <rFont val="Times New Roman"/>
        <family val="1"/>
        <charset val="204"/>
      </rPr>
      <t>244/226</t>
    </r>
  </si>
  <si>
    <t>Физическая охрана объекта</t>
  </si>
  <si>
    <t>Питание (льгота) 1-4 кл. (обеды)</t>
  </si>
  <si>
    <t>Питание (льгота) 5-11 кл. (обеды)</t>
  </si>
  <si>
    <t>Питание (льгота) 5-11 кл. (завтраки)</t>
  </si>
  <si>
    <t>Физическая охрана объекта на время экзаменов</t>
  </si>
  <si>
    <t>Услуги видеоконференц-связи</t>
  </si>
  <si>
    <t>Анализы Этеробиоз</t>
  </si>
  <si>
    <t>Услуги по технической поддержке и консультации пользователей ГОС (республиканский бюджет)</t>
  </si>
  <si>
    <r>
      <t xml:space="preserve">6.6. Расчет (обоснование) расходов на оплату прочих работ, услуг(страхование)   </t>
    </r>
    <r>
      <rPr>
        <b/>
        <sz val="12"/>
        <color rgb="FFFF0000"/>
        <rFont val="Times New Roman"/>
        <family val="1"/>
        <charset val="204"/>
      </rPr>
      <t>244/227</t>
    </r>
  </si>
  <si>
    <t>Стоимость услуги, руб.</t>
  </si>
  <si>
    <t>Страхование гражданской ответственности</t>
  </si>
  <si>
    <t>Страховка ДПД</t>
  </si>
  <si>
    <r>
      <t xml:space="preserve">6.7. Расчет (обоснование) расходов на приобретение основных средств  </t>
    </r>
    <r>
      <rPr>
        <b/>
        <sz val="12"/>
        <color rgb="FFFF0000"/>
        <rFont val="Times New Roman"/>
        <family val="1"/>
        <charset val="204"/>
      </rPr>
      <t>244/310</t>
    </r>
  </si>
  <si>
    <t>Капитальный ремонт</t>
  </si>
  <si>
    <t>Книги (Республиканский бюджет)</t>
  </si>
  <si>
    <t xml:space="preserve">6.8. Расчет (обоснование) расходов на увеличение стоимости  лекарственных препаратов и </t>
  </si>
  <si>
    <t>Материалы для медицинского кабинета</t>
  </si>
  <si>
    <t>Средняя стоимость, руб.</t>
  </si>
  <si>
    <t>Сумма, руб.                   (гр. 2×гр. 3)</t>
  </si>
  <si>
    <t>Вода питьевая</t>
  </si>
  <si>
    <t>Спецодежда</t>
  </si>
  <si>
    <t>Моющие и дезинфицирующие средства</t>
  </si>
  <si>
    <t xml:space="preserve">6.14. Расчет (обоснование) расходов на приобретение прочих материальных запасов </t>
  </si>
  <si>
    <t>Похвальные листы, грамоты</t>
  </si>
  <si>
    <t>Журнально-бланочная продукция</t>
  </si>
  <si>
    <t>Личная карточка обучающегося</t>
  </si>
  <si>
    <t>Аттестаты (республиканский бюджет)</t>
  </si>
  <si>
    <t>Медали,удостоверения (республиканский бюджет)</t>
  </si>
  <si>
    <t>Итого субсидии на иные цели:</t>
  </si>
  <si>
    <t>Итого по ПДД:</t>
  </si>
  <si>
    <t xml:space="preserve">негативное возд-е </t>
  </si>
  <si>
    <t>превышение НССВ, м3</t>
  </si>
  <si>
    <t>превышение НССВ, руб.</t>
  </si>
  <si>
    <t>Контрагент</t>
  </si>
  <si>
    <t>Сумма план</t>
  </si>
  <si>
    <t>Сумма факт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</si>
  <si>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</si>
  <si>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</si>
  <si>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</si>
  <si>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</si>
  <si>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</si>
  <si>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</si>
  <si>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</si>
  <si>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</si>
  <si>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</si>
  <si>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</si>
  <si>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</si>
  <si>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</si>
  <si>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Остаток</t>
  </si>
  <si>
    <t>АЛЬТФАТЕР КРЫМ ООО</t>
  </si>
  <si>
    <t>ГУП РК "Крымтеплокоммунэнерго"</t>
  </si>
  <si>
    <t>ГУП РК «ВОДА КРЫМА»</t>
  </si>
  <si>
    <t>КРЫМТЕЛЕКОМ АО</t>
  </si>
  <si>
    <t>КРЫМЭНЕРГО ГУП РК</t>
  </si>
  <si>
    <t>КУБАНЬ-ОХРАНА ООО ЧОО</t>
  </si>
  <si>
    <t>ОХРАНА РОСГВАРДИИ ФГУП</t>
  </si>
  <si>
    <t>ФГКУ "УВО ВНГ России по Республике Крым"</t>
  </si>
  <si>
    <r>
      <t xml:space="preserve">Потребление </t>
    </r>
    <r>
      <rPr>
        <b/>
        <u/>
        <sz val="11"/>
        <rFont val="Segoe UI"/>
        <family val="2"/>
        <charset val="204"/>
      </rPr>
      <t>электроэнергии</t>
    </r>
    <r>
      <rPr>
        <u/>
        <sz val="10"/>
        <rFont val="Segoe UI"/>
        <family val="2"/>
        <charset val="204"/>
      </rPr>
      <t xml:space="preserve"> за 2026 год </t>
    </r>
  </si>
  <si>
    <r>
      <t xml:space="preserve">Потребление </t>
    </r>
    <r>
      <rPr>
        <b/>
        <u/>
        <sz val="11"/>
        <rFont val="Segoe UI"/>
        <family val="2"/>
        <charset val="204"/>
      </rPr>
      <t>отопления</t>
    </r>
    <r>
      <rPr>
        <u/>
        <sz val="10"/>
        <rFont val="Segoe UI"/>
        <family val="2"/>
        <charset val="204"/>
      </rPr>
      <t xml:space="preserve"> за 2026 год </t>
    </r>
  </si>
  <si>
    <r>
      <t xml:space="preserve">Потребление </t>
    </r>
    <r>
      <rPr>
        <b/>
        <u/>
        <sz val="11"/>
        <rFont val="Segoe UI"/>
        <family val="2"/>
        <charset val="204"/>
      </rPr>
      <t>водоснабжения и водоотведения</t>
    </r>
    <r>
      <rPr>
        <u/>
        <sz val="10"/>
        <rFont val="Segoe UI"/>
        <family val="2"/>
        <charset val="204"/>
      </rPr>
      <t xml:space="preserve"> за 2026 год</t>
    </r>
  </si>
  <si>
    <r>
      <t xml:space="preserve">Потребление </t>
    </r>
    <r>
      <rPr>
        <b/>
        <sz val="10"/>
        <rFont val="Segoe UI"/>
        <family val="2"/>
        <charset val="204"/>
      </rPr>
      <t>ТКО</t>
    </r>
    <r>
      <rPr>
        <sz val="10"/>
        <rFont val="Segoe UI"/>
        <family val="2"/>
        <charset val="204"/>
      </rPr>
      <t xml:space="preserve"> за 2026 год </t>
    </r>
  </si>
  <si>
    <t>Техническое обслуживание тревожной кнопки</t>
  </si>
  <si>
    <t>Тревожная кнопка</t>
  </si>
  <si>
    <t>Бумага офисная, анцелярские товары</t>
  </si>
  <si>
    <t>Хозяйственные товары, хоз. Инвентарь</t>
  </si>
  <si>
    <t>Заправка картриджей</t>
  </si>
  <si>
    <t>Гидравлические испытания</t>
  </si>
  <si>
    <t>Г.А. Палий</t>
  </si>
  <si>
    <t>Заместитель директора по АХД</t>
  </si>
  <si>
    <t>Социальный пелагог</t>
  </si>
  <si>
    <t>Учитель - логопед</t>
  </si>
  <si>
    <t>Специалист по обслуживанию компьютерных систем</t>
  </si>
  <si>
    <t>Специалист по охране труда</t>
  </si>
  <si>
    <t>Лаборант</t>
  </si>
  <si>
    <t>Секретарь</t>
  </si>
  <si>
    <t>Электромонтер по ремонту и обслуживанию электрооборудования</t>
  </si>
  <si>
    <t>ИП Севров Дмитрий Владимирович</t>
  </si>
  <si>
    <t>32-1-ГУП/Б/140</t>
  </si>
  <si>
    <t>01/01-2026</t>
  </si>
  <si>
    <t>21098-26</t>
  </si>
  <si>
    <t>РК-ЯА06-7307</t>
  </si>
  <si>
    <t>КТТ1332</t>
  </si>
  <si>
    <t>10/26-А</t>
  </si>
  <si>
    <t xml:space="preserve">6.13. Расчет (обоснование) расходов на приобретение </t>
  </si>
  <si>
    <t>11/ТО</t>
  </si>
  <si>
    <t>ИП Матохин Михаил Иванович</t>
  </si>
  <si>
    <t>10/ТО</t>
  </si>
  <si>
    <t>08/ТО</t>
  </si>
  <si>
    <t>09/ТО</t>
  </si>
  <si>
    <t>Остаток прошлого года</t>
  </si>
  <si>
    <t>3-Д принтер (2 шт.) (в том числе остаток 2025)</t>
  </si>
  <si>
    <t>Катушки к 3-Д принтеру</t>
  </si>
  <si>
    <t>Доставка 3-Д принтера</t>
  </si>
  <si>
    <t>26150-ТП</t>
  </si>
  <si>
    <t>ИП Шитов Евгений Александрович (Р.Б.)</t>
  </si>
  <si>
    <t>остатки по договору</t>
  </si>
  <si>
    <t>ПЕРЕПЛАТА 1758,62</t>
  </si>
  <si>
    <t>сумма с "2"</t>
  </si>
  <si>
    <t>Фильтрация сайта</t>
  </si>
  <si>
    <t>ИП Рудакова Мария Юрьевна</t>
  </si>
  <si>
    <t>Ю0099/26</t>
  </si>
  <si>
    <t>Оценочные услуги по определению аренды</t>
  </si>
  <si>
    <t>Замена канализации в подвале</t>
  </si>
  <si>
    <t xml:space="preserve">УФК по Республике Крым ФБУЗ " ЦГиЭ </t>
  </si>
  <si>
    <t>ТРК АМОС ООО</t>
  </si>
  <si>
    <t>ПЛАТНЫЕ УСЛУГИ</t>
  </si>
  <si>
    <t>прочие расходы</t>
  </si>
  <si>
    <t>Итого по ПУ:</t>
  </si>
  <si>
    <t>Итого ПДД:</t>
  </si>
  <si>
    <t>Лицензия на ПО "u Trust.User (ФРДО)"</t>
  </si>
  <si>
    <t>10-2/26-А</t>
  </si>
  <si>
    <r>
      <t xml:space="preserve">материалов, применяемых в медицинских целях    </t>
    </r>
    <r>
      <rPr>
        <b/>
        <sz val="12"/>
        <color rgb="FFFF0000"/>
        <rFont val="Times New Roman"/>
        <family val="1"/>
        <charset val="204"/>
      </rPr>
      <t>244/ 340</t>
    </r>
  </si>
  <si>
    <r>
      <t xml:space="preserve">6.9. Увеличение стоимости продуктов питания   </t>
    </r>
    <r>
      <rPr>
        <b/>
        <sz val="12"/>
        <color rgb="FFFF0000"/>
        <rFont val="Times New Roman"/>
        <family val="1"/>
        <charset val="204"/>
      </rPr>
      <t xml:space="preserve">  244/340 </t>
    </r>
  </si>
  <si>
    <r>
      <t xml:space="preserve">6.10. Увеличение стоимости горюче-смазочных материалов   </t>
    </r>
    <r>
      <rPr>
        <b/>
        <sz val="12"/>
        <color rgb="FFFF0000"/>
        <rFont val="Times New Roman"/>
        <family val="1"/>
        <charset val="204"/>
      </rPr>
      <t>244/340</t>
    </r>
  </si>
  <si>
    <r>
      <t xml:space="preserve">6.12. Увеличение стоимости мягкого инвентаря     </t>
    </r>
    <r>
      <rPr>
        <b/>
        <sz val="12"/>
        <color rgb="FFFF0000"/>
        <rFont val="Times New Roman"/>
        <family val="1"/>
        <charset val="204"/>
      </rPr>
      <t xml:space="preserve">244/ 340 </t>
    </r>
  </si>
  <si>
    <r>
      <t xml:space="preserve">6.11. Расчет (обоснование) расходов на приобретение строительных материалов    </t>
    </r>
    <r>
      <rPr>
        <b/>
        <sz val="12"/>
        <color rgb="FFFF0000"/>
        <rFont val="Times New Roman"/>
        <family val="1"/>
        <charset val="204"/>
      </rPr>
      <t>244/ 340</t>
    </r>
  </si>
  <si>
    <r>
      <t xml:space="preserve">прочих оборотных запасов (материалов) </t>
    </r>
    <r>
      <rPr>
        <b/>
        <sz val="12"/>
        <color rgb="FFFF0000"/>
        <rFont val="Times New Roman"/>
        <family val="1"/>
        <charset val="204"/>
      </rPr>
      <t xml:space="preserve">244/ 340 </t>
    </r>
  </si>
  <si>
    <r>
      <t xml:space="preserve">однократного применения   </t>
    </r>
    <r>
      <rPr>
        <b/>
        <sz val="12"/>
        <color rgb="FFFF0000"/>
        <rFont val="Times New Roman"/>
        <family val="1"/>
        <charset val="204"/>
      </rPr>
      <t>244/ 340</t>
    </r>
    <r>
      <rPr>
        <b/>
        <sz val="11"/>
        <color rgb="FFFF0000"/>
        <rFont val="Times New Roman"/>
        <family val="1"/>
        <charset val="204"/>
      </rPr>
      <t/>
    </r>
  </si>
  <si>
    <t xml:space="preserve">Стэнды </t>
  </si>
  <si>
    <t>Принтер Kyocera ECOSYS (для экзаменов)</t>
  </si>
  <si>
    <t>Картриджи для принтера на экзамен</t>
  </si>
  <si>
    <t>Чистка кондиционеров</t>
  </si>
  <si>
    <t>Акарицидная обработка (+контроль)</t>
  </si>
  <si>
    <t>Поверка теплосчетчика</t>
  </si>
  <si>
    <t>Стенд "Кириллица"</t>
  </si>
  <si>
    <t>Прочие работы и услуги (питание льгота)</t>
  </si>
  <si>
    <t>Дизель ДГУ "5"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</si>
</sst>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-* #,##0.00\ _₽_-;\-* #,##0.00\ _₽_-;_-* &quot;-&quot;??\ _₽_-;_-@_-"/>
    <numFmt numFmtId="164" formatCode="_-* #,##0.00\ _р_._-;\-* #,##0.00\ _р_._-;_-* \-??\ _р_._-;_-@_-"/>
    <numFmt numFmtId="165" formatCode="\ * #,##0.00&quot;    &quot;;\-* #,##0.00&quot;    &quot;;\ * \-#&quot;    &quot;;@\ "/>
    <numFmt numFmtId="166" formatCode="#,##0.00_ ;\-#,##0.00\ "/>
    <numFmt numFmtId="167" formatCode="_-* #,##0.00\ _р_._-;\-* #,##0.00\ _р_._-;_-* &quot;-&quot;??\ _р_._-;_-@_-"/>
    <numFmt numFmtId="168" formatCode="#,##0.00000"/>
  </numFmts>
  <fonts count="26" x14ac:knownFonts="1">
    <font>
      <sz val="10"/>
      <name val="Arial Cyr"/>
      <family val="2"/>
      <charset val="204"/>
    </font>
    <font>
      <sz val="12"/>
      <name val="Times New Roman"/>
      <family val="1"/>
      <charset val="204"/>
    </font>
    <font>
      <sz val="8"/>
      <name val="Times New Roman"/>
      <family val="1"/>
      <charset val="204"/>
    </font>
    <font>
      <i/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6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6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Arial Cyr"/>
      <family val="2"/>
      <charset val="204"/>
    </font>
    <font>
      <sz val="10"/>
      <color rgb="FF00B050"/>
      <name val="Times New Roman"/>
      <family val="1"/>
      <charset val="204"/>
    </font>
    <font>
      <sz val="10"/>
      <name val="Arial Cyr"/>
      <charset val="204"/>
    </font>
    <font>
      <b/>
      <sz val="12"/>
      <color rgb="FFFF0000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1"/>
      <color theme="1"/>
      <name val="Segoe UI"/>
      <family val="2"/>
      <charset val="204"/>
    </font>
    <font>
      <sz val="10"/>
      <color theme="1"/>
      <name val="Segoe UI"/>
      <family val="2"/>
      <charset val="204"/>
    </font>
    <font>
      <sz val="10"/>
      <name val="Segoe UI"/>
      <family val="2"/>
      <charset val="204"/>
    </font>
    <font>
      <u/>
      <sz val="10"/>
      <name val="Segoe UI"/>
      <family val="2"/>
      <charset val="204"/>
    </font>
    <font>
      <b/>
      <u/>
      <sz val="11"/>
      <name val="Segoe UI"/>
      <family val="2"/>
      <charset val="204"/>
    </font>
    <font>
      <b/>
      <sz val="10"/>
      <name val="Segoe UI"/>
      <family val="2"/>
      <charset val="204"/>
    </font>
    <font>
      <sz val="10"/>
      <color theme="4" tint="-0.249977111117893"/>
      <name val="Times New Roman"/>
      <family val="1"/>
      <charset val="204"/>
    </font>
    <font>
      <sz val="11"/>
      <color rgb="FF0070C0"/>
      <name val="Segoe UI"/>
      <family val="2"/>
      <charset val="204"/>
    </font>
    <font>
      <sz val="10"/>
      <color rgb="FF0070C0"/>
      <name val="Segoe UI"/>
      <family val="2"/>
      <charset val="204"/>
    </font>
    <font>
      <b/>
      <sz val="10"/>
      <color rgb="FFC00000"/>
      <name val="Segoe UI"/>
      <family val="2"/>
      <charset val="204"/>
    </font>
    <font>
      <sz val="10"/>
      <color rgb="FFFF0000"/>
      <name val="Segoe U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C00000"/>
        <bgColor indexed="64"/>
      </patternFill>
    </fill>
  </fills>
  <borders count="25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10" fillId="0" borderId="0" applyFill="0" applyBorder="0" applyAlignment="0" applyProtection="0"/>
    <xf numFmtId="167" fontId="12" fillId="0" borderId="0" applyFont="0" applyFill="0" applyBorder="0" applyAlignment="0" applyProtection="0"/>
  </cellStyleXfs>
  <cellXfs count="169">
    <xf numFmtId="0" fontId="0" fillId="0" borderId="0" xfId="0"/>
    <xf numFmtId="0" fontId="1" fillId="0" borderId="0" xfId="0" applyFont="1" applyAlignment="1">
      <alignment horizontal="left"/>
    </xf>
    <xf numFmtId="164" fontId="1" fillId="0" borderId="0" xfId="1" applyFont="1" applyFill="1" applyBorder="1" applyAlignment="1" applyProtection="1">
      <alignment horizontal="left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164" fontId="2" fillId="0" borderId="0" xfId="1" applyFont="1" applyFill="1" applyBorder="1" applyAlignment="1" applyProtection="1">
      <alignment horizontal="center" vertical="center"/>
    </xf>
    <xf numFmtId="0" fontId="3" fillId="0" borderId="0" xfId="0" applyFont="1" applyAlignment="1">
      <alignment horizontal="center" vertical="center"/>
    </xf>
    <xf numFmtId="164" fontId="3" fillId="0" borderId="0" xfId="1" applyFont="1" applyFill="1" applyBorder="1" applyAlignment="1" applyProtection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/>
    </xf>
    <xf numFmtId="164" fontId="4" fillId="0" borderId="0" xfId="1" applyFont="1" applyFill="1" applyBorder="1" applyAlignment="1" applyProtection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164" fontId="5" fillId="0" borderId="0" xfId="1" applyFont="1" applyFill="1" applyBorder="1" applyAlignment="1" applyProtection="1">
      <alignment horizontal="left"/>
    </xf>
    <xf numFmtId="0" fontId="4" fillId="0" borderId="0" xfId="0" applyFont="1" applyAlignment="1">
      <alignment horizontal="center"/>
    </xf>
    <xf numFmtId="164" fontId="6" fillId="2" borderId="1" xfId="1" applyFont="1" applyFill="1" applyBorder="1" applyAlignment="1" applyProtection="1">
      <alignment vertical="top"/>
      <protection locked="0"/>
    </xf>
    <xf numFmtId="165" fontId="4" fillId="0" borderId="0" xfId="0" applyNumberFormat="1" applyFont="1" applyAlignment="1">
      <alignment horizontal="left"/>
    </xf>
    <xf numFmtId="0" fontId="6" fillId="0" borderId="0" xfId="0" applyFont="1" applyAlignment="1">
      <alignment horizontal="left"/>
    </xf>
    <xf numFmtId="164" fontId="6" fillId="0" borderId="1" xfId="1" applyFont="1" applyFill="1" applyBorder="1" applyAlignment="1" applyProtection="1">
      <alignment vertical="top"/>
      <protection locked="0"/>
    </xf>
    <xf numFmtId="165" fontId="6" fillId="0" borderId="0" xfId="0" applyNumberFormat="1" applyFont="1" applyAlignment="1">
      <alignment horizontal="left"/>
    </xf>
    <xf numFmtId="164" fontId="6" fillId="0" borderId="0" xfId="1" applyFont="1" applyFill="1" applyBorder="1" applyAlignment="1" applyProtection="1">
      <alignment horizontal="left"/>
    </xf>
    <xf numFmtId="49" fontId="1" fillId="0" borderId="0" xfId="0" applyNumberFormat="1" applyFont="1" applyAlignment="1">
      <alignment horizontal="center"/>
    </xf>
    <xf numFmtId="164" fontId="7" fillId="0" borderId="1" xfId="1" applyFont="1" applyFill="1" applyBorder="1" applyAlignment="1" applyProtection="1">
      <alignment vertical="top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164" fontId="8" fillId="0" borderId="0" xfId="1" applyFont="1" applyFill="1" applyBorder="1" applyAlignment="1" applyProtection="1">
      <alignment horizontal="left"/>
    </xf>
    <xf numFmtId="0" fontId="1" fillId="0" borderId="0" xfId="0" applyFont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left"/>
    </xf>
    <xf numFmtId="164" fontId="6" fillId="0" borderId="4" xfId="1" applyFont="1" applyFill="1" applyBorder="1" applyAlignment="1" applyProtection="1">
      <alignment horizontal="right"/>
    </xf>
    <xf numFmtId="165" fontId="6" fillId="0" borderId="5" xfId="0" applyNumberFormat="1" applyFont="1" applyBorder="1" applyAlignment="1">
      <alignment horizontal="left"/>
    </xf>
    <xf numFmtId="4" fontId="6" fillId="0" borderId="5" xfId="0" applyNumberFormat="1" applyFont="1" applyBorder="1" applyAlignment="1">
      <alignment horizontal="left"/>
    </xf>
    <xf numFmtId="164" fontId="7" fillId="3" borderId="0" xfId="1" applyFont="1" applyFill="1" applyBorder="1" applyAlignment="1" applyProtection="1">
      <alignment horizontal="right"/>
    </xf>
    <xf numFmtId="165" fontId="7" fillId="3" borderId="5" xfId="0" applyNumberFormat="1" applyFont="1" applyFill="1" applyBorder="1" applyAlignment="1">
      <alignment horizontal="left"/>
    </xf>
    <xf numFmtId="164" fontId="7" fillId="3" borderId="0" xfId="1" applyFont="1" applyFill="1" applyBorder="1" applyAlignment="1" applyProtection="1">
      <alignment horizontal="left"/>
    </xf>
    <xf numFmtId="0" fontId="7" fillId="3" borderId="0" xfId="0" applyFont="1" applyFill="1" applyAlignment="1">
      <alignment horizontal="left"/>
    </xf>
    <xf numFmtId="4" fontId="6" fillId="0" borderId="0" xfId="0" applyNumberFormat="1" applyFont="1"/>
    <xf numFmtId="0" fontId="6" fillId="4" borderId="0" xfId="0" applyFont="1" applyFill="1" applyAlignment="1">
      <alignment horizontal="left"/>
    </xf>
    <xf numFmtId="0" fontId="6" fillId="0" borderId="0" xfId="0" applyFont="1"/>
    <xf numFmtId="0" fontId="4" fillId="0" borderId="0" xfId="0" applyFont="1"/>
    <xf numFmtId="0" fontId="14" fillId="0" borderId="0" xfId="0" applyFont="1" applyAlignment="1">
      <alignment horizontal="center"/>
    </xf>
    <xf numFmtId="0" fontId="6" fillId="0" borderId="13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13" xfId="0" applyFont="1" applyBorder="1"/>
    <xf numFmtId="0" fontId="6" fillId="3" borderId="13" xfId="0" applyFont="1" applyFill="1" applyBorder="1"/>
    <xf numFmtId="0" fontId="6" fillId="3" borderId="13" xfId="0" applyFont="1" applyFill="1" applyBorder="1" applyAlignment="1">
      <alignment horizontal="right"/>
    </xf>
    <xf numFmtId="0" fontId="6" fillId="0" borderId="13" xfId="0" applyFont="1" applyBorder="1" applyAlignment="1">
      <alignment wrapText="1"/>
    </xf>
    <xf numFmtId="0" fontId="6" fillId="0" borderId="13" xfId="0" applyFont="1" applyBorder="1" applyAlignment="1">
      <alignment horizontal="center"/>
    </xf>
    <xf numFmtId="49" fontId="6" fillId="0" borderId="13" xfId="0" applyNumberFormat="1" applyFont="1" applyBorder="1" applyAlignment="1">
      <alignment horizontal="center"/>
    </xf>
    <xf numFmtId="4" fontId="6" fillId="0" borderId="13" xfId="0" applyNumberFormat="1" applyFont="1" applyBorder="1" applyAlignment="1">
      <alignment horizontal="center" vertical="center" wrapText="1"/>
    </xf>
    <xf numFmtId="4" fontId="6" fillId="0" borderId="13" xfId="0" applyNumberFormat="1" applyFont="1" applyBorder="1"/>
    <xf numFmtId="4" fontId="6" fillId="3" borderId="13" xfId="0" applyNumberFormat="1" applyFont="1" applyFill="1" applyBorder="1"/>
    <xf numFmtId="4" fontId="7" fillId="0" borderId="14" xfId="0" applyNumberFormat="1" applyFont="1" applyBorder="1" applyAlignment="1">
      <alignment horizontal="center"/>
    </xf>
    <xf numFmtId="166" fontId="6" fillId="0" borderId="0" xfId="0" applyNumberFormat="1" applyFont="1"/>
    <xf numFmtId="0" fontId="11" fillId="0" borderId="13" xfId="0" applyFont="1" applyBorder="1"/>
    <xf numFmtId="0" fontId="6" fillId="0" borderId="13" xfId="0" applyFont="1" applyBorder="1" applyAlignment="1">
      <alignment vertical="center" wrapText="1"/>
    </xf>
    <xf numFmtId="0" fontId="7" fillId="0" borderId="13" xfId="0" applyFont="1" applyBorder="1"/>
    <xf numFmtId="0" fontId="6" fillId="0" borderId="13" xfId="0" applyFont="1" applyBorder="1" applyAlignment="1">
      <alignment horizontal="left" vertical="center" wrapText="1"/>
    </xf>
    <xf numFmtId="0" fontId="11" fillId="0" borderId="13" xfId="0" applyFont="1" applyBorder="1" applyAlignment="1">
      <alignment horizontal="left" vertical="center" wrapText="1"/>
    </xf>
    <xf numFmtId="0" fontId="6" fillId="3" borderId="15" xfId="0" applyFont="1" applyFill="1" applyBorder="1"/>
    <xf numFmtId="0" fontId="6" fillId="3" borderId="15" xfId="0" applyFont="1" applyFill="1" applyBorder="1" applyAlignment="1">
      <alignment horizontal="right"/>
    </xf>
    <xf numFmtId="4" fontId="6" fillId="3" borderId="15" xfId="0" applyNumberFormat="1" applyFont="1" applyFill="1" applyBorder="1"/>
    <xf numFmtId="0" fontId="6" fillId="0" borderId="17" xfId="0" applyFont="1" applyBorder="1"/>
    <xf numFmtId="0" fontId="6" fillId="0" borderId="18" xfId="0" applyFont="1" applyBorder="1"/>
    <xf numFmtId="0" fontId="6" fillId="0" borderId="20" xfId="0" applyFont="1" applyBorder="1"/>
    <xf numFmtId="0" fontId="6" fillId="0" borderId="22" xfId="0" applyFont="1" applyBorder="1"/>
    <xf numFmtId="0" fontId="6" fillId="0" borderId="23" xfId="0" applyFont="1" applyBorder="1"/>
    <xf numFmtId="0" fontId="7" fillId="0" borderId="18" xfId="0" applyFont="1" applyBorder="1"/>
    <xf numFmtId="0" fontId="7" fillId="0" borderId="23" xfId="0" applyFont="1" applyBorder="1"/>
    <xf numFmtId="0" fontId="9" fillId="0" borderId="0" xfId="0" applyFont="1"/>
    <xf numFmtId="14" fontId="6" fillId="0" borderId="0" xfId="0" applyNumberFormat="1" applyFont="1"/>
    <xf numFmtId="4" fontId="6" fillId="0" borderId="21" xfId="0" applyNumberFormat="1" applyFont="1" applyBorder="1"/>
    <xf numFmtId="4" fontId="9" fillId="0" borderId="24" xfId="0" applyNumberFormat="1" applyFont="1" applyBorder="1"/>
    <xf numFmtId="4" fontId="7" fillId="0" borderId="21" xfId="0" applyNumberFormat="1" applyFont="1" applyBorder="1"/>
    <xf numFmtId="4" fontId="7" fillId="0" borderId="19" xfId="0" applyNumberFormat="1" applyFont="1" applyBorder="1"/>
    <xf numFmtId="0" fontId="15" fillId="5" borderId="13" xfId="0" applyFont="1" applyFill="1" applyBorder="1" applyAlignment="1">
      <alignment horizontal="center" vertical="center"/>
    </xf>
    <xf numFmtId="0" fontId="15" fillId="5" borderId="13" xfId="0" applyFont="1" applyFill="1" applyBorder="1" applyAlignment="1">
      <alignment horizontal="center" vertical="center" wrapText="1"/>
    </xf>
    <xf numFmtId="0" fontId="16" fillId="5" borderId="13" xfId="0" applyFont="1" applyFill="1" applyBorder="1" applyAlignment="1">
      <alignment horizontal="center" vertical="center"/>
    </xf>
    <xf numFmtId="0" fontId="15" fillId="0" borderId="13" xfId="0" applyFont="1" applyBorder="1"/>
    <xf numFmtId="0" fontId="15" fillId="0" borderId="13" xfId="0" applyFont="1" applyBorder="1" applyAlignment="1">
      <alignment wrapText="1"/>
    </xf>
    <xf numFmtId="0" fontId="16" fillId="0" borderId="13" xfId="0" applyFont="1" applyBorder="1" applyAlignment="1">
      <alignment horizontal="center" vertical="center"/>
    </xf>
    <xf numFmtId="0" fontId="16" fillId="0" borderId="13" xfId="0" applyFont="1" applyBorder="1"/>
    <xf numFmtId="0" fontId="15" fillId="0" borderId="13" xfId="0" applyFont="1" applyBorder="1" applyAlignment="1">
      <alignment horizontal="left"/>
    </xf>
    <xf numFmtId="0" fontId="15" fillId="0" borderId="13" xfId="0" applyFont="1" applyBorder="1" applyAlignment="1">
      <alignment horizontal="left" wrapText="1"/>
    </xf>
    <xf numFmtId="4" fontId="15" fillId="0" borderId="13" xfId="0" applyNumberFormat="1" applyFont="1" applyBorder="1"/>
    <xf numFmtId="4" fontId="16" fillId="0" borderId="13" xfId="0" applyNumberFormat="1" applyFont="1" applyBorder="1"/>
    <xf numFmtId="49" fontId="16" fillId="0" borderId="13" xfId="0" applyNumberFormat="1" applyFont="1" applyBorder="1" applyAlignment="1">
      <alignment horizontal="center" vertical="center"/>
    </xf>
    <xf numFmtId="4" fontId="17" fillId="0" borderId="13" xfId="0" applyNumberFormat="1" applyFont="1" applyBorder="1"/>
    <xf numFmtId="4" fontId="15" fillId="4" borderId="13" xfId="0" applyNumberFormat="1" applyFont="1" applyFill="1" applyBorder="1"/>
    <xf numFmtId="0" fontId="17" fillId="0" borderId="0" xfId="0" applyFont="1"/>
    <xf numFmtId="4" fontId="18" fillId="0" borderId="0" xfId="0" applyNumberFormat="1" applyFont="1"/>
    <xf numFmtId="4" fontId="17" fillId="0" borderId="0" xfId="0" applyNumberFormat="1" applyFont="1"/>
    <xf numFmtId="4" fontId="17" fillId="0" borderId="0" xfId="0" applyNumberFormat="1" applyFont="1" applyAlignment="1">
      <alignment horizontal="center"/>
    </xf>
    <xf numFmtId="4" fontId="17" fillId="0" borderId="10" xfId="0" applyNumberFormat="1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4" fontId="17" fillId="0" borderId="13" xfId="0" applyNumberFormat="1" applyFont="1" applyBorder="1" applyAlignment="1">
      <alignment horizontal="center" vertical="center" wrapText="1"/>
    </xf>
    <xf numFmtId="4" fontId="17" fillId="0" borderId="10" xfId="0" applyNumberFormat="1" applyFont="1" applyBorder="1" applyAlignment="1">
      <alignment horizontal="left"/>
    </xf>
    <xf numFmtId="4" fontId="17" fillId="0" borderId="10" xfId="0" applyNumberFormat="1" applyFont="1" applyBorder="1"/>
    <xf numFmtId="0" fontId="17" fillId="0" borderId="13" xfId="0" applyFont="1" applyBorder="1" applyAlignment="1">
      <alignment horizontal="left"/>
    </xf>
    <xf numFmtId="0" fontId="17" fillId="0" borderId="13" xfId="0" applyFont="1" applyBorder="1"/>
    <xf numFmtId="4" fontId="17" fillId="0" borderId="10" xfId="0" applyNumberFormat="1" applyFont="1" applyBorder="1" applyAlignment="1">
      <alignment horizontal="left" wrapText="1"/>
    </xf>
    <xf numFmtId="4" fontId="17" fillId="0" borderId="0" xfId="0" applyNumberFormat="1" applyFont="1" applyAlignment="1">
      <alignment horizontal="left" wrapText="1"/>
    </xf>
    <xf numFmtId="4" fontId="17" fillId="5" borderId="0" xfId="0" applyNumberFormat="1" applyFont="1" applyFill="1"/>
    <xf numFmtId="0" fontId="17" fillId="0" borderId="10" xfId="0" applyFont="1" applyBorder="1" applyAlignment="1">
      <alignment horizontal="center" vertical="center" wrapText="1"/>
    </xf>
    <xf numFmtId="4" fontId="17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4" fontId="6" fillId="0" borderId="0" xfId="0" applyNumberFormat="1" applyFont="1" applyAlignment="1">
      <alignment horizontal="center"/>
    </xf>
    <xf numFmtId="4" fontId="6" fillId="0" borderId="13" xfId="0" applyNumberFormat="1" applyFont="1" applyBorder="1" applyAlignment="1">
      <alignment horizontal="center"/>
    </xf>
    <xf numFmtId="4" fontId="6" fillId="3" borderId="13" xfId="0" applyNumberFormat="1" applyFont="1" applyFill="1" applyBorder="1" applyAlignment="1">
      <alignment horizontal="center"/>
    </xf>
    <xf numFmtId="0" fontId="21" fillId="0" borderId="13" xfId="0" applyFont="1" applyBorder="1" applyAlignment="1">
      <alignment horizontal="left" vertical="center" wrapText="1"/>
    </xf>
    <xf numFmtId="4" fontId="21" fillId="0" borderId="13" xfId="0" applyNumberFormat="1" applyFont="1" applyBorder="1" applyAlignment="1">
      <alignment horizontal="center"/>
    </xf>
    <xf numFmtId="0" fontId="6" fillId="6" borderId="0" xfId="0" applyFont="1" applyFill="1"/>
    <xf numFmtId="0" fontId="6" fillId="6" borderId="0" xfId="0" applyFont="1" applyFill="1" applyAlignment="1">
      <alignment horizontal="center" vertical="center" wrapText="1"/>
    </xf>
    <xf numFmtId="0" fontId="22" fillId="0" borderId="13" xfId="0" applyFont="1" applyBorder="1" applyAlignment="1">
      <alignment horizontal="left" wrapText="1"/>
    </xf>
    <xf numFmtId="0" fontId="23" fillId="0" borderId="13" xfId="0" applyFont="1" applyBorder="1" applyAlignment="1">
      <alignment horizontal="center" vertical="center"/>
    </xf>
    <xf numFmtId="4" fontId="22" fillId="0" borderId="13" xfId="0" applyNumberFormat="1" applyFont="1" applyBorder="1"/>
    <xf numFmtId="0" fontId="24" fillId="0" borderId="0" xfId="0" applyFont="1"/>
    <xf numFmtId="168" fontId="17" fillId="0" borderId="10" xfId="0" applyNumberFormat="1" applyFont="1" applyBorder="1"/>
    <xf numFmtId="4" fontId="7" fillId="0" borderId="0" xfId="0" applyNumberFormat="1" applyFont="1"/>
    <xf numFmtId="0" fontId="7" fillId="0" borderId="0" xfId="0" applyFont="1"/>
    <xf numFmtId="164" fontId="10" fillId="0" borderId="0" xfId="1"/>
    <xf numFmtId="43" fontId="25" fillId="0" borderId="0" xfId="0" applyNumberFormat="1" applyFont="1"/>
    <xf numFmtId="0" fontId="6" fillId="0" borderId="16" xfId="0" applyFont="1" applyBorder="1" applyAlignment="1">
      <alignment horizontal="right" vertical="center"/>
    </xf>
    <xf numFmtId="0" fontId="6" fillId="4" borderId="16" xfId="0" applyFont="1" applyFill="1" applyBorder="1" applyAlignment="1">
      <alignment horizontal="left" vertical="center" wrapText="1"/>
    </xf>
    <xf numFmtId="0" fontId="6" fillId="4" borderId="13" xfId="0" applyFont="1" applyFill="1" applyBorder="1"/>
    <xf numFmtId="4" fontId="7" fillId="4" borderId="13" xfId="0" applyNumberFormat="1" applyFont="1" applyFill="1" applyBorder="1"/>
    <xf numFmtId="0" fontId="7" fillId="4" borderId="13" xfId="0" applyFont="1" applyFill="1" applyBorder="1"/>
    <xf numFmtId="4" fontId="6" fillId="4" borderId="13" xfId="0" applyNumberFormat="1" applyFont="1" applyFill="1" applyBorder="1"/>
    <xf numFmtId="4" fontId="7" fillId="0" borderId="13" xfId="0" applyNumberFormat="1" applyFont="1" applyBorder="1"/>
    <xf numFmtId="4" fontId="25" fillId="0" borderId="13" xfId="0" applyNumberFormat="1" applyFont="1" applyBorder="1"/>
    <xf numFmtId="0" fontId="6" fillId="0" borderId="16" xfId="0" applyFont="1" applyBorder="1" applyAlignment="1">
      <alignment horizontal="right" vertical="center"/>
    </xf>
    <xf numFmtId="0" fontId="7" fillId="3" borderId="5" xfId="0" applyFont="1" applyFill="1" applyBorder="1" applyAlignment="1">
      <alignment horizontal="center"/>
    </xf>
    <xf numFmtId="4" fontId="7" fillId="3" borderId="5" xfId="0" applyNumberFormat="1" applyFont="1" applyFill="1" applyBorder="1" applyAlignment="1">
      <alignment horizontal="center"/>
    </xf>
    <xf numFmtId="0" fontId="7" fillId="3" borderId="5" xfId="0" applyFont="1" applyFill="1" applyBorder="1" applyAlignment="1">
      <alignment horizontal="right"/>
    </xf>
    <xf numFmtId="164" fontId="7" fillId="3" borderId="5" xfId="0" applyNumberFormat="1" applyFont="1" applyFill="1" applyBorder="1" applyAlignment="1">
      <alignment horizontal="center"/>
    </xf>
    <xf numFmtId="164" fontId="7" fillId="3" borderId="5" xfId="1" applyFont="1" applyFill="1" applyBorder="1" applyAlignment="1" applyProtection="1">
      <alignment horizontal="right"/>
    </xf>
    <xf numFmtId="2" fontId="7" fillId="3" borderId="5" xfId="0" applyNumberFormat="1" applyFont="1" applyFill="1" applyBorder="1" applyAlignment="1">
      <alignment horizontal="center"/>
    </xf>
    <xf numFmtId="0" fontId="7" fillId="3" borderId="8" xfId="0" applyFont="1" applyFill="1" applyBorder="1" applyAlignment="1">
      <alignment horizontal="center"/>
    </xf>
    <xf numFmtId="164" fontId="6" fillId="0" borderId="5" xfId="1" applyFont="1" applyFill="1" applyBorder="1" applyAlignment="1" applyProtection="1">
      <alignment horizontal="right"/>
    </xf>
    <xf numFmtId="0" fontId="6" fillId="0" borderId="5" xfId="0" applyFont="1" applyBorder="1" applyAlignment="1">
      <alignment horizontal="left"/>
    </xf>
    <xf numFmtId="0" fontId="6" fillId="0" borderId="5" xfId="0" applyFont="1" applyBorder="1" applyAlignment="1">
      <alignment horizontal="left" wrapText="1"/>
    </xf>
    <xf numFmtId="2" fontId="6" fillId="0" borderId="5" xfId="0" applyNumberFormat="1" applyFont="1" applyBorder="1" applyAlignment="1">
      <alignment horizontal="right"/>
    </xf>
    <xf numFmtId="2" fontId="6" fillId="0" borderId="8" xfId="0" applyNumberFormat="1" applyFont="1" applyBorder="1" applyAlignment="1">
      <alignment horizontal="right"/>
    </xf>
    <xf numFmtId="0" fontId="6" fillId="0" borderId="8" xfId="0" applyFont="1" applyBorder="1" applyAlignment="1">
      <alignment horizontal="right"/>
    </xf>
    <xf numFmtId="0" fontId="6" fillId="0" borderId="5" xfId="0" applyFont="1" applyBorder="1" applyAlignment="1">
      <alignment horizontal="right"/>
    </xf>
    <xf numFmtId="0" fontId="6" fillId="0" borderId="9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165" fontId="7" fillId="0" borderId="0" xfId="0" applyNumberFormat="1" applyFont="1" applyAlignment="1">
      <alignment horizontal="center"/>
    </xf>
    <xf numFmtId="49" fontId="1" fillId="0" borderId="7" xfId="0" applyNumberFormat="1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1" xfId="0" applyFont="1" applyBorder="1" applyAlignment="1">
      <alignment horizontal="left"/>
    </xf>
    <xf numFmtId="0" fontId="6" fillId="0" borderId="12" xfId="0" applyFont="1" applyBorder="1" applyAlignment="1">
      <alignment horizontal="left"/>
    </xf>
    <xf numFmtId="0" fontId="6" fillId="0" borderId="11" xfId="0" applyFont="1" applyBorder="1"/>
    <xf numFmtId="0" fontId="6" fillId="0" borderId="12" xfId="0" applyFont="1" applyBorder="1"/>
    <xf numFmtId="0" fontId="6" fillId="0" borderId="11" xfId="0" applyFont="1" applyBorder="1" applyAlignment="1">
      <alignment wrapText="1"/>
    </xf>
    <xf numFmtId="0" fontId="6" fillId="0" borderId="12" xfId="0" applyFont="1" applyBorder="1" applyAlignment="1">
      <alignment wrapText="1"/>
    </xf>
    <xf numFmtId="0" fontId="6" fillId="0" borderId="15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right" vertical="center"/>
    </xf>
    <xf numFmtId="0" fontId="6" fillId="0" borderId="16" xfId="0" applyFont="1" applyBorder="1" applyAlignment="1">
      <alignment horizontal="right" vertical="center"/>
    </xf>
  </cellXfs>
  <cellStyles count="3">
    <cellStyle name="Обычный" xfId="0" builtinId="0"/>
    <cellStyle name="Финансовый" xfId="1" builtinId="3"/>
    <cellStyle name="Финансовый 2" xfId="2"/>
  </cellStyles>
  <dxfs count="8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b/>
        <i val="0"/>
        <color rgb="FFC0000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b/>
        <i val="0"/>
        <color rgb="FFC0000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b/>
        <i val="0"/>
        <color rgb="FFC0000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b/>
        <i val="0"/>
        <color rgb="FFC0000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b/>
        <i val="0"/>
        <color rgb="FFC0000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b/>
        <i val="0"/>
        <color rgb="FFC0000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b/>
        <i val="0"/>
        <color rgb="FFC0000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b/>
        <i val="0"/>
        <color rgb="FFC0000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b/>
        <i val="0"/>
        <color rgb="FFC0000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b/>
        <i val="0"/>
        <color rgb="FFC0000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b/>
        <i val="0"/>
        <color rgb="FFC0000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b/>
        <i val="0"/>
        <color rgb="FFC0000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b/>
        <i val="0"/>
        <color rgb="FFC0000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b/>
        <i val="0"/>
        <color rgb="FFC0000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b/>
        <i val="0"/>
        <color rgb="FFC0000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b/>
        <i val="0"/>
        <color rgb="FFC0000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b/>
        <i val="0"/>
        <color rgb="FFC0000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b/>
        <i val="0"/>
        <color rgb="FFC0000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b/>
        <i val="0"/>
        <color rgb="FFC0000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b/>
        <i val="0"/>
        <color rgb="FFC0000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b/>
        <i val="0"/>
        <color rgb="FFC0000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b/>
        <i val="0"/>
        <color rgb="FFC0000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b/>
        <i val="0"/>
        <color rgb="FFC0000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b/>
        <i val="0"/>
        <color rgb="FFC00000"/>
      </font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7826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3333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2CF42C"/>
      <color rgb="FFCFFF21"/>
      <color rgb="FF69EB3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8"/>
    <pageSetUpPr fitToPage="1"/>
  </sheetPr>
  <dimension ref="A1:EC64"/>
  <sheetViews>
    <sheetView view="pageBreakPreview" topLeftCell="A25" zoomScaleSheetLayoutView="100" workbookViewId="0">
      <selection activeCell="U40" sqref="U40:AF40"/>
    </sheetView>
  </sheetViews>
  <sheetFormatPr defaultColWidth="1.140625" defaultRowHeight="15.75" x14ac:dyDescent="0.25"/>
  <cols>
    <col min="1" max="18" width="1.140625" style="1"/>
    <col min="19" max="19" width="10.140625" style="1" customWidth="1"/>
    <col min="20" max="20" width="0.42578125" style="1" customWidth="1"/>
    <col min="21" max="26" width="1.140625" style="1"/>
    <col min="27" max="27" width="0.7109375" style="1" customWidth="1"/>
    <col min="28" max="30" width="0" style="1" hidden="1" customWidth="1"/>
    <col min="31" max="37" width="1.140625" style="1"/>
    <col min="38" max="38" width="0.7109375" style="1" customWidth="1"/>
    <col min="39" max="41" width="0" style="1" hidden="1" customWidth="1"/>
    <col min="42" max="42" width="1" style="1" customWidth="1"/>
    <col min="43" max="43" width="0" style="1" hidden="1" customWidth="1"/>
    <col min="44" max="44" width="0.7109375" style="1" customWidth="1"/>
    <col min="45" max="46" width="0" style="1" hidden="1" customWidth="1"/>
    <col min="47" max="54" width="1.140625" style="1"/>
    <col min="55" max="55" width="0.7109375" style="1" customWidth="1"/>
    <col min="56" max="59" width="0" style="1" hidden="1" customWidth="1"/>
    <col min="60" max="110" width="1.140625" style="1"/>
    <col min="111" max="111" width="14" style="1" customWidth="1"/>
    <col min="112" max="123" width="1.140625" style="1"/>
    <col min="124" max="124" width="0.140625" style="1" customWidth="1"/>
    <col min="125" max="130" width="0" style="1" hidden="1" customWidth="1"/>
    <col min="131" max="131" width="0" style="2" hidden="1" customWidth="1"/>
    <col min="132" max="16384" width="1.140625" style="1"/>
  </cols>
  <sheetData>
    <row r="1" spans="1:131" s="3" customFormat="1" ht="11.25" x14ac:dyDescent="0.2">
      <c r="DS1" s="4" t="s">
        <v>0</v>
      </c>
      <c r="DT1" s="4"/>
      <c r="EA1" s="5"/>
    </row>
    <row r="2" spans="1:131" s="3" customFormat="1" ht="11.25" x14ac:dyDescent="0.2">
      <c r="DS2" s="4" t="s">
        <v>1</v>
      </c>
      <c r="DT2" s="4"/>
      <c r="EA2" s="5"/>
    </row>
    <row r="3" spans="1:131" s="3" customFormat="1" ht="11.25" x14ac:dyDescent="0.2">
      <c r="DS3" s="4" t="s">
        <v>2</v>
      </c>
      <c r="DT3" s="4"/>
      <c r="EA3" s="5"/>
    </row>
    <row r="4" spans="1:131" s="6" customFormat="1" ht="11.25" x14ac:dyDescent="0.2">
      <c r="DS4" s="4" t="s">
        <v>3</v>
      </c>
      <c r="DT4" s="4"/>
      <c r="EA4" s="7"/>
    </row>
    <row r="6" spans="1:131" s="9" customFormat="1" ht="30" customHeight="1" x14ac:dyDescent="0.25">
      <c r="A6" s="151" t="s">
        <v>160</v>
      </c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  <c r="S6" s="151"/>
      <c r="T6" s="151"/>
      <c r="U6" s="151"/>
      <c r="V6" s="151"/>
      <c r="W6" s="151"/>
      <c r="X6" s="151"/>
      <c r="Y6" s="151"/>
      <c r="Z6" s="151"/>
      <c r="AA6" s="151"/>
      <c r="AB6" s="151"/>
      <c r="AC6" s="151"/>
      <c r="AD6" s="151"/>
      <c r="AE6" s="151"/>
      <c r="AF6" s="151"/>
      <c r="AG6" s="151"/>
      <c r="AH6" s="151"/>
      <c r="AI6" s="151"/>
      <c r="AJ6" s="151"/>
      <c r="AK6" s="151"/>
      <c r="AL6" s="151"/>
      <c r="AM6" s="151"/>
      <c r="AN6" s="151"/>
      <c r="AO6" s="151"/>
      <c r="AP6" s="151"/>
      <c r="AQ6" s="151"/>
      <c r="AR6" s="151"/>
      <c r="AS6" s="151"/>
      <c r="AT6" s="151"/>
      <c r="AU6" s="151"/>
      <c r="AV6" s="151"/>
      <c r="AW6" s="151"/>
      <c r="AX6" s="151"/>
      <c r="AY6" s="151"/>
      <c r="AZ6" s="151"/>
      <c r="BA6" s="151"/>
      <c r="BB6" s="151"/>
      <c r="BC6" s="151"/>
      <c r="BD6" s="151"/>
      <c r="BE6" s="151"/>
      <c r="BF6" s="151"/>
      <c r="BG6" s="151"/>
      <c r="BH6" s="151"/>
      <c r="BI6" s="151"/>
      <c r="BJ6" s="151"/>
      <c r="BK6" s="151"/>
      <c r="BL6" s="151"/>
      <c r="BM6" s="151"/>
      <c r="BN6" s="151"/>
      <c r="BO6" s="151"/>
      <c r="BP6" s="151"/>
      <c r="BQ6" s="151"/>
      <c r="BR6" s="151"/>
      <c r="BS6" s="151"/>
      <c r="BT6" s="151"/>
      <c r="BU6" s="151"/>
      <c r="BV6" s="151"/>
      <c r="BW6" s="151"/>
      <c r="BX6" s="151"/>
      <c r="BY6" s="151"/>
      <c r="BZ6" s="151"/>
      <c r="CA6" s="151"/>
      <c r="CB6" s="151"/>
      <c r="CC6" s="151"/>
      <c r="CD6" s="151"/>
      <c r="CE6" s="151"/>
      <c r="CF6" s="151"/>
      <c r="CG6" s="151"/>
      <c r="CH6" s="151"/>
      <c r="CI6" s="151"/>
      <c r="CJ6" s="151"/>
      <c r="CK6" s="151"/>
      <c r="CL6" s="151"/>
      <c r="CM6" s="151"/>
      <c r="CN6" s="151"/>
      <c r="CO6" s="151"/>
      <c r="CP6" s="151"/>
      <c r="CQ6" s="151"/>
      <c r="CR6" s="151"/>
      <c r="CS6" s="151"/>
      <c r="CT6" s="151"/>
      <c r="CU6" s="151"/>
      <c r="CV6" s="151"/>
      <c r="CW6" s="151"/>
      <c r="CX6" s="151"/>
      <c r="CY6" s="151"/>
      <c r="CZ6" s="151"/>
      <c r="DA6" s="151"/>
      <c r="DB6" s="151"/>
      <c r="DC6" s="151"/>
      <c r="DD6" s="151"/>
      <c r="DE6" s="151"/>
      <c r="DF6" s="151"/>
      <c r="DG6" s="151"/>
      <c r="DH6" s="151"/>
      <c r="DI6" s="151"/>
      <c r="DJ6" s="151"/>
      <c r="DK6" s="151"/>
      <c r="DL6" s="151"/>
      <c r="DM6" s="151"/>
      <c r="DN6" s="151"/>
      <c r="DO6" s="151"/>
      <c r="DP6" s="151"/>
      <c r="DQ6" s="151"/>
      <c r="DR6" s="151"/>
      <c r="DS6" s="151"/>
      <c r="DT6" s="8"/>
      <c r="EA6" s="10"/>
    </row>
    <row r="7" spans="1:131" s="12" customFormat="1" ht="9.75" x14ac:dyDescent="0.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EA7" s="13"/>
    </row>
    <row r="8" spans="1:131" s="9" customFormat="1" x14ac:dyDescent="0.25">
      <c r="A8" s="152" t="s">
        <v>4</v>
      </c>
      <c r="B8" s="152"/>
      <c r="C8" s="152"/>
      <c r="D8" s="152"/>
      <c r="E8" s="152"/>
      <c r="F8" s="152"/>
      <c r="G8" s="152"/>
      <c r="H8" s="152"/>
      <c r="I8" s="152"/>
      <c r="J8" s="152"/>
      <c r="K8" s="152"/>
      <c r="L8" s="152"/>
      <c r="M8" s="152"/>
      <c r="N8" s="152"/>
      <c r="O8" s="152"/>
      <c r="P8" s="152"/>
      <c r="Q8" s="152"/>
      <c r="R8" s="152"/>
      <c r="S8" s="152"/>
      <c r="T8" s="152"/>
      <c r="U8" s="152"/>
      <c r="V8" s="152"/>
      <c r="W8" s="152"/>
      <c r="X8" s="152"/>
      <c r="Y8" s="152"/>
      <c r="Z8" s="152"/>
      <c r="AA8" s="152"/>
      <c r="AB8" s="152"/>
      <c r="AC8" s="152"/>
      <c r="AD8" s="152"/>
      <c r="AE8" s="152"/>
      <c r="AF8" s="152"/>
      <c r="AG8" s="152"/>
      <c r="AH8" s="152"/>
      <c r="AI8" s="152"/>
      <c r="AJ8" s="152"/>
      <c r="AK8" s="152"/>
      <c r="AL8" s="152"/>
      <c r="AM8" s="152"/>
      <c r="AN8" s="152"/>
      <c r="AO8" s="152"/>
      <c r="AP8" s="152"/>
      <c r="AQ8" s="152"/>
      <c r="AR8" s="152"/>
      <c r="AS8" s="152"/>
      <c r="AT8" s="152"/>
      <c r="AU8" s="152"/>
      <c r="AV8" s="152"/>
      <c r="AW8" s="152"/>
      <c r="AX8" s="152"/>
      <c r="AY8" s="152"/>
      <c r="AZ8" s="152"/>
      <c r="BA8" s="152"/>
      <c r="BB8" s="152"/>
      <c r="BC8" s="152"/>
      <c r="BD8" s="152"/>
      <c r="BE8" s="152"/>
      <c r="BF8" s="152"/>
      <c r="BG8" s="152"/>
      <c r="BH8" s="152"/>
      <c r="BI8" s="152"/>
      <c r="BJ8" s="152"/>
      <c r="BK8" s="152"/>
      <c r="BL8" s="152"/>
      <c r="BM8" s="152"/>
      <c r="BN8" s="152"/>
      <c r="BO8" s="152"/>
      <c r="BP8" s="152"/>
      <c r="BQ8" s="152"/>
      <c r="BR8" s="152"/>
      <c r="BS8" s="152"/>
      <c r="BT8" s="152"/>
      <c r="BU8" s="152"/>
      <c r="BV8" s="152"/>
      <c r="BW8" s="152"/>
      <c r="BX8" s="152"/>
      <c r="BY8" s="152"/>
      <c r="BZ8" s="152"/>
      <c r="CA8" s="152"/>
      <c r="CB8" s="152"/>
      <c r="CC8" s="152"/>
      <c r="CD8" s="152"/>
      <c r="CE8" s="152"/>
      <c r="CF8" s="152"/>
      <c r="CG8" s="152"/>
      <c r="CH8" s="152"/>
      <c r="CI8" s="152"/>
      <c r="CJ8" s="152"/>
      <c r="CK8" s="152"/>
      <c r="CL8" s="152"/>
      <c r="CM8" s="152"/>
      <c r="CN8" s="152"/>
      <c r="CO8" s="152"/>
      <c r="CP8" s="152"/>
      <c r="CQ8" s="152"/>
      <c r="CR8" s="152"/>
      <c r="CS8" s="152"/>
      <c r="CT8" s="152"/>
      <c r="CU8" s="152"/>
      <c r="CV8" s="152"/>
      <c r="CW8" s="152"/>
      <c r="CX8" s="152"/>
      <c r="CY8" s="152"/>
      <c r="CZ8" s="152"/>
      <c r="DA8" s="152"/>
      <c r="DB8" s="152"/>
      <c r="DC8" s="152"/>
      <c r="DD8" s="152"/>
      <c r="DE8" s="152"/>
      <c r="DF8" s="152"/>
      <c r="DG8" s="152"/>
      <c r="DH8" s="152"/>
      <c r="DI8" s="152"/>
      <c r="DJ8" s="152"/>
      <c r="DK8" s="152"/>
      <c r="DL8" s="152"/>
      <c r="DM8" s="152"/>
      <c r="DN8" s="152"/>
      <c r="DO8" s="152"/>
      <c r="DP8" s="152"/>
      <c r="DQ8" s="152"/>
      <c r="DR8" s="152"/>
      <c r="DS8" s="152"/>
      <c r="DT8" s="14"/>
      <c r="DU8" s="9">
        <v>211</v>
      </c>
      <c r="DV8" s="15">
        <v>25513532</v>
      </c>
      <c r="DW8" s="153">
        <f>DV8-DF44</f>
        <v>-18828304.240000002</v>
      </c>
      <c r="DX8" s="153"/>
      <c r="DY8" s="16"/>
      <c r="EA8" s="10"/>
    </row>
    <row r="9" spans="1:131" s="17" customFormat="1" ht="12.75" x14ac:dyDescent="0.2">
      <c r="DV9" s="18"/>
      <c r="DY9" s="19"/>
      <c r="EA9" s="20"/>
    </row>
    <row r="10" spans="1:131" x14ac:dyDescent="0.25">
      <c r="A10" s="9" t="s">
        <v>5</v>
      </c>
      <c r="T10" s="154" t="s">
        <v>135</v>
      </c>
      <c r="U10" s="154"/>
      <c r="V10" s="154"/>
      <c r="W10" s="154"/>
      <c r="X10" s="154"/>
      <c r="Y10" s="154"/>
      <c r="Z10" s="154"/>
      <c r="AA10" s="154"/>
      <c r="AB10" s="154"/>
      <c r="AC10" s="154"/>
      <c r="AD10" s="154"/>
      <c r="AE10" s="154"/>
      <c r="AF10" s="154"/>
      <c r="AG10" s="154"/>
      <c r="AH10" s="154"/>
      <c r="AI10" s="154"/>
      <c r="AJ10" s="154"/>
      <c r="AK10" s="154"/>
      <c r="AL10" s="154"/>
      <c r="AM10" s="154"/>
      <c r="AN10" s="154"/>
      <c r="AO10" s="154"/>
      <c r="AP10" s="154"/>
      <c r="AQ10" s="154"/>
      <c r="AR10" s="154"/>
      <c r="AS10" s="154"/>
      <c r="AT10" s="154"/>
      <c r="AU10" s="154"/>
      <c r="AV10" s="154"/>
      <c r="AW10" s="154"/>
      <c r="AX10" s="154"/>
      <c r="AY10" s="154"/>
      <c r="AZ10" s="154"/>
      <c r="BA10" s="154"/>
      <c r="BB10" s="154"/>
      <c r="BC10" s="154"/>
      <c r="BD10" s="154"/>
      <c r="BE10" s="154"/>
      <c r="BF10" s="154"/>
      <c r="BG10" s="154"/>
      <c r="BH10" s="154"/>
      <c r="BI10" s="154"/>
      <c r="BJ10" s="154"/>
      <c r="BK10" s="154"/>
      <c r="BL10" s="154"/>
      <c r="BM10" s="154"/>
      <c r="BN10" s="154"/>
      <c r="BO10" s="154"/>
      <c r="BP10" s="154"/>
      <c r="BQ10" s="154"/>
      <c r="BR10" s="154"/>
      <c r="BS10" s="154"/>
      <c r="BT10" s="154"/>
      <c r="BU10" s="154"/>
      <c r="BV10" s="154"/>
      <c r="BW10" s="154"/>
      <c r="BX10" s="154"/>
      <c r="BY10" s="154"/>
      <c r="BZ10" s="154"/>
      <c r="CA10" s="154"/>
      <c r="CB10" s="154"/>
      <c r="CC10" s="154"/>
      <c r="CD10" s="154"/>
      <c r="CE10" s="154"/>
      <c r="CF10" s="154"/>
      <c r="CG10" s="154"/>
      <c r="CH10" s="154"/>
      <c r="CI10" s="154"/>
      <c r="CJ10" s="154"/>
      <c r="CK10" s="154"/>
      <c r="CL10" s="154"/>
      <c r="CM10" s="154"/>
      <c r="CN10" s="154"/>
      <c r="CO10" s="154"/>
      <c r="CP10" s="154"/>
      <c r="CQ10" s="154"/>
      <c r="CR10" s="154"/>
      <c r="CS10" s="154"/>
      <c r="CT10" s="154"/>
      <c r="CU10" s="154"/>
      <c r="CV10" s="154"/>
      <c r="CW10" s="154"/>
      <c r="CX10" s="154"/>
      <c r="CY10" s="154"/>
      <c r="CZ10" s="154"/>
      <c r="DA10" s="154"/>
      <c r="DB10" s="154"/>
      <c r="DC10" s="154"/>
      <c r="DD10" s="154"/>
      <c r="DE10" s="154"/>
      <c r="DF10" s="154"/>
      <c r="DG10" s="154"/>
      <c r="DH10" s="154"/>
      <c r="DI10" s="154"/>
      <c r="DJ10" s="154"/>
      <c r="DK10" s="154"/>
      <c r="DL10" s="154"/>
      <c r="DM10" s="154"/>
      <c r="DN10" s="154"/>
      <c r="DO10" s="154"/>
      <c r="DP10" s="154"/>
      <c r="DQ10" s="154"/>
      <c r="DR10" s="154"/>
      <c r="DS10" s="154"/>
      <c r="DT10" s="21"/>
      <c r="DV10" s="22"/>
    </row>
    <row r="11" spans="1:131" s="23" customFormat="1" ht="12.75" x14ac:dyDescent="0.2">
      <c r="A11" s="12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  <c r="BF11" s="24"/>
      <c r="BG11" s="24"/>
      <c r="BH11" s="24"/>
      <c r="BI11" s="24"/>
      <c r="BJ11" s="24"/>
      <c r="BK11" s="24"/>
      <c r="BL11" s="24"/>
      <c r="BM11" s="24"/>
      <c r="BN11" s="24"/>
      <c r="BO11" s="24"/>
      <c r="BP11" s="24"/>
      <c r="BQ11" s="24"/>
      <c r="BR11" s="24"/>
      <c r="BS11" s="24"/>
      <c r="BT11" s="24"/>
      <c r="BU11" s="24"/>
      <c r="BV11" s="24"/>
      <c r="BW11" s="24"/>
      <c r="BX11" s="24"/>
      <c r="BY11" s="24"/>
      <c r="BZ11" s="24"/>
      <c r="CA11" s="24"/>
      <c r="CB11" s="24"/>
      <c r="CC11" s="24"/>
      <c r="CD11" s="24"/>
      <c r="CE11" s="24"/>
      <c r="CF11" s="24"/>
      <c r="CG11" s="24"/>
      <c r="CH11" s="24"/>
      <c r="CI11" s="24"/>
      <c r="CJ11" s="24"/>
      <c r="CK11" s="24"/>
      <c r="CL11" s="24"/>
      <c r="CM11" s="24"/>
      <c r="CN11" s="24"/>
      <c r="CO11" s="24"/>
      <c r="CP11" s="24"/>
      <c r="CQ11" s="24"/>
      <c r="CR11" s="24"/>
      <c r="CS11" s="24"/>
      <c r="CT11" s="24"/>
      <c r="CU11" s="24"/>
      <c r="CV11" s="24"/>
      <c r="CW11" s="24"/>
      <c r="CX11" s="24"/>
      <c r="CY11" s="24"/>
      <c r="CZ11" s="24"/>
      <c r="DA11" s="24"/>
      <c r="DB11" s="24"/>
      <c r="DC11" s="24"/>
      <c r="DD11" s="24"/>
      <c r="DE11" s="24"/>
      <c r="DF11" s="24"/>
      <c r="DG11" s="24"/>
      <c r="DH11" s="24"/>
      <c r="DI11" s="24"/>
      <c r="DJ11" s="24"/>
      <c r="DK11" s="24"/>
      <c r="DL11" s="24"/>
      <c r="DM11" s="24"/>
      <c r="DN11" s="24"/>
      <c r="DO11" s="24"/>
      <c r="DP11" s="24"/>
      <c r="DQ11" s="24"/>
      <c r="DR11" s="24"/>
      <c r="DS11" s="24"/>
      <c r="DT11" s="24"/>
      <c r="DV11" s="18"/>
      <c r="EA11" s="25"/>
    </row>
    <row r="12" spans="1:131" ht="15" customHeight="1" x14ac:dyDescent="0.25">
      <c r="A12" s="9" t="s">
        <v>6</v>
      </c>
      <c r="AH12" s="155" t="s">
        <v>7</v>
      </c>
      <c r="AI12" s="155"/>
      <c r="AJ12" s="155"/>
      <c r="AK12" s="155"/>
      <c r="AL12" s="155"/>
      <c r="AM12" s="155"/>
      <c r="AN12" s="155"/>
      <c r="AO12" s="155"/>
      <c r="AP12" s="155"/>
      <c r="AQ12" s="155"/>
      <c r="AR12" s="155"/>
      <c r="AS12" s="155"/>
      <c r="AT12" s="155"/>
      <c r="AU12" s="155"/>
      <c r="AV12" s="155"/>
      <c r="AW12" s="155"/>
      <c r="AX12" s="155"/>
      <c r="AY12" s="155"/>
      <c r="AZ12" s="155"/>
      <c r="BA12" s="155"/>
      <c r="BB12" s="155"/>
      <c r="BC12" s="155"/>
      <c r="BD12" s="155"/>
      <c r="BE12" s="155"/>
      <c r="BF12" s="155"/>
      <c r="BG12" s="155"/>
      <c r="BH12" s="155"/>
      <c r="BI12" s="155"/>
      <c r="BJ12" s="155"/>
      <c r="BK12" s="155"/>
      <c r="BL12" s="155"/>
      <c r="BM12" s="155"/>
      <c r="BN12" s="155"/>
      <c r="BO12" s="155"/>
      <c r="BP12" s="155"/>
      <c r="BQ12" s="155"/>
      <c r="BR12" s="155"/>
      <c r="BS12" s="155"/>
      <c r="BT12" s="155"/>
      <c r="BU12" s="155"/>
      <c r="BV12" s="155"/>
      <c r="BW12" s="155"/>
      <c r="BX12" s="155"/>
      <c r="BY12" s="155"/>
      <c r="BZ12" s="155"/>
      <c r="CA12" s="155"/>
      <c r="CB12" s="155"/>
      <c r="CC12" s="155"/>
      <c r="CD12" s="155"/>
      <c r="CE12" s="155"/>
      <c r="CF12" s="155"/>
      <c r="CG12" s="155"/>
      <c r="CH12" s="155"/>
      <c r="CI12" s="155"/>
      <c r="CJ12" s="155"/>
      <c r="CK12" s="155"/>
      <c r="CL12" s="155"/>
      <c r="CM12" s="155"/>
      <c r="CN12" s="155"/>
      <c r="CO12" s="155"/>
      <c r="CP12" s="155"/>
      <c r="CQ12" s="155"/>
      <c r="CR12" s="155"/>
      <c r="CS12" s="155"/>
      <c r="CT12" s="155"/>
      <c r="CU12" s="155"/>
      <c r="CV12" s="155"/>
      <c r="CW12" s="155"/>
      <c r="CX12" s="155"/>
      <c r="CY12" s="155"/>
      <c r="CZ12" s="155"/>
      <c r="DA12" s="155"/>
      <c r="DB12" s="155"/>
      <c r="DC12" s="155"/>
      <c r="DD12" s="155"/>
      <c r="DE12" s="155"/>
      <c r="DF12" s="155"/>
      <c r="DG12" s="155"/>
      <c r="DH12" s="155"/>
      <c r="DI12" s="155"/>
      <c r="DJ12" s="155"/>
      <c r="DK12" s="155"/>
      <c r="DL12" s="155"/>
      <c r="DM12" s="155"/>
      <c r="DN12" s="155"/>
      <c r="DO12" s="155"/>
      <c r="DP12" s="155"/>
      <c r="DQ12" s="155"/>
      <c r="DR12" s="155"/>
      <c r="DS12" s="155"/>
      <c r="DT12" s="26"/>
      <c r="DV12" s="18"/>
    </row>
    <row r="13" spans="1:131" x14ac:dyDescent="0.25">
      <c r="DU13" s="1">
        <v>213</v>
      </c>
      <c r="DV13" s="15"/>
    </row>
    <row r="14" spans="1:131" x14ac:dyDescent="0.25">
      <c r="A14" s="152" t="s">
        <v>8</v>
      </c>
      <c r="B14" s="152"/>
      <c r="C14" s="152"/>
      <c r="D14" s="152"/>
      <c r="E14" s="152"/>
      <c r="F14" s="152"/>
      <c r="G14" s="152"/>
      <c r="H14" s="152"/>
      <c r="I14" s="152"/>
      <c r="J14" s="152"/>
      <c r="K14" s="152"/>
      <c r="L14" s="152"/>
      <c r="M14" s="152"/>
      <c r="N14" s="152"/>
      <c r="O14" s="152"/>
      <c r="P14" s="152"/>
      <c r="Q14" s="152"/>
      <c r="R14" s="152"/>
      <c r="S14" s="152"/>
      <c r="T14" s="152"/>
      <c r="U14" s="152"/>
      <c r="V14" s="152"/>
      <c r="W14" s="152"/>
      <c r="X14" s="152"/>
      <c r="Y14" s="152"/>
      <c r="Z14" s="152"/>
      <c r="AA14" s="152"/>
      <c r="AB14" s="152"/>
      <c r="AC14" s="152"/>
      <c r="AD14" s="152"/>
      <c r="AE14" s="152"/>
      <c r="AF14" s="152"/>
      <c r="AG14" s="152"/>
      <c r="AH14" s="152"/>
      <c r="AI14" s="152"/>
      <c r="AJ14" s="152"/>
      <c r="AK14" s="152"/>
      <c r="AL14" s="152"/>
      <c r="AM14" s="152"/>
      <c r="AN14" s="152"/>
      <c r="AO14" s="152"/>
      <c r="AP14" s="152"/>
      <c r="AQ14" s="152"/>
      <c r="AR14" s="152"/>
      <c r="AS14" s="152"/>
      <c r="AT14" s="152"/>
      <c r="AU14" s="152"/>
      <c r="AV14" s="152"/>
      <c r="AW14" s="152"/>
      <c r="AX14" s="152"/>
      <c r="AY14" s="152"/>
      <c r="AZ14" s="152"/>
      <c r="BA14" s="152"/>
      <c r="BB14" s="152"/>
      <c r="BC14" s="152"/>
      <c r="BD14" s="152"/>
      <c r="BE14" s="152"/>
      <c r="BF14" s="152"/>
      <c r="BG14" s="152"/>
      <c r="BH14" s="152"/>
      <c r="BI14" s="152"/>
      <c r="BJ14" s="152"/>
      <c r="BK14" s="152"/>
      <c r="BL14" s="152"/>
      <c r="BM14" s="152"/>
      <c r="BN14" s="152"/>
      <c r="BO14" s="152"/>
      <c r="BP14" s="152"/>
      <c r="BQ14" s="152"/>
      <c r="BR14" s="152"/>
      <c r="BS14" s="152"/>
      <c r="BT14" s="152"/>
      <c r="BU14" s="152"/>
      <c r="BV14" s="152"/>
      <c r="BW14" s="152"/>
      <c r="BX14" s="152"/>
      <c r="BY14" s="152"/>
      <c r="BZ14" s="152"/>
      <c r="CA14" s="152"/>
      <c r="CB14" s="152"/>
      <c r="CC14" s="152"/>
      <c r="CD14" s="152"/>
      <c r="CE14" s="152"/>
      <c r="CF14" s="152"/>
      <c r="CG14" s="152"/>
      <c r="CH14" s="152"/>
      <c r="CI14" s="152"/>
      <c r="CJ14" s="152"/>
      <c r="CK14" s="152"/>
      <c r="CL14" s="152"/>
      <c r="CM14" s="152"/>
      <c r="CN14" s="152"/>
      <c r="CO14" s="152"/>
      <c r="CP14" s="152"/>
      <c r="CQ14" s="152"/>
      <c r="CR14" s="152"/>
      <c r="CS14" s="152"/>
      <c r="CT14" s="152"/>
      <c r="CU14" s="152"/>
      <c r="CV14" s="152"/>
      <c r="CW14" s="152"/>
      <c r="CX14" s="152"/>
      <c r="CY14" s="152"/>
      <c r="CZ14" s="152"/>
      <c r="DA14" s="152"/>
      <c r="DB14" s="152"/>
      <c r="DC14" s="152"/>
      <c r="DD14" s="152"/>
      <c r="DE14" s="152"/>
      <c r="DF14" s="152"/>
      <c r="DG14" s="152"/>
      <c r="DH14" s="152"/>
      <c r="DI14" s="152"/>
      <c r="DJ14" s="152"/>
      <c r="DK14" s="152"/>
      <c r="DL14" s="152"/>
      <c r="DM14" s="152"/>
      <c r="DN14" s="152"/>
      <c r="DO14" s="152"/>
      <c r="DP14" s="152"/>
      <c r="DQ14" s="152"/>
      <c r="DR14" s="152"/>
      <c r="DS14" s="152"/>
      <c r="DT14" s="14"/>
    </row>
    <row r="15" spans="1:131" s="17" customFormat="1" ht="12.75" x14ac:dyDescent="0.2">
      <c r="EA15" s="20"/>
    </row>
    <row r="16" spans="1:131" s="17" customFormat="1" ht="12.75" customHeight="1" x14ac:dyDescent="0.2">
      <c r="A16" s="148" t="s">
        <v>9</v>
      </c>
      <c r="B16" s="148"/>
      <c r="C16" s="148"/>
      <c r="D16" s="148"/>
      <c r="E16" s="148" t="s">
        <v>10</v>
      </c>
      <c r="F16" s="148"/>
      <c r="G16" s="148"/>
      <c r="H16" s="148"/>
      <c r="I16" s="148"/>
      <c r="J16" s="148"/>
      <c r="K16" s="148"/>
      <c r="L16" s="148"/>
      <c r="M16" s="148"/>
      <c r="N16" s="148"/>
      <c r="O16" s="148"/>
      <c r="P16" s="148"/>
      <c r="Q16" s="148"/>
      <c r="R16" s="148"/>
      <c r="S16" s="148"/>
      <c r="T16" s="148"/>
      <c r="U16" s="148" t="s">
        <v>11</v>
      </c>
      <c r="V16" s="148"/>
      <c r="W16" s="148"/>
      <c r="X16" s="148"/>
      <c r="Y16" s="148"/>
      <c r="Z16" s="148"/>
      <c r="AA16" s="148"/>
      <c r="AB16" s="148"/>
      <c r="AC16" s="148"/>
      <c r="AD16" s="148"/>
      <c r="AE16" s="148"/>
      <c r="AF16" s="148"/>
      <c r="AG16" s="149" t="s">
        <v>12</v>
      </c>
      <c r="AH16" s="149"/>
      <c r="AI16" s="149"/>
      <c r="AJ16" s="149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49"/>
      <c r="AV16" s="149"/>
      <c r="AW16" s="149"/>
      <c r="AX16" s="149"/>
      <c r="AY16" s="149"/>
      <c r="AZ16" s="149"/>
      <c r="BA16" s="149"/>
      <c r="BB16" s="149"/>
      <c r="BC16" s="149"/>
      <c r="BD16" s="149"/>
      <c r="BE16" s="149"/>
      <c r="BF16" s="149"/>
      <c r="BG16" s="149"/>
      <c r="BH16" s="149"/>
      <c r="BI16" s="149"/>
      <c r="BJ16" s="149"/>
      <c r="BK16" s="149"/>
      <c r="BL16" s="149"/>
      <c r="BM16" s="149"/>
      <c r="BN16" s="149"/>
      <c r="BO16" s="149"/>
      <c r="BP16" s="149"/>
      <c r="BQ16" s="149"/>
      <c r="BR16" s="149"/>
      <c r="BS16" s="149"/>
      <c r="BT16" s="149"/>
      <c r="BU16" s="149"/>
      <c r="BV16" s="149"/>
      <c r="BW16" s="149"/>
      <c r="BX16" s="149"/>
      <c r="BY16" s="149"/>
      <c r="BZ16" s="149"/>
      <c r="CA16" s="149"/>
      <c r="CB16" s="149"/>
      <c r="CC16" s="149"/>
      <c r="CD16" s="149"/>
      <c r="CE16" s="149"/>
      <c r="CF16" s="149"/>
      <c r="CG16" s="149"/>
      <c r="CH16" s="149"/>
      <c r="CI16" s="149"/>
      <c r="CJ16" s="149"/>
      <c r="CK16" s="148" t="s">
        <v>13</v>
      </c>
      <c r="CL16" s="148"/>
      <c r="CM16" s="148"/>
      <c r="CN16" s="148"/>
      <c r="CO16" s="148"/>
      <c r="CP16" s="148"/>
      <c r="CQ16" s="148"/>
      <c r="CR16" s="148"/>
      <c r="CS16" s="148"/>
      <c r="CT16" s="148"/>
      <c r="CU16" s="148"/>
      <c r="CV16" s="148" t="s">
        <v>14</v>
      </c>
      <c r="CW16" s="148"/>
      <c r="CX16" s="148"/>
      <c r="CY16" s="148"/>
      <c r="CZ16" s="148"/>
      <c r="DA16" s="148"/>
      <c r="DB16" s="148"/>
      <c r="DC16" s="148"/>
      <c r="DD16" s="148"/>
      <c r="DE16" s="148"/>
      <c r="DF16" s="148" t="s">
        <v>15</v>
      </c>
      <c r="DG16" s="148"/>
      <c r="DH16" s="148"/>
      <c r="DI16" s="148"/>
      <c r="DJ16" s="148"/>
      <c r="DK16" s="148"/>
      <c r="DL16" s="148"/>
      <c r="DM16" s="148"/>
      <c r="DN16" s="148"/>
      <c r="DO16" s="148"/>
      <c r="DP16" s="148"/>
      <c r="DQ16" s="148"/>
      <c r="DR16" s="148"/>
      <c r="DS16" s="148"/>
      <c r="DT16" s="27"/>
      <c r="DU16" s="150" t="s">
        <v>16</v>
      </c>
      <c r="DV16" s="150" t="s">
        <v>17</v>
      </c>
      <c r="DW16" s="150" t="s">
        <v>18</v>
      </c>
      <c r="DX16" s="150" t="s">
        <v>19</v>
      </c>
      <c r="DY16" s="150" t="s">
        <v>20</v>
      </c>
      <c r="DZ16" s="150" t="s">
        <v>21</v>
      </c>
      <c r="EA16" s="20">
        <v>8052075</v>
      </c>
    </row>
    <row r="17" spans="1:131" s="17" customFormat="1" ht="12.75" x14ac:dyDescent="0.2">
      <c r="A17" s="147" t="s">
        <v>22</v>
      </c>
      <c r="B17" s="147"/>
      <c r="C17" s="147"/>
      <c r="D17" s="147"/>
      <c r="E17" s="147" t="s">
        <v>23</v>
      </c>
      <c r="F17" s="147"/>
      <c r="G17" s="147"/>
      <c r="H17" s="147"/>
      <c r="I17" s="147"/>
      <c r="J17" s="147"/>
      <c r="K17" s="147"/>
      <c r="L17" s="147"/>
      <c r="M17" s="147"/>
      <c r="N17" s="147"/>
      <c r="O17" s="147"/>
      <c r="P17" s="147"/>
      <c r="Q17" s="147"/>
      <c r="R17" s="147"/>
      <c r="S17" s="147"/>
      <c r="T17" s="147"/>
      <c r="U17" s="147" t="s">
        <v>24</v>
      </c>
      <c r="V17" s="147"/>
      <c r="W17" s="147"/>
      <c r="X17" s="147"/>
      <c r="Y17" s="147"/>
      <c r="Z17" s="147"/>
      <c r="AA17" s="147"/>
      <c r="AB17" s="147"/>
      <c r="AC17" s="147"/>
      <c r="AD17" s="147"/>
      <c r="AE17" s="147"/>
      <c r="AF17" s="147"/>
      <c r="AG17" s="148" t="s">
        <v>25</v>
      </c>
      <c r="AH17" s="148"/>
      <c r="AI17" s="148"/>
      <c r="AJ17" s="148"/>
      <c r="AK17" s="148"/>
      <c r="AL17" s="148"/>
      <c r="AM17" s="148"/>
      <c r="AN17" s="148"/>
      <c r="AO17" s="148"/>
      <c r="AP17" s="148"/>
      <c r="AQ17" s="148"/>
      <c r="AR17" s="148"/>
      <c r="AS17" s="148"/>
      <c r="AT17" s="148"/>
      <c r="AU17" s="149" t="s">
        <v>26</v>
      </c>
      <c r="AV17" s="149"/>
      <c r="AW17" s="149"/>
      <c r="AX17" s="149"/>
      <c r="AY17" s="149"/>
      <c r="AZ17" s="149"/>
      <c r="BA17" s="149"/>
      <c r="BB17" s="149"/>
      <c r="BC17" s="149"/>
      <c r="BD17" s="149"/>
      <c r="BE17" s="149"/>
      <c r="BF17" s="149"/>
      <c r="BG17" s="149"/>
      <c r="BH17" s="149"/>
      <c r="BI17" s="149"/>
      <c r="BJ17" s="149"/>
      <c r="BK17" s="149"/>
      <c r="BL17" s="149"/>
      <c r="BM17" s="149"/>
      <c r="BN17" s="149"/>
      <c r="BO17" s="149"/>
      <c r="BP17" s="149"/>
      <c r="BQ17" s="149"/>
      <c r="BR17" s="149"/>
      <c r="BS17" s="149"/>
      <c r="BT17" s="149"/>
      <c r="BU17" s="149"/>
      <c r="BV17" s="149"/>
      <c r="BW17" s="149"/>
      <c r="BX17" s="149"/>
      <c r="BY17" s="149"/>
      <c r="BZ17" s="149"/>
      <c r="CA17" s="149"/>
      <c r="CB17" s="149"/>
      <c r="CC17" s="149"/>
      <c r="CD17" s="149"/>
      <c r="CE17" s="149"/>
      <c r="CF17" s="149"/>
      <c r="CG17" s="149"/>
      <c r="CH17" s="149"/>
      <c r="CI17" s="149"/>
      <c r="CJ17" s="149"/>
      <c r="CK17" s="147" t="s">
        <v>27</v>
      </c>
      <c r="CL17" s="147"/>
      <c r="CM17" s="147"/>
      <c r="CN17" s="147"/>
      <c r="CO17" s="147"/>
      <c r="CP17" s="147"/>
      <c r="CQ17" s="147"/>
      <c r="CR17" s="147"/>
      <c r="CS17" s="147"/>
      <c r="CT17" s="147"/>
      <c r="CU17" s="147"/>
      <c r="CV17" s="147" t="s">
        <v>28</v>
      </c>
      <c r="CW17" s="147"/>
      <c r="CX17" s="147"/>
      <c r="CY17" s="147"/>
      <c r="CZ17" s="147"/>
      <c r="DA17" s="147"/>
      <c r="DB17" s="147"/>
      <c r="DC17" s="147"/>
      <c r="DD17" s="147"/>
      <c r="DE17" s="147"/>
      <c r="DF17" s="147" t="s">
        <v>29</v>
      </c>
      <c r="DG17" s="147"/>
      <c r="DH17" s="147"/>
      <c r="DI17" s="147"/>
      <c r="DJ17" s="147"/>
      <c r="DK17" s="147"/>
      <c r="DL17" s="147"/>
      <c r="DM17" s="147"/>
      <c r="DN17" s="147"/>
      <c r="DO17" s="147"/>
      <c r="DP17" s="147"/>
      <c r="DQ17" s="147"/>
      <c r="DR17" s="147"/>
      <c r="DS17" s="147"/>
      <c r="DT17" s="28"/>
      <c r="DU17" s="150"/>
      <c r="DV17" s="150"/>
      <c r="DW17" s="150"/>
      <c r="DX17" s="150"/>
      <c r="DY17" s="150"/>
      <c r="DZ17" s="150"/>
      <c r="EA17" s="20" t="e">
        <f>EA16-#REF!</f>
        <v>#REF!</v>
      </c>
    </row>
    <row r="18" spans="1:131" s="17" customFormat="1" ht="12.75" customHeight="1" x14ac:dyDescent="0.2">
      <c r="A18" s="147"/>
      <c r="B18" s="147"/>
      <c r="C18" s="147"/>
      <c r="D18" s="147"/>
      <c r="E18" s="147" t="s">
        <v>30</v>
      </c>
      <c r="F18" s="147"/>
      <c r="G18" s="147"/>
      <c r="H18" s="147"/>
      <c r="I18" s="147"/>
      <c r="J18" s="147"/>
      <c r="K18" s="147"/>
      <c r="L18" s="147"/>
      <c r="M18" s="147"/>
      <c r="N18" s="147"/>
      <c r="O18" s="147"/>
      <c r="P18" s="147"/>
      <c r="Q18" s="147"/>
      <c r="R18" s="147"/>
      <c r="S18" s="147"/>
      <c r="T18" s="147"/>
      <c r="U18" s="147" t="s">
        <v>31</v>
      </c>
      <c r="V18" s="147"/>
      <c r="W18" s="147"/>
      <c r="X18" s="147"/>
      <c r="Y18" s="147"/>
      <c r="Z18" s="147"/>
      <c r="AA18" s="147"/>
      <c r="AB18" s="147"/>
      <c r="AC18" s="147"/>
      <c r="AD18" s="147"/>
      <c r="AE18" s="147"/>
      <c r="AF18" s="147"/>
      <c r="AG18" s="147"/>
      <c r="AH18" s="147"/>
      <c r="AI18" s="147"/>
      <c r="AJ18" s="147"/>
      <c r="AK18" s="147"/>
      <c r="AL18" s="147"/>
      <c r="AM18" s="147"/>
      <c r="AN18" s="147"/>
      <c r="AO18" s="147"/>
      <c r="AP18" s="147"/>
      <c r="AQ18" s="147"/>
      <c r="AR18" s="147"/>
      <c r="AS18" s="147"/>
      <c r="AT18" s="147"/>
      <c r="AU18" s="148" t="s">
        <v>32</v>
      </c>
      <c r="AV18" s="148"/>
      <c r="AW18" s="148"/>
      <c r="AX18" s="148"/>
      <c r="AY18" s="148"/>
      <c r="AZ18" s="148"/>
      <c r="BA18" s="148"/>
      <c r="BB18" s="148"/>
      <c r="BC18" s="148"/>
      <c r="BD18" s="148"/>
      <c r="BE18" s="148"/>
      <c r="BF18" s="148"/>
      <c r="BG18" s="148"/>
      <c r="BH18" s="148"/>
      <c r="BI18" s="148" t="s">
        <v>33</v>
      </c>
      <c r="BJ18" s="148"/>
      <c r="BK18" s="148"/>
      <c r="BL18" s="148"/>
      <c r="BM18" s="148"/>
      <c r="BN18" s="148"/>
      <c r="BO18" s="148"/>
      <c r="BP18" s="148"/>
      <c r="BQ18" s="148"/>
      <c r="BR18" s="148"/>
      <c r="BS18" s="148"/>
      <c r="BT18" s="148"/>
      <c r="BU18" s="148"/>
      <c r="BV18" s="148"/>
      <c r="BW18" s="148" t="s">
        <v>33</v>
      </c>
      <c r="BX18" s="148"/>
      <c r="BY18" s="148"/>
      <c r="BZ18" s="148"/>
      <c r="CA18" s="148"/>
      <c r="CB18" s="148"/>
      <c r="CC18" s="148"/>
      <c r="CD18" s="148"/>
      <c r="CE18" s="148"/>
      <c r="CF18" s="148"/>
      <c r="CG18" s="148"/>
      <c r="CH18" s="148"/>
      <c r="CI18" s="148"/>
      <c r="CJ18" s="148"/>
      <c r="CK18" s="147" t="s">
        <v>34</v>
      </c>
      <c r="CL18" s="147"/>
      <c r="CM18" s="147"/>
      <c r="CN18" s="147"/>
      <c r="CO18" s="147"/>
      <c r="CP18" s="147"/>
      <c r="CQ18" s="147"/>
      <c r="CR18" s="147"/>
      <c r="CS18" s="147"/>
      <c r="CT18" s="147"/>
      <c r="CU18" s="147"/>
      <c r="CV18" s="147"/>
      <c r="CW18" s="147"/>
      <c r="CX18" s="147"/>
      <c r="CY18" s="147"/>
      <c r="CZ18" s="147"/>
      <c r="DA18" s="147"/>
      <c r="DB18" s="147"/>
      <c r="DC18" s="147"/>
      <c r="DD18" s="147"/>
      <c r="DE18" s="147"/>
      <c r="DF18" s="147" t="s">
        <v>35</v>
      </c>
      <c r="DG18" s="147"/>
      <c r="DH18" s="147"/>
      <c r="DI18" s="147"/>
      <c r="DJ18" s="147"/>
      <c r="DK18" s="147"/>
      <c r="DL18" s="147"/>
      <c r="DM18" s="147"/>
      <c r="DN18" s="147"/>
      <c r="DO18" s="147"/>
      <c r="DP18" s="147"/>
      <c r="DQ18" s="147"/>
      <c r="DR18" s="147"/>
      <c r="DS18" s="147"/>
      <c r="DT18" s="28"/>
      <c r="DU18" s="150"/>
      <c r="DV18" s="150"/>
      <c r="DW18" s="150"/>
      <c r="DX18" s="150"/>
      <c r="DY18" s="150"/>
      <c r="DZ18" s="150"/>
      <c r="EA18" s="20"/>
    </row>
    <row r="19" spans="1:131" s="17" customFormat="1" ht="12.75" x14ac:dyDescent="0.2">
      <c r="A19" s="147"/>
      <c r="B19" s="147"/>
      <c r="C19" s="147"/>
      <c r="D19" s="147"/>
      <c r="E19" s="147"/>
      <c r="F19" s="147"/>
      <c r="G19" s="147"/>
      <c r="H19" s="147"/>
      <c r="I19" s="147"/>
      <c r="J19" s="147"/>
      <c r="K19" s="147"/>
      <c r="L19" s="147"/>
      <c r="M19" s="147"/>
      <c r="N19" s="147"/>
      <c r="O19" s="147"/>
      <c r="P19" s="147"/>
      <c r="Q19" s="147"/>
      <c r="R19" s="147"/>
      <c r="S19" s="147"/>
      <c r="T19" s="147"/>
      <c r="U19" s="147"/>
      <c r="V19" s="147"/>
      <c r="W19" s="147"/>
      <c r="X19" s="147"/>
      <c r="Y19" s="147"/>
      <c r="Z19" s="147"/>
      <c r="AA19" s="147"/>
      <c r="AB19" s="147"/>
      <c r="AC19" s="147"/>
      <c r="AD19" s="147"/>
      <c r="AE19" s="147"/>
      <c r="AF19" s="147"/>
      <c r="AG19" s="147"/>
      <c r="AH19" s="147"/>
      <c r="AI19" s="147"/>
      <c r="AJ19" s="147"/>
      <c r="AK19" s="147"/>
      <c r="AL19" s="147"/>
      <c r="AM19" s="147"/>
      <c r="AN19" s="147"/>
      <c r="AO19" s="147"/>
      <c r="AP19" s="147"/>
      <c r="AQ19" s="147"/>
      <c r="AR19" s="147"/>
      <c r="AS19" s="147"/>
      <c r="AT19" s="147"/>
      <c r="AU19" s="147" t="s">
        <v>34</v>
      </c>
      <c r="AV19" s="147"/>
      <c r="AW19" s="147"/>
      <c r="AX19" s="147"/>
      <c r="AY19" s="147"/>
      <c r="AZ19" s="147"/>
      <c r="BA19" s="147"/>
      <c r="BB19" s="147"/>
      <c r="BC19" s="147"/>
      <c r="BD19" s="147"/>
      <c r="BE19" s="147"/>
      <c r="BF19" s="147"/>
      <c r="BG19" s="147"/>
      <c r="BH19" s="147"/>
      <c r="BI19" s="147" t="s">
        <v>36</v>
      </c>
      <c r="BJ19" s="147"/>
      <c r="BK19" s="147"/>
      <c r="BL19" s="147"/>
      <c r="BM19" s="147"/>
      <c r="BN19" s="147"/>
      <c r="BO19" s="147"/>
      <c r="BP19" s="147"/>
      <c r="BQ19" s="147"/>
      <c r="BR19" s="147"/>
      <c r="BS19" s="147"/>
      <c r="BT19" s="147"/>
      <c r="BU19" s="147"/>
      <c r="BV19" s="147"/>
      <c r="BW19" s="147" t="s">
        <v>37</v>
      </c>
      <c r="BX19" s="147"/>
      <c r="BY19" s="147"/>
      <c r="BZ19" s="147"/>
      <c r="CA19" s="147"/>
      <c r="CB19" s="147"/>
      <c r="CC19" s="147"/>
      <c r="CD19" s="147"/>
      <c r="CE19" s="147"/>
      <c r="CF19" s="147"/>
      <c r="CG19" s="147"/>
      <c r="CH19" s="147"/>
      <c r="CI19" s="147"/>
      <c r="CJ19" s="147"/>
      <c r="CK19" s="147" t="s">
        <v>38</v>
      </c>
      <c r="CL19" s="147"/>
      <c r="CM19" s="147"/>
      <c r="CN19" s="147"/>
      <c r="CO19" s="147"/>
      <c r="CP19" s="147"/>
      <c r="CQ19" s="147"/>
      <c r="CR19" s="147"/>
      <c r="CS19" s="147"/>
      <c r="CT19" s="147"/>
      <c r="CU19" s="147"/>
      <c r="CV19" s="147"/>
      <c r="CW19" s="147"/>
      <c r="CX19" s="147"/>
      <c r="CY19" s="147"/>
      <c r="CZ19" s="147"/>
      <c r="DA19" s="147"/>
      <c r="DB19" s="147"/>
      <c r="DC19" s="147"/>
      <c r="DD19" s="147"/>
      <c r="DE19" s="147"/>
      <c r="DF19" s="147" t="s">
        <v>39</v>
      </c>
      <c r="DG19" s="147"/>
      <c r="DH19" s="147"/>
      <c r="DI19" s="147"/>
      <c r="DJ19" s="147"/>
      <c r="DK19" s="147"/>
      <c r="DL19" s="147"/>
      <c r="DM19" s="147"/>
      <c r="DN19" s="147"/>
      <c r="DO19" s="147"/>
      <c r="DP19" s="147"/>
      <c r="DQ19" s="147"/>
      <c r="DR19" s="147"/>
      <c r="DS19" s="147"/>
      <c r="DT19" s="28"/>
      <c r="DU19" s="150"/>
      <c r="DV19" s="150"/>
      <c r="DW19" s="150"/>
      <c r="DX19" s="150"/>
      <c r="DY19" s="150"/>
      <c r="DZ19" s="150"/>
      <c r="EA19" s="20">
        <v>2431726</v>
      </c>
    </row>
    <row r="20" spans="1:131" s="17" customFormat="1" ht="12.75" x14ac:dyDescent="0.2">
      <c r="A20" s="147"/>
      <c r="B20" s="147"/>
      <c r="C20" s="147"/>
      <c r="D20" s="147"/>
      <c r="E20" s="147"/>
      <c r="F20" s="147"/>
      <c r="G20" s="147"/>
      <c r="H20" s="147"/>
      <c r="I20" s="147"/>
      <c r="J20" s="147"/>
      <c r="K20" s="147"/>
      <c r="L20" s="147"/>
      <c r="M20" s="147"/>
      <c r="N20" s="147"/>
      <c r="O20" s="147"/>
      <c r="P20" s="147"/>
      <c r="Q20" s="147"/>
      <c r="R20" s="147"/>
      <c r="S20" s="147"/>
      <c r="T20" s="147"/>
      <c r="U20" s="147"/>
      <c r="V20" s="147"/>
      <c r="W20" s="147"/>
      <c r="X20" s="147"/>
      <c r="Y20" s="147"/>
      <c r="Z20" s="147"/>
      <c r="AA20" s="147"/>
      <c r="AB20" s="147"/>
      <c r="AC20" s="147"/>
      <c r="AD20" s="147"/>
      <c r="AE20" s="147"/>
      <c r="AF20" s="147"/>
      <c r="AG20" s="147"/>
      <c r="AH20" s="147"/>
      <c r="AI20" s="147"/>
      <c r="AJ20" s="147"/>
      <c r="AK20" s="147"/>
      <c r="AL20" s="147"/>
      <c r="AM20" s="147"/>
      <c r="AN20" s="147"/>
      <c r="AO20" s="147"/>
      <c r="AP20" s="147"/>
      <c r="AQ20" s="147"/>
      <c r="AR20" s="147"/>
      <c r="AS20" s="147"/>
      <c r="AT20" s="147"/>
      <c r="AU20" s="147" t="s">
        <v>40</v>
      </c>
      <c r="AV20" s="147"/>
      <c r="AW20" s="147"/>
      <c r="AX20" s="147"/>
      <c r="AY20" s="147"/>
      <c r="AZ20" s="147"/>
      <c r="BA20" s="147"/>
      <c r="BB20" s="147"/>
      <c r="BC20" s="147"/>
      <c r="BD20" s="147"/>
      <c r="BE20" s="147"/>
      <c r="BF20" s="147"/>
      <c r="BG20" s="147"/>
      <c r="BH20" s="147"/>
      <c r="BI20" s="147" t="s">
        <v>41</v>
      </c>
      <c r="BJ20" s="147"/>
      <c r="BK20" s="147"/>
      <c r="BL20" s="147"/>
      <c r="BM20" s="147"/>
      <c r="BN20" s="147"/>
      <c r="BO20" s="147"/>
      <c r="BP20" s="147"/>
      <c r="BQ20" s="147"/>
      <c r="BR20" s="147"/>
      <c r="BS20" s="147"/>
      <c r="BT20" s="147"/>
      <c r="BU20" s="147"/>
      <c r="BV20" s="147"/>
      <c r="BW20" s="147" t="s">
        <v>41</v>
      </c>
      <c r="BX20" s="147"/>
      <c r="BY20" s="147"/>
      <c r="BZ20" s="147"/>
      <c r="CA20" s="147"/>
      <c r="CB20" s="147"/>
      <c r="CC20" s="147"/>
      <c r="CD20" s="147"/>
      <c r="CE20" s="147"/>
      <c r="CF20" s="147"/>
      <c r="CG20" s="147"/>
      <c r="CH20" s="147"/>
      <c r="CI20" s="147"/>
      <c r="CJ20" s="147"/>
      <c r="CK20" s="147"/>
      <c r="CL20" s="147"/>
      <c r="CM20" s="147"/>
      <c r="CN20" s="147"/>
      <c r="CO20" s="147"/>
      <c r="CP20" s="147"/>
      <c r="CQ20" s="147"/>
      <c r="CR20" s="147"/>
      <c r="CS20" s="147"/>
      <c r="CT20" s="147"/>
      <c r="CU20" s="147"/>
      <c r="CV20" s="147"/>
      <c r="CW20" s="147"/>
      <c r="CX20" s="147"/>
      <c r="CY20" s="147"/>
      <c r="CZ20" s="147"/>
      <c r="DA20" s="147"/>
      <c r="DB20" s="147"/>
      <c r="DC20" s="147"/>
      <c r="DD20" s="147"/>
      <c r="DE20" s="147"/>
      <c r="DF20" s="147" t="s">
        <v>42</v>
      </c>
      <c r="DG20" s="147"/>
      <c r="DH20" s="147"/>
      <c r="DI20" s="147"/>
      <c r="DJ20" s="147"/>
      <c r="DK20" s="147"/>
      <c r="DL20" s="147"/>
      <c r="DM20" s="147"/>
      <c r="DN20" s="147"/>
      <c r="DO20" s="147"/>
      <c r="DP20" s="147"/>
      <c r="DQ20" s="147"/>
      <c r="DR20" s="147"/>
      <c r="DS20" s="147"/>
      <c r="DT20" s="28"/>
      <c r="DU20" s="150"/>
      <c r="DV20" s="150"/>
      <c r="DW20" s="150"/>
      <c r="DX20" s="150"/>
      <c r="DY20" s="150"/>
      <c r="DZ20" s="150"/>
      <c r="EA20" s="20" t="e">
        <f>#REF!*30.2%</f>
        <v>#REF!</v>
      </c>
    </row>
    <row r="21" spans="1:131" s="17" customFormat="1" ht="12.75" x14ac:dyDescent="0.2">
      <c r="A21" s="149">
        <v>1</v>
      </c>
      <c r="B21" s="149"/>
      <c r="C21" s="149"/>
      <c r="D21" s="149"/>
      <c r="E21" s="149">
        <v>2</v>
      </c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>
        <v>3</v>
      </c>
      <c r="V21" s="149"/>
      <c r="W21" s="149"/>
      <c r="X21" s="149"/>
      <c r="Y21" s="149"/>
      <c r="Z21" s="149"/>
      <c r="AA21" s="149"/>
      <c r="AB21" s="149"/>
      <c r="AC21" s="149"/>
      <c r="AD21" s="149"/>
      <c r="AE21" s="149"/>
      <c r="AF21" s="149"/>
      <c r="AG21" s="149">
        <v>4</v>
      </c>
      <c r="AH21" s="149"/>
      <c r="AI21" s="149"/>
      <c r="AJ21" s="149"/>
      <c r="AK21" s="149"/>
      <c r="AL21" s="149"/>
      <c r="AM21" s="149"/>
      <c r="AN21" s="149"/>
      <c r="AO21" s="149"/>
      <c r="AP21" s="149"/>
      <c r="AQ21" s="149"/>
      <c r="AR21" s="149"/>
      <c r="AS21" s="149"/>
      <c r="AT21" s="149"/>
      <c r="AU21" s="149">
        <v>5</v>
      </c>
      <c r="AV21" s="149"/>
      <c r="AW21" s="149"/>
      <c r="AX21" s="149"/>
      <c r="AY21" s="149"/>
      <c r="AZ21" s="149"/>
      <c r="BA21" s="149"/>
      <c r="BB21" s="149"/>
      <c r="BC21" s="149"/>
      <c r="BD21" s="149"/>
      <c r="BE21" s="149"/>
      <c r="BF21" s="149"/>
      <c r="BG21" s="149"/>
      <c r="BH21" s="149"/>
      <c r="BI21" s="149">
        <v>6</v>
      </c>
      <c r="BJ21" s="149"/>
      <c r="BK21" s="149"/>
      <c r="BL21" s="149"/>
      <c r="BM21" s="149"/>
      <c r="BN21" s="149"/>
      <c r="BO21" s="149"/>
      <c r="BP21" s="149"/>
      <c r="BQ21" s="149"/>
      <c r="BR21" s="149"/>
      <c r="BS21" s="149"/>
      <c r="BT21" s="149"/>
      <c r="BU21" s="149"/>
      <c r="BV21" s="149"/>
      <c r="BW21" s="149">
        <v>7</v>
      </c>
      <c r="BX21" s="149"/>
      <c r="BY21" s="149"/>
      <c r="BZ21" s="149"/>
      <c r="CA21" s="149"/>
      <c r="CB21" s="149"/>
      <c r="CC21" s="149"/>
      <c r="CD21" s="149"/>
      <c r="CE21" s="149"/>
      <c r="CF21" s="149"/>
      <c r="CG21" s="149"/>
      <c r="CH21" s="149"/>
      <c r="CI21" s="149"/>
      <c r="CJ21" s="149"/>
      <c r="CK21" s="149">
        <v>8</v>
      </c>
      <c r="CL21" s="149"/>
      <c r="CM21" s="149"/>
      <c r="CN21" s="149"/>
      <c r="CO21" s="149"/>
      <c r="CP21" s="149"/>
      <c r="CQ21" s="149"/>
      <c r="CR21" s="149"/>
      <c r="CS21" s="149"/>
      <c r="CT21" s="149"/>
      <c r="CU21" s="149"/>
      <c r="CV21" s="149">
        <v>9</v>
      </c>
      <c r="CW21" s="149"/>
      <c r="CX21" s="149"/>
      <c r="CY21" s="149"/>
      <c r="CZ21" s="149"/>
      <c r="DA21" s="149"/>
      <c r="DB21" s="149"/>
      <c r="DC21" s="149"/>
      <c r="DD21" s="149"/>
      <c r="DE21" s="149"/>
      <c r="DF21" s="149">
        <v>10</v>
      </c>
      <c r="DG21" s="149"/>
      <c r="DH21" s="149"/>
      <c r="DI21" s="149"/>
      <c r="DJ21" s="149"/>
      <c r="DK21" s="149"/>
      <c r="DL21" s="149"/>
      <c r="DM21" s="149"/>
      <c r="DN21" s="149"/>
      <c r="DO21" s="149"/>
      <c r="DP21" s="149"/>
      <c r="DQ21" s="149"/>
      <c r="DR21" s="149"/>
      <c r="DS21" s="149"/>
      <c r="DT21" s="29"/>
      <c r="DU21" s="30"/>
      <c r="DV21" s="30"/>
      <c r="DW21" s="30"/>
      <c r="DX21" s="30"/>
      <c r="DY21" s="30"/>
      <c r="DZ21" s="30"/>
      <c r="EA21" s="20"/>
    </row>
    <row r="22" spans="1:131" s="17" customFormat="1" ht="15.75" customHeight="1" x14ac:dyDescent="0.2">
      <c r="A22" s="141">
        <v>1</v>
      </c>
      <c r="B22" s="141"/>
      <c r="C22" s="141"/>
      <c r="D22" s="141"/>
      <c r="E22" s="141" t="s">
        <v>134</v>
      </c>
      <c r="F22" s="141"/>
      <c r="G22" s="141"/>
      <c r="H22" s="141"/>
      <c r="I22" s="141"/>
      <c r="J22" s="141"/>
      <c r="K22" s="141"/>
      <c r="L22" s="141"/>
      <c r="M22" s="141"/>
      <c r="N22" s="141"/>
      <c r="O22" s="141"/>
      <c r="P22" s="141"/>
      <c r="Q22" s="141"/>
      <c r="R22" s="141"/>
      <c r="S22" s="141"/>
      <c r="T22" s="141"/>
      <c r="U22" s="140">
        <v>1</v>
      </c>
      <c r="V22" s="140"/>
      <c r="W22" s="140"/>
      <c r="X22" s="140"/>
      <c r="Y22" s="140"/>
      <c r="Z22" s="140"/>
      <c r="AA22" s="140"/>
      <c r="AB22" s="140"/>
      <c r="AC22" s="140"/>
      <c r="AD22" s="140"/>
      <c r="AE22" s="140"/>
      <c r="AF22" s="140"/>
      <c r="AG22" s="140"/>
      <c r="AH22" s="140"/>
      <c r="AI22" s="140"/>
      <c r="AJ22" s="140"/>
      <c r="AK22" s="140"/>
      <c r="AL22" s="140"/>
      <c r="AM22" s="140"/>
      <c r="AN22" s="140"/>
      <c r="AO22" s="140"/>
      <c r="AP22" s="140"/>
      <c r="AQ22" s="140"/>
      <c r="AR22" s="140"/>
      <c r="AS22" s="140"/>
      <c r="AT22" s="140"/>
      <c r="AU22" s="140"/>
      <c r="AV22" s="140"/>
      <c r="AW22" s="140"/>
      <c r="AX22" s="140"/>
      <c r="AY22" s="140"/>
      <c r="AZ22" s="140"/>
      <c r="BA22" s="140"/>
      <c r="BB22" s="140"/>
      <c r="BC22" s="140"/>
      <c r="BD22" s="140"/>
      <c r="BE22" s="140"/>
      <c r="BF22" s="140"/>
      <c r="BG22" s="140"/>
      <c r="BH22" s="140"/>
      <c r="BI22" s="143"/>
      <c r="BJ22" s="143"/>
      <c r="BK22" s="143"/>
      <c r="BL22" s="143"/>
      <c r="BM22" s="143"/>
      <c r="BN22" s="143"/>
      <c r="BO22" s="143"/>
      <c r="BP22" s="143"/>
      <c r="BQ22" s="143"/>
      <c r="BR22" s="143"/>
      <c r="BS22" s="143"/>
      <c r="BT22" s="143"/>
      <c r="BU22" s="143"/>
      <c r="BV22" s="143"/>
      <c r="BW22" s="140"/>
      <c r="BX22" s="140"/>
      <c r="BY22" s="140"/>
      <c r="BZ22" s="140"/>
      <c r="CA22" s="140"/>
      <c r="CB22" s="140"/>
      <c r="CC22" s="140"/>
      <c r="CD22" s="140"/>
      <c r="CE22" s="140"/>
      <c r="CF22" s="140"/>
      <c r="CG22" s="140"/>
      <c r="CH22" s="140"/>
      <c r="CI22" s="140"/>
      <c r="CJ22" s="140"/>
      <c r="CK22" s="146"/>
      <c r="CL22" s="146"/>
      <c r="CM22" s="146"/>
      <c r="CN22" s="146"/>
      <c r="CO22" s="146"/>
      <c r="CP22" s="146"/>
      <c r="CQ22" s="146"/>
      <c r="CR22" s="146"/>
      <c r="CS22" s="146"/>
      <c r="CT22" s="146"/>
      <c r="CU22" s="146"/>
      <c r="CV22" s="146"/>
      <c r="CW22" s="146"/>
      <c r="CX22" s="146"/>
      <c r="CY22" s="146"/>
      <c r="CZ22" s="146"/>
      <c r="DA22" s="146"/>
      <c r="DB22" s="146"/>
      <c r="DC22" s="146"/>
      <c r="DD22" s="146"/>
      <c r="DE22" s="146"/>
      <c r="DF22" s="140"/>
      <c r="DG22" s="140"/>
      <c r="DH22" s="140"/>
      <c r="DI22" s="140"/>
      <c r="DJ22" s="140"/>
      <c r="DK22" s="140"/>
      <c r="DL22" s="140"/>
      <c r="DM22" s="140"/>
      <c r="DN22" s="140"/>
      <c r="DO22" s="140"/>
      <c r="DP22" s="140"/>
      <c r="DQ22" s="140"/>
      <c r="DR22" s="140"/>
      <c r="DS22" s="140"/>
      <c r="DT22" s="31"/>
      <c r="DU22" s="32"/>
      <c r="DV22" s="32"/>
      <c r="DW22" s="33"/>
      <c r="DX22" s="33"/>
      <c r="DY22" s="33"/>
      <c r="DZ22" s="33"/>
      <c r="EA22" s="20"/>
    </row>
    <row r="23" spans="1:131" s="17" customFormat="1" ht="15.75" customHeight="1" x14ac:dyDescent="0.2">
      <c r="A23" s="141">
        <v>2</v>
      </c>
      <c r="B23" s="141"/>
      <c r="C23" s="141"/>
      <c r="D23" s="141"/>
      <c r="E23" s="141" t="s">
        <v>136</v>
      </c>
      <c r="F23" s="141"/>
      <c r="G23" s="141"/>
      <c r="H23" s="141"/>
      <c r="I23" s="141"/>
      <c r="J23" s="141"/>
      <c r="K23" s="141"/>
      <c r="L23" s="141"/>
      <c r="M23" s="141"/>
      <c r="N23" s="141"/>
      <c r="O23" s="141"/>
      <c r="P23" s="141"/>
      <c r="Q23" s="141"/>
      <c r="R23" s="141"/>
      <c r="S23" s="141"/>
      <c r="T23" s="141"/>
      <c r="U23" s="140">
        <v>3</v>
      </c>
      <c r="V23" s="140"/>
      <c r="W23" s="140"/>
      <c r="X23" s="140"/>
      <c r="Y23" s="140"/>
      <c r="Z23" s="140"/>
      <c r="AA23" s="140"/>
      <c r="AB23" s="140"/>
      <c r="AC23" s="140"/>
      <c r="AD23" s="140"/>
      <c r="AE23" s="140"/>
      <c r="AF23" s="140"/>
      <c r="AG23" s="140"/>
      <c r="AH23" s="140"/>
      <c r="AI23" s="140"/>
      <c r="AJ23" s="140"/>
      <c r="AK23" s="140"/>
      <c r="AL23" s="140"/>
      <c r="AM23" s="140"/>
      <c r="AN23" s="140"/>
      <c r="AO23" s="140"/>
      <c r="AP23" s="140"/>
      <c r="AQ23" s="140"/>
      <c r="AR23" s="140"/>
      <c r="AS23" s="140"/>
      <c r="AT23" s="140"/>
      <c r="AU23" s="140"/>
      <c r="AV23" s="140"/>
      <c r="AW23" s="140"/>
      <c r="AX23" s="140"/>
      <c r="AY23" s="140"/>
      <c r="AZ23" s="140"/>
      <c r="BA23" s="140"/>
      <c r="BB23" s="140"/>
      <c r="BC23" s="140"/>
      <c r="BD23" s="140"/>
      <c r="BE23" s="140"/>
      <c r="BF23" s="140"/>
      <c r="BG23" s="140"/>
      <c r="BH23" s="140"/>
      <c r="BI23" s="143"/>
      <c r="BJ23" s="143"/>
      <c r="BK23" s="143"/>
      <c r="BL23" s="143"/>
      <c r="BM23" s="143"/>
      <c r="BN23" s="143"/>
      <c r="BO23" s="143"/>
      <c r="BP23" s="143"/>
      <c r="BQ23" s="143"/>
      <c r="BR23" s="143"/>
      <c r="BS23" s="143"/>
      <c r="BT23" s="143"/>
      <c r="BU23" s="143"/>
      <c r="BV23" s="143"/>
      <c r="BW23" s="140"/>
      <c r="BX23" s="140"/>
      <c r="BY23" s="140"/>
      <c r="BZ23" s="140"/>
      <c r="CA23" s="140"/>
      <c r="CB23" s="140"/>
      <c r="CC23" s="140"/>
      <c r="CD23" s="140"/>
      <c r="CE23" s="140"/>
      <c r="CF23" s="140"/>
      <c r="CG23" s="140"/>
      <c r="CH23" s="140"/>
      <c r="CI23" s="140"/>
      <c r="CJ23" s="140"/>
      <c r="CK23" s="146"/>
      <c r="CL23" s="146"/>
      <c r="CM23" s="146"/>
      <c r="CN23" s="146"/>
      <c r="CO23" s="146"/>
      <c r="CP23" s="146"/>
      <c r="CQ23" s="146"/>
      <c r="CR23" s="146"/>
      <c r="CS23" s="146"/>
      <c r="CT23" s="146"/>
      <c r="CU23" s="146"/>
      <c r="CV23" s="146"/>
      <c r="CW23" s="146"/>
      <c r="CX23" s="146"/>
      <c r="CY23" s="146"/>
      <c r="CZ23" s="146"/>
      <c r="DA23" s="146"/>
      <c r="DB23" s="146"/>
      <c r="DC23" s="146"/>
      <c r="DD23" s="146"/>
      <c r="DE23" s="146"/>
      <c r="DF23" s="140"/>
      <c r="DG23" s="140"/>
      <c r="DH23" s="140"/>
      <c r="DI23" s="140"/>
      <c r="DJ23" s="140"/>
      <c r="DK23" s="140"/>
      <c r="DL23" s="140"/>
      <c r="DM23" s="140"/>
      <c r="DN23" s="140"/>
      <c r="DO23" s="140"/>
      <c r="DP23" s="140"/>
      <c r="DQ23" s="140"/>
      <c r="DR23" s="140"/>
      <c r="DS23" s="140"/>
      <c r="DT23" s="31"/>
      <c r="DU23" s="32"/>
      <c r="DV23" s="32"/>
      <c r="DW23" s="33"/>
      <c r="DX23" s="33"/>
      <c r="DY23" s="33"/>
      <c r="DZ23" s="33"/>
      <c r="EA23" s="20"/>
    </row>
    <row r="24" spans="1:131" s="17" customFormat="1" ht="15.75" customHeight="1" x14ac:dyDescent="0.2">
      <c r="A24" s="141">
        <v>3</v>
      </c>
      <c r="B24" s="141"/>
      <c r="C24" s="141"/>
      <c r="D24" s="141"/>
      <c r="E24" s="141" t="s">
        <v>317</v>
      </c>
      <c r="F24" s="141"/>
      <c r="G24" s="141"/>
      <c r="H24" s="141"/>
      <c r="I24" s="141"/>
      <c r="J24" s="141"/>
      <c r="K24" s="141"/>
      <c r="L24" s="141"/>
      <c r="M24" s="141"/>
      <c r="N24" s="141"/>
      <c r="O24" s="141"/>
      <c r="P24" s="141"/>
      <c r="Q24" s="141"/>
      <c r="R24" s="141"/>
      <c r="S24" s="141"/>
      <c r="T24" s="141"/>
      <c r="U24" s="140">
        <v>1</v>
      </c>
      <c r="V24" s="140"/>
      <c r="W24" s="140"/>
      <c r="X24" s="140"/>
      <c r="Y24" s="140"/>
      <c r="Z24" s="140"/>
      <c r="AA24" s="140"/>
      <c r="AB24" s="140"/>
      <c r="AC24" s="140"/>
      <c r="AD24" s="140"/>
      <c r="AE24" s="140"/>
      <c r="AF24" s="140"/>
      <c r="AG24" s="140"/>
      <c r="AH24" s="140"/>
      <c r="AI24" s="140"/>
      <c r="AJ24" s="140"/>
      <c r="AK24" s="140"/>
      <c r="AL24" s="140"/>
      <c r="AM24" s="140"/>
      <c r="AN24" s="140"/>
      <c r="AO24" s="140"/>
      <c r="AP24" s="140"/>
      <c r="AQ24" s="140"/>
      <c r="AR24" s="140"/>
      <c r="AS24" s="140"/>
      <c r="AT24" s="140"/>
      <c r="AU24" s="140"/>
      <c r="AV24" s="140"/>
      <c r="AW24" s="140"/>
      <c r="AX24" s="140"/>
      <c r="AY24" s="140"/>
      <c r="AZ24" s="140"/>
      <c r="BA24" s="140"/>
      <c r="BB24" s="140"/>
      <c r="BC24" s="140"/>
      <c r="BD24" s="140"/>
      <c r="BE24" s="140"/>
      <c r="BF24" s="140"/>
      <c r="BG24" s="140"/>
      <c r="BH24" s="140"/>
      <c r="BI24" s="143"/>
      <c r="BJ24" s="143"/>
      <c r="BK24" s="143"/>
      <c r="BL24" s="143"/>
      <c r="BM24" s="143"/>
      <c r="BN24" s="143"/>
      <c r="BO24" s="143"/>
      <c r="BP24" s="143"/>
      <c r="BQ24" s="143"/>
      <c r="BR24" s="143"/>
      <c r="BS24" s="143"/>
      <c r="BT24" s="143"/>
      <c r="BU24" s="143"/>
      <c r="BV24" s="143"/>
      <c r="BW24" s="140"/>
      <c r="BX24" s="140"/>
      <c r="BY24" s="140"/>
      <c r="BZ24" s="140"/>
      <c r="CA24" s="140"/>
      <c r="CB24" s="140"/>
      <c r="CC24" s="140"/>
      <c r="CD24" s="140"/>
      <c r="CE24" s="140"/>
      <c r="CF24" s="140"/>
      <c r="CG24" s="140"/>
      <c r="CH24" s="140"/>
      <c r="CI24" s="140"/>
      <c r="CJ24" s="140"/>
      <c r="CK24" s="146"/>
      <c r="CL24" s="146"/>
      <c r="CM24" s="146"/>
      <c r="CN24" s="146"/>
      <c r="CO24" s="146"/>
      <c r="CP24" s="146"/>
      <c r="CQ24" s="146"/>
      <c r="CR24" s="146"/>
      <c r="CS24" s="146"/>
      <c r="CT24" s="146"/>
      <c r="CU24" s="146"/>
      <c r="CV24" s="146"/>
      <c r="CW24" s="146"/>
      <c r="CX24" s="146"/>
      <c r="CY24" s="146"/>
      <c r="CZ24" s="146"/>
      <c r="DA24" s="146"/>
      <c r="DB24" s="146"/>
      <c r="DC24" s="146"/>
      <c r="DD24" s="146"/>
      <c r="DE24" s="146"/>
      <c r="DF24" s="140"/>
      <c r="DG24" s="140"/>
      <c r="DH24" s="140"/>
      <c r="DI24" s="140"/>
      <c r="DJ24" s="140"/>
      <c r="DK24" s="140"/>
      <c r="DL24" s="140"/>
      <c r="DM24" s="140"/>
      <c r="DN24" s="140"/>
      <c r="DO24" s="140"/>
      <c r="DP24" s="140"/>
      <c r="DQ24" s="140"/>
      <c r="DR24" s="140"/>
      <c r="DS24" s="140"/>
      <c r="DT24" s="31"/>
      <c r="DU24" s="32"/>
      <c r="DV24" s="32"/>
      <c r="DW24" s="33"/>
      <c r="DX24" s="33"/>
      <c r="DY24" s="33"/>
      <c r="DZ24" s="33"/>
      <c r="EA24" s="20"/>
    </row>
    <row r="25" spans="1:131" s="17" customFormat="1" ht="15.75" customHeight="1" x14ac:dyDescent="0.2">
      <c r="A25" s="141">
        <v>4</v>
      </c>
      <c r="B25" s="141"/>
      <c r="C25" s="141"/>
      <c r="D25" s="141"/>
      <c r="E25" s="141" t="s">
        <v>127</v>
      </c>
      <c r="F25" s="141"/>
      <c r="G25" s="141"/>
      <c r="H25" s="141"/>
      <c r="I25" s="141"/>
      <c r="J25" s="141"/>
      <c r="K25" s="141"/>
      <c r="L25" s="141"/>
      <c r="M25" s="141"/>
      <c r="N25" s="141"/>
      <c r="O25" s="141"/>
      <c r="P25" s="141"/>
      <c r="Q25" s="141"/>
      <c r="R25" s="141"/>
      <c r="S25" s="141"/>
      <c r="T25" s="141"/>
      <c r="U25" s="140">
        <v>0.5</v>
      </c>
      <c r="V25" s="140"/>
      <c r="W25" s="140"/>
      <c r="X25" s="140"/>
      <c r="Y25" s="140"/>
      <c r="Z25" s="140"/>
      <c r="AA25" s="140"/>
      <c r="AB25" s="140"/>
      <c r="AC25" s="140"/>
      <c r="AD25" s="140"/>
      <c r="AE25" s="140"/>
      <c r="AF25" s="140"/>
      <c r="AG25" s="140"/>
      <c r="AH25" s="140"/>
      <c r="AI25" s="140"/>
      <c r="AJ25" s="140"/>
      <c r="AK25" s="140"/>
      <c r="AL25" s="140"/>
      <c r="AM25" s="140"/>
      <c r="AN25" s="140"/>
      <c r="AO25" s="140"/>
      <c r="AP25" s="140"/>
      <c r="AQ25" s="140"/>
      <c r="AR25" s="140"/>
      <c r="AS25" s="140"/>
      <c r="AT25" s="140"/>
      <c r="AU25" s="140"/>
      <c r="AV25" s="140"/>
      <c r="AW25" s="140"/>
      <c r="AX25" s="140"/>
      <c r="AY25" s="140"/>
      <c r="AZ25" s="140"/>
      <c r="BA25" s="140"/>
      <c r="BB25" s="140"/>
      <c r="BC25" s="140"/>
      <c r="BD25" s="140"/>
      <c r="BE25" s="140"/>
      <c r="BF25" s="140"/>
      <c r="BG25" s="140"/>
      <c r="BH25" s="140"/>
      <c r="BI25" s="143"/>
      <c r="BJ25" s="143"/>
      <c r="BK25" s="143"/>
      <c r="BL25" s="143"/>
      <c r="BM25" s="143"/>
      <c r="BN25" s="143"/>
      <c r="BO25" s="143"/>
      <c r="BP25" s="143"/>
      <c r="BQ25" s="143"/>
      <c r="BR25" s="143"/>
      <c r="BS25" s="143"/>
      <c r="BT25" s="143"/>
      <c r="BU25" s="143"/>
      <c r="BV25" s="143"/>
      <c r="BW25" s="140"/>
      <c r="BX25" s="140"/>
      <c r="BY25" s="140"/>
      <c r="BZ25" s="140"/>
      <c r="CA25" s="140"/>
      <c r="CB25" s="140"/>
      <c r="CC25" s="140"/>
      <c r="CD25" s="140"/>
      <c r="CE25" s="140"/>
      <c r="CF25" s="140"/>
      <c r="CG25" s="140"/>
      <c r="CH25" s="140"/>
      <c r="CI25" s="140"/>
      <c r="CJ25" s="140"/>
      <c r="CK25" s="145"/>
      <c r="CL25" s="145"/>
      <c r="CM25" s="145"/>
      <c r="CN25" s="145"/>
      <c r="CO25" s="145"/>
      <c r="CP25" s="145"/>
      <c r="CQ25" s="145"/>
      <c r="CR25" s="145"/>
      <c r="CS25" s="145"/>
      <c r="CT25" s="145"/>
      <c r="CU25" s="145"/>
      <c r="CV25" s="146"/>
      <c r="CW25" s="146"/>
      <c r="CX25" s="146"/>
      <c r="CY25" s="146"/>
      <c r="CZ25" s="146"/>
      <c r="DA25" s="146"/>
      <c r="DB25" s="146"/>
      <c r="DC25" s="146"/>
      <c r="DD25" s="146"/>
      <c r="DE25" s="146"/>
      <c r="DF25" s="140"/>
      <c r="DG25" s="140"/>
      <c r="DH25" s="140"/>
      <c r="DI25" s="140"/>
      <c r="DJ25" s="140"/>
      <c r="DK25" s="140"/>
      <c r="DL25" s="140"/>
      <c r="DM25" s="140"/>
      <c r="DN25" s="140"/>
      <c r="DO25" s="140"/>
      <c r="DP25" s="140"/>
      <c r="DQ25" s="140"/>
      <c r="DR25" s="140"/>
      <c r="DS25" s="140"/>
      <c r="DT25" s="31"/>
      <c r="DU25" s="32"/>
      <c r="DV25" s="32"/>
      <c r="DW25" s="33"/>
      <c r="DX25" s="33"/>
      <c r="DY25" s="33"/>
      <c r="DZ25" s="33"/>
      <c r="EA25" s="20"/>
    </row>
    <row r="26" spans="1:131" s="17" customFormat="1" ht="15.75" customHeight="1" x14ac:dyDescent="0.2">
      <c r="A26" s="141">
        <v>5</v>
      </c>
      <c r="B26" s="141"/>
      <c r="C26" s="141"/>
      <c r="D26" s="141"/>
      <c r="E26" s="141" t="s">
        <v>318</v>
      </c>
      <c r="F26" s="141"/>
      <c r="G26" s="141"/>
      <c r="H26" s="141"/>
      <c r="I26" s="141"/>
      <c r="J26" s="141"/>
      <c r="K26" s="141"/>
      <c r="L26" s="141"/>
      <c r="M26" s="141"/>
      <c r="N26" s="141"/>
      <c r="O26" s="141"/>
      <c r="P26" s="141"/>
      <c r="Q26" s="141"/>
      <c r="R26" s="141"/>
      <c r="S26" s="141"/>
      <c r="T26" s="141"/>
      <c r="U26" s="140">
        <v>1</v>
      </c>
      <c r="V26" s="140"/>
      <c r="W26" s="140"/>
      <c r="X26" s="140"/>
      <c r="Y26" s="140"/>
      <c r="Z26" s="140"/>
      <c r="AA26" s="140"/>
      <c r="AB26" s="140"/>
      <c r="AC26" s="140"/>
      <c r="AD26" s="140"/>
      <c r="AE26" s="140"/>
      <c r="AF26" s="140"/>
      <c r="AG26" s="140"/>
      <c r="AH26" s="140"/>
      <c r="AI26" s="140"/>
      <c r="AJ26" s="140"/>
      <c r="AK26" s="140"/>
      <c r="AL26" s="140"/>
      <c r="AM26" s="140"/>
      <c r="AN26" s="140"/>
      <c r="AO26" s="140"/>
      <c r="AP26" s="140"/>
      <c r="AQ26" s="140"/>
      <c r="AR26" s="140"/>
      <c r="AS26" s="140"/>
      <c r="AT26" s="140"/>
      <c r="AU26" s="140"/>
      <c r="AV26" s="140"/>
      <c r="AW26" s="140"/>
      <c r="AX26" s="140"/>
      <c r="AY26" s="140"/>
      <c r="AZ26" s="140"/>
      <c r="BA26" s="140"/>
      <c r="BB26" s="140"/>
      <c r="BC26" s="140"/>
      <c r="BD26" s="140"/>
      <c r="BE26" s="140"/>
      <c r="BF26" s="140"/>
      <c r="BG26" s="140"/>
      <c r="BH26" s="140"/>
      <c r="BI26" s="143"/>
      <c r="BJ26" s="143"/>
      <c r="BK26" s="143"/>
      <c r="BL26" s="143"/>
      <c r="BM26" s="143"/>
      <c r="BN26" s="143"/>
      <c r="BO26" s="143"/>
      <c r="BP26" s="143"/>
      <c r="BQ26" s="143"/>
      <c r="BR26" s="143"/>
      <c r="BS26" s="143"/>
      <c r="BT26" s="143"/>
      <c r="BU26" s="143"/>
      <c r="BV26" s="143"/>
      <c r="BW26" s="140"/>
      <c r="BX26" s="140"/>
      <c r="BY26" s="140"/>
      <c r="BZ26" s="140"/>
      <c r="CA26" s="140"/>
      <c r="CB26" s="140"/>
      <c r="CC26" s="140"/>
      <c r="CD26" s="140"/>
      <c r="CE26" s="140"/>
      <c r="CF26" s="140"/>
      <c r="CG26" s="140"/>
      <c r="CH26" s="140"/>
      <c r="CI26" s="140"/>
      <c r="CJ26" s="140"/>
      <c r="CK26" s="145"/>
      <c r="CL26" s="145"/>
      <c r="CM26" s="145"/>
      <c r="CN26" s="145"/>
      <c r="CO26" s="145"/>
      <c r="CP26" s="145"/>
      <c r="CQ26" s="145"/>
      <c r="CR26" s="145"/>
      <c r="CS26" s="145"/>
      <c r="CT26" s="145"/>
      <c r="CU26" s="145"/>
      <c r="CV26" s="146"/>
      <c r="CW26" s="146"/>
      <c r="CX26" s="146"/>
      <c r="CY26" s="146"/>
      <c r="CZ26" s="146"/>
      <c r="DA26" s="146"/>
      <c r="DB26" s="146"/>
      <c r="DC26" s="146"/>
      <c r="DD26" s="146"/>
      <c r="DE26" s="146"/>
      <c r="DF26" s="140"/>
      <c r="DG26" s="140"/>
      <c r="DH26" s="140"/>
      <c r="DI26" s="140"/>
      <c r="DJ26" s="140"/>
      <c r="DK26" s="140"/>
      <c r="DL26" s="140"/>
      <c r="DM26" s="140"/>
      <c r="DN26" s="140"/>
      <c r="DO26" s="140"/>
      <c r="DP26" s="140"/>
      <c r="DQ26" s="140"/>
      <c r="DR26" s="140"/>
      <c r="DS26" s="140"/>
      <c r="DT26" s="31"/>
      <c r="DU26" s="32"/>
      <c r="DV26" s="32"/>
      <c r="DW26" s="33"/>
      <c r="DX26" s="33"/>
      <c r="DY26" s="33"/>
      <c r="DZ26" s="33"/>
      <c r="EA26" s="20"/>
    </row>
    <row r="27" spans="1:131" s="17" customFormat="1" ht="15.75" customHeight="1" x14ac:dyDescent="0.2">
      <c r="A27" s="141">
        <v>6</v>
      </c>
      <c r="B27" s="141"/>
      <c r="C27" s="141"/>
      <c r="D27" s="141"/>
      <c r="E27" s="141" t="s">
        <v>137</v>
      </c>
      <c r="F27" s="141"/>
      <c r="G27" s="141"/>
      <c r="H27" s="141"/>
      <c r="I27" s="141"/>
      <c r="J27" s="141"/>
      <c r="K27" s="141"/>
      <c r="L27" s="141"/>
      <c r="M27" s="141"/>
      <c r="N27" s="141"/>
      <c r="O27" s="141"/>
      <c r="P27" s="141"/>
      <c r="Q27" s="141"/>
      <c r="R27" s="141"/>
      <c r="S27" s="141"/>
      <c r="T27" s="141"/>
      <c r="U27" s="140">
        <v>1</v>
      </c>
      <c r="V27" s="140"/>
      <c r="W27" s="140"/>
      <c r="X27" s="140"/>
      <c r="Y27" s="140"/>
      <c r="Z27" s="140"/>
      <c r="AA27" s="140"/>
      <c r="AB27" s="140"/>
      <c r="AC27" s="140"/>
      <c r="AD27" s="140"/>
      <c r="AE27" s="140"/>
      <c r="AF27" s="140"/>
      <c r="AG27" s="140"/>
      <c r="AH27" s="140"/>
      <c r="AI27" s="140"/>
      <c r="AJ27" s="140"/>
      <c r="AK27" s="140"/>
      <c r="AL27" s="140"/>
      <c r="AM27" s="140"/>
      <c r="AN27" s="140"/>
      <c r="AO27" s="140"/>
      <c r="AP27" s="140"/>
      <c r="AQ27" s="140"/>
      <c r="AR27" s="140"/>
      <c r="AS27" s="140"/>
      <c r="AT27" s="140"/>
      <c r="AU27" s="140"/>
      <c r="AV27" s="140"/>
      <c r="AW27" s="140"/>
      <c r="AX27" s="140"/>
      <c r="AY27" s="140"/>
      <c r="AZ27" s="140"/>
      <c r="BA27" s="140"/>
      <c r="BB27" s="140"/>
      <c r="BC27" s="140"/>
      <c r="BD27" s="140"/>
      <c r="BE27" s="140"/>
      <c r="BF27" s="140"/>
      <c r="BG27" s="140"/>
      <c r="BH27" s="140"/>
      <c r="BI27" s="143"/>
      <c r="BJ27" s="143"/>
      <c r="BK27" s="143"/>
      <c r="BL27" s="143"/>
      <c r="BM27" s="143"/>
      <c r="BN27" s="143"/>
      <c r="BO27" s="143"/>
      <c r="BP27" s="143"/>
      <c r="BQ27" s="143"/>
      <c r="BR27" s="143"/>
      <c r="BS27" s="143"/>
      <c r="BT27" s="143"/>
      <c r="BU27" s="143"/>
      <c r="BV27" s="143"/>
      <c r="BW27" s="140"/>
      <c r="BX27" s="140"/>
      <c r="BY27" s="140"/>
      <c r="BZ27" s="140"/>
      <c r="CA27" s="140"/>
      <c r="CB27" s="140"/>
      <c r="CC27" s="140"/>
      <c r="CD27" s="140"/>
      <c r="CE27" s="140"/>
      <c r="CF27" s="140"/>
      <c r="CG27" s="140"/>
      <c r="CH27" s="140"/>
      <c r="CI27" s="140"/>
      <c r="CJ27" s="140"/>
      <c r="CK27" s="145"/>
      <c r="CL27" s="145"/>
      <c r="CM27" s="145"/>
      <c r="CN27" s="145"/>
      <c r="CO27" s="145"/>
      <c r="CP27" s="145"/>
      <c r="CQ27" s="145"/>
      <c r="CR27" s="145"/>
      <c r="CS27" s="145"/>
      <c r="CT27" s="145"/>
      <c r="CU27" s="145"/>
      <c r="CV27" s="146"/>
      <c r="CW27" s="146"/>
      <c r="CX27" s="146"/>
      <c r="CY27" s="146"/>
      <c r="CZ27" s="146"/>
      <c r="DA27" s="146"/>
      <c r="DB27" s="146"/>
      <c r="DC27" s="146"/>
      <c r="DD27" s="146"/>
      <c r="DE27" s="146"/>
      <c r="DF27" s="140"/>
      <c r="DG27" s="140"/>
      <c r="DH27" s="140"/>
      <c r="DI27" s="140"/>
      <c r="DJ27" s="140"/>
      <c r="DK27" s="140"/>
      <c r="DL27" s="140"/>
      <c r="DM27" s="140"/>
      <c r="DN27" s="140"/>
      <c r="DO27" s="140"/>
      <c r="DP27" s="140"/>
      <c r="DQ27" s="140"/>
      <c r="DR27" s="140"/>
      <c r="DS27" s="140"/>
      <c r="DT27" s="31"/>
      <c r="DU27" s="32"/>
      <c r="DV27" s="32"/>
      <c r="DW27" s="33"/>
      <c r="DX27" s="33"/>
      <c r="DY27" s="33"/>
      <c r="DZ27" s="33"/>
      <c r="EA27" s="20"/>
    </row>
    <row r="28" spans="1:131" s="17" customFormat="1" ht="15.75" customHeight="1" x14ac:dyDescent="0.2">
      <c r="A28" s="141">
        <v>7</v>
      </c>
      <c r="B28" s="141"/>
      <c r="C28" s="141"/>
      <c r="D28" s="141"/>
      <c r="E28" s="142" t="s">
        <v>138</v>
      </c>
      <c r="F28" s="142"/>
      <c r="G28" s="142"/>
      <c r="H28" s="142"/>
      <c r="I28" s="142"/>
      <c r="J28" s="142"/>
      <c r="K28" s="142"/>
      <c r="L28" s="142"/>
      <c r="M28" s="142"/>
      <c r="N28" s="142"/>
      <c r="O28" s="142"/>
      <c r="P28" s="142"/>
      <c r="Q28" s="142"/>
      <c r="R28" s="142"/>
      <c r="S28" s="142"/>
      <c r="T28" s="142"/>
      <c r="U28" s="140">
        <v>2.7</v>
      </c>
      <c r="V28" s="140"/>
      <c r="W28" s="140"/>
      <c r="X28" s="140"/>
      <c r="Y28" s="140"/>
      <c r="Z28" s="140"/>
      <c r="AA28" s="140"/>
      <c r="AB28" s="140"/>
      <c r="AC28" s="140"/>
      <c r="AD28" s="140"/>
      <c r="AE28" s="140"/>
      <c r="AF28" s="140"/>
      <c r="AG28" s="140"/>
      <c r="AH28" s="140"/>
      <c r="AI28" s="140"/>
      <c r="AJ28" s="140"/>
      <c r="AK28" s="140"/>
      <c r="AL28" s="140"/>
      <c r="AM28" s="140"/>
      <c r="AN28" s="140"/>
      <c r="AO28" s="140"/>
      <c r="AP28" s="140"/>
      <c r="AQ28" s="140"/>
      <c r="AR28" s="140"/>
      <c r="AS28" s="140"/>
      <c r="AT28" s="140"/>
      <c r="AU28" s="140"/>
      <c r="AV28" s="140"/>
      <c r="AW28" s="140"/>
      <c r="AX28" s="140"/>
      <c r="AY28" s="140"/>
      <c r="AZ28" s="140"/>
      <c r="BA28" s="140"/>
      <c r="BB28" s="140"/>
      <c r="BC28" s="140"/>
      <c r="BD28" s="140"/>
      <c r="BE28" s="140"/>
      <c r="BF28" s="140"/>
      <c r="BG28" s="140"/>
      <c r="BH28" s="140"/>
      <c r="BI28" s="143"/>
      <c r="BJ28" s="143"/>
      <c r="BK28" s="143"/>
      <c r="BL28" s="143"/>
      <c r="BM28" s="143"/>
      <c r="BN28" s="143"/>
      <c r="BO28" s="143"/>
      <c r="BP28" s="143"/>
      <c r="BQ28" s="143"/>
      <c r="BR28" s="143"/>
      <c r="BS28" s="143"/>
      <c r="BT28" s="143"/>
      <c r="BU28" s="143"/>
      <c r="BV28" s="143"/>
      <c r="BW28" s="140"/>
      <c r="BX28" s="140"/>
      <c r="BY28" s="140"/>
      <c r="BZ28" s="140"/>
      <c r="CA28" s="140"/>
      <c r="CB28" s="140"/>
      <c r="CC28" s="140"/>
      <c r="CD28" s="140"/>
      <c r="CE28" s="140"/>
      <c r="CF28" s="140"/>
      <c r="CG28" s="140"/>
      <c r="CH28" s="140"/>
      <c r="CI28" s="140"/>
      <c r="CJ28" s="140"/>
      <c r="CK28" s="145"/>
      <c r="CL28" s="145"/>
      <c r="CM28" s="145"/>
      <c r="CN28" s="145"/>
      <c r="CO28" s="145"/>
      <c r="CP28" s="145"/>
      <c r="CQ28" s="145"/>
      <c r="CR28" s="145"/>
      <c r="CS28" s="145"/>
      <c r="CT28" s="145"/>
      <c r="CU28" s="145"/>
      <c r="CV28" s="146"/>
      <c r="CW28" s="146"/>
      <c r="CX28" s="146"/>
      <c r="CY28" s="146"/>
      <c r="CZ28" s="146"/>
      <c r="DA28" s="146"/>
      <c r="DB28" s="146"/>
      <c r="DC28" s="146"/>
      <c r="DD28" s="146"/>
      <c r="DE28" s="146"/>
      <c r="DF28" s="140"/>
      <c r="DG28" s="140"/>
      <c r="DH28" s="140"/>
      <c r="DI28" s="140"/>
      <c r="DJ28" s="140"/>
      <c r="DK28" s="140"/>
      <c r="DL28" s="140"/>
      <c r="DM28" s="140"/>
      <c r="DN28" s="140"/>
      <c r="DO28" s="140"/>
      <c r="DP28" s="140"/>
      <c r="DQ28" s="140"/>
      <c r="DR28" s="140"/>
      <c r="DS28" s="140"/>
      <c r="DT28" s="31"/>
      <c r="DU28" s="32"/>
      <c r="DV28" s="32"/>
      <c r="DW28" s="33"/>
      <c r="DX28" s="33"/>
      <c r="DY28" s="33"/>
      <c r="DZ28" s="33"/>
      <c r="EA28" s="20"/>
    </row>
    <row r="29" spans="1:131" s="17" customFormat="1" ht="15.75" customHeight="1" x14ac:dyDescent="0.2">
      <c r="A29" s="141">
        <v>8</v>
      </c>
      <c r="B29" s="141"/>
      <c r="C29" s="141"/>
      <c r="D29" s="141"/>
      <c r="E29" s="141" t="s">
        <v>139</v>
      </c>
      <c r="F29" s="141"/>
      <c r="G29" s="141"/>
      <c r="H29" s="141"/>
      <c r="I29" s="141"/>
      <c r="J29" s="141"/>
      <c r="K29" s="141"/>
      <c r="L29" s="141"/>
      <c r="M29" s="141"/>
      <c r="N29" s="141"/>
      <c r="O29" s="141"/>
      <c r="P29" s="141"/>
      <c r="Q29" s="141"/>
      <c r="R29" s="141"/>
      <c r="S29" s="141"/>
      <c r="T29" s="141"/>
      <c r="U29" s="140">
        <v>1</v>
      </c>
      <c r="V29" s="140"/>
      <c r="W29" s="140"/>
      <c r="X29" s="140"/>
      <c r="Y29" s="140"/>
      <c r="Z29" s="140"/>
      <c r="AA29" s="140"/>
      <c r="AB29" s="140"/>
      <c r="AC29" s="140"/>
      <c r="AD29" s="140"/>
      <c r="AE29" s="140"/>
      <c r="AF29" s="140"/>
      <c r="AG29" s="140"/>
      <c r="AH29" s="140"/>
      <c r="AI29" s="140"/>
      <c r="AJ29" s="140"/>
      <c r="AK29" s="140"/>
      <c r="AL29" s="140"/>
      <c r="AM29" s="140"/>
      <c r="AN29" s="140"/>
      <c r="AO29" s="140"/>
      <c r="AP29" s="140"/>
      <c r="AQ29" s="140"/>
      <c r="AR29" s="140"/>
      <c r="AS29" s="140"/>
      <c r="AT29" s="140"/>
      <c r="AU29" s="140"/>
      <c r="AV29" s="140"/>
      <c r="AW29" s="140"/>
      <c r="AX29" s="140"/>
      <c r="AY29" s="140"/>
      <c r="AZ29" s="140"/>
      <c r="BA29" s="140"/>
      <c r="BB29" s="140"/>
      <c r="BC29" s="140"/>
      <c r="BD29" s="140"/>
      <c r="BE29" s="140"/>
      <c r="BF29" s="140"/>
      <c r="BG29" s="140"/>
      <c r="BH29" s="140"/>
      <c r="BI29" s="143"/>
      <c r="BJ29" s="143"/>
      <c r="BK29" s="143"/>
      <c r="BL29" s="143"/>
      <c r="BM29" s="143"/>
      <c r="BN29" s="143"/>
      <c r="BO29" s="143"/>
      <c r="BP29" s="143"/>
      <c r="BQ29" s="143"/>
      <c r="BR29" s="143"/>
      <c r="BS29" s="143"/>
      <c r="BT29" s="143"/>
      <c r="BU29" s="143"/>
      <c r="BV29" s="143"/>
      <c r="BW29" s="140"/>
      <c r="BX29" s="140"/>
      <c r="BY29" s="140"/>
      <c r="BZ29" s="140"/>
      <c r="CA29" s="140"/>
      <c r="CB29" s="140"/>
      <c r="CC29" s="140"/>
      <c r="CD29" s="140"/>
      <c r="CE29" s="140"/>
      <c r="CF29" s="140"/>
      <c r="CG29" s="140"/>
      <c r="CH29" s="140"/>
      <c r="CI29" s="140"/>
      <c r="CJ29" s="140"/>
      <c r="CK29" s="145"/>
      <c r="CL29" s="145"/>
      <c r="CM29" s="145"/>
      <c r="CN29" s="145"/>
      <c r="CO29" s="145"/>
      <c r="CP29" s="145"/>
      <c r="CQ29" s="145"/>
      <c r="CR29" s="145"/>
      <c r="CS29" s="145"/>
      <c r="CT29" s="145"/>
      <c r="CU29" s="145"/>
      <c r="CV29" s="146"/>
      <c r="CW29" s="146"/>
      <c r="CX29" s="146"/>
      <c r="CY29" s="146"/>
      <c r="CZ29" s="146"/>
      <c r="DA29" s="146"/>
      <c r="DB29" s="146"/>
      <c r="DC29" s="146"/>
      <c r="DD29" s="146"/>
      <c r="DE29" s="146"/>
      <c r="DF29" s="140"/>
      <c r="DG29" s="140"/>
      <c r="DH29" s="140"/>
      <c r="DI29" s="140"/>
      <c r="DJ29" s="140"/>
      <c r="DK29" s="140"/>
      <c r="DL29" s="140"/>
      <c r="DM29" s="140"/>
      <c r="DN29" s="140"/>
      <c r="DO29" s="140"/>
      <c r="DP29" s="140"/>
      <c r="DQ29" s="140"/>
      <c r="DR29" s="140"/>
      <c r="DS29" s="140"/>
      <c r="DT29" s="31"/>
      <c r="DU29" s="32"/>
      <c r="DV29" s="32"/>
      <c r="DW29" s="33"/>
      <c r="DX29" s="33"/>
      <c r="DY29" s="33"/>
      <c r="DZ29" s="33"/>
      <c r="EA29" s="20"/>
    </row>
    <row r="30" spans="1:131" s="17" customFormat="1" ht="15.75" customHeight="1" x14ac:dyDescent="0.2">
      <c r="A30" s="141">
        <v>9</v>
      </c>
      <c r="B30" s="141"/>
      <c r="C30" s="141"/>
      <c r="D30" s="141"/>
      <c r="E30" s="141" t="s">
        <v>140</v>
      </c>
      <c r="F30" s="141"/>
      <c r="G30" s="141"/>
      <c r="H30" s="141"/>
      <c r="I30" s="141"/>
      <c r="J30" s="141"/>
      <c r="K30" s="141"/>
      <c r="L30" s="141"/>
      <c r="M30" s="141"/>
      <c r="N30" s="141"/>
      <c r="O30" s="141"/>
      <c r="P30" s="141"/>
      <c r="Q30" s="141"/>
      <c r="R30" s="141"/>
      <c r="S30" s="141"/>
      <c r="T30" s="141"/>
      <c r="U30" s="140">
        <v>1</v>
      </c>
      <c r="V30" s="140"/>
      <c r="W30" s="140"/>
      <c r="X30" s="140"/>
      <c r="Y30" s="140"/>
      <c r="Z30" s="140"/>
      <c r="AA30" s="140"/>
      <c r="AB30" s="140"/>
      <c r="AC30" s="140"/>
      <c r="AD30" s="140"/>
      <c r="AE30" s="140"/>
      <c r="AF30" s="140"/>
      <c r="AG30" s="140"/>
      <c r="AH30" s="140"/>
      <c r="AI30" s="140"/>
      <c r="AJ30" s="140"/>
      <c r="AK30" s="140"/>
      <c r="AL30" s="140"/>
      <c r="AM30" s="140"/>
      <c r="AN30" s="140"/>
      <c r="AO30" s="140"/>
      <c r="AP30" s="140"/>
      <c r="AQ30" s="140"/>
      <c r="AR30" s="140"/>
      <c r="AS30" s="140"/>
      <c r="AT30" s="140"/>
      <c r="AU30" s="140"/>
      <c r="AV30" s="140"/>
      <c r="AW30" s="140"/>
      <c r="AX30" s="140"/>
      <c r="AY30" s="140"/>
      <c r="AZ30" s="140"/>
      <c r="BA30" s="140"/>
      <c r="BB30" s="140"/>
      <c r="BC30" s="140"/>
      <c r="BD30" s="140"/>
      <c r="BE30" s="140"/>
      <c r="BF30" s="140"/>
      <c r="BG30" s="140"/>
      <c r="BH30" s="140"/>
      <c r="BI30" s="143"/>
      <c r="BJ30" s="143"/>
      <c r="BK30" s="143"/>
      <c r="BL30" s="143"/>
      <c r="BM30" s="143"/>
      <c r="BN30" s="143"/>
      <c r="BO30" s="143"/>
      <c r="BP30" s="143"/>
      <c r="BQ30" s="143"/>
      <c r="BR30" s="143"/>
      <c r="BS30" s="143"/>
      <c r="BT30" s="143"/>
      <c r="BU30" s="143"/>
      <c r="BV30" s="143"/>
      <c r="BW30" s="140"/>
      <c r="BX30" s="140"/>
      <c r="BY30" s="140"/>
      <c r="BZ30" s="140"/>
      <c r="CA30" s="140"/>
      <c r="CB30" s="140"/>
      <c r="CC30" s="140"/>
      <c r="CD30" s="140"/>
      <c r="CE30" s="140"/>
      <c r="CF30" s="140"/>
      <c r="CG30" s="140"/>
      <c r="CH30" s="140"/>
      <c r="CI30" s="140"/>
      <c r="CJ30" s="140"/>
      <c r="CK30" s="145"/>
      <c r="CL30" s="145"/>
      <c r="CM30" s="145"/>
      <c r="CN30" s="145"/>
      <c r="CO30" s="145"/>
      <c r="CP30" s="145"/>
      <c r="CQ30" s="145"/>
      <c r="CR30" s="145"/>
      <c r="CS30" s="145"/>
      <c r="CT30" s="145"/>
      <c r="CU30" s="145"/>
      <c r="CV30" s="146"/>
      <c r="CW30" s="146"/>
      <c r="CX30" s="146"/>
      <c r="CY30" s="146"/>
      <c r="CZ30" s="146"/>
      <c r="DA30" s="146"/>
      <c r="DB30" s="146"/>
      <c r="DC30" s="146"/>
      <c r="DD30" s="146"/>
      <c r="DE30" s="146"/>
      <c r="DF30" s="140"/>
      <c r="DG30" s="140"/>
      <c r="DH30" s="140"/>
      <c r="DI30" s="140"/>
      <c r="DJ30" s="140"/>
      <c r="DK30" s="140"/>
      <c r="DL30" s="140"/>
      <c r="DM30" s="140"/>
      <c r="DN30" s="140"/>
      <c r="DO30" s="140"/>
      <c r="DP30" s="140"/>
      <c r="DQ30" s="140"/>
      <c r="DR30" s="140"/>
      <c r="DS30" s="140"/>
      <c r="DT30" s="31"/>
      <c r="DU30" s="32"/>
      <c r="DV30" s="32"/>
      <c r="DW30" s="33"/>
      <c r="DX30" s="33"/>
      <c r="DY30" s="33"/>
      <c r="DZ30" s="33"/>
      <c r="EA30" s="20"/>
    </row>
    <row r="31" spans="1:131" s="17" customFormat="1" ht="15.75" customHeight="1" x14ac:dyDescent="0.2">
      <c r="A31" s="141">
        <v>10</v>
      </c>
      <c r="B31" s="141"/>
      <c r="C31" s="141"/>
      <c r="D31" s="141"/>
      <c r="E31" s="141" t="s">
        <v>141</v>
      </c>
      <c r="F31" s="141"/>
      <c r="G31" s="141"/>
      <c r="H31" s="141"/>
      <c r="I31" s="141"/>
      <c r="J31" s="141"/>
      <c r="K31" s="141"/>
      <c r="L31" s="141"/>
      <c r="M31" s="141"/>
      <c r="N31" s="141"/>
      <c r="O31" s="141"/>
      <c r="P31" s="141"/>
      <c r="Q31" s="141"/>
      <c r="R31" s="141"/>
      <c r="S31" s="141"/>
      <c r="T31" s="141"/>
      <c r="U31" s="140">
        <v>66.89</v>
      </c>
      <c r="V31" s="140"/>
      <c r="W31" s="140"/>
      <c r="X31" s="140"/>
      <c r="Y31" s="140"/>
      <c r="Z31" s="140"/>
      <c r="AA31" s="140"/>
      <c r="AB31" s="140"/>
      <c r="AC31" s="140"/>
      <c r="AD31" s="140"/>
      <c r="AE31" s="140"/>
      <c r="AF31" s="140"/>
      <c r="AG31" s="140"/>
      <c r="AH31" s="140"/>
      <c r="AI31" s="140"/>
      <c r="AJ31" s="140"/>
      <c r="AK31" s="140"/>
      <c r="AL31" s="140"/>
      <c r="AM31" s="140"/>
      <c r="AN31" s="140"/>
      <c r="AO31" s="140"/>
      <c r="AP31" s="140"/>
      <c r="AQ31" s="140"/>
      <c r="AR31" s="140"/>
      <c r="AS31" s="140"/>
      <c r="AT31" s="140"/>
      <c r="AU31" s="140"/>
      <c r="AV31" s="140"/>
      <c r="AW31" s="140"/>
      <c r="AX31" s="140"/>
      <c r="AY31" s="140"/>
      <c r="AZ31" s="140"/>
      <c r="BA31" s="140"/>
      <c r="BB31" s="140"/>
      <c r="BC31" s="140"/>
      <c r="BD31" s="140"/>
      <c r="BE31" s="140"/>
      <c r="BF31" s="140"/>
      <c r="BG31" s="140"/>
      <c r="BH31" s="140"/>
      <c r="BI31" s="143"/>
      <c r="BJ31" s="143"/>
      <c r="BK31" s="143"/>
      <c r="BL31" s="143"/>
      <c r="BM31" s="143"/>
      <c r="BN31" s="143"/>
      <c r="BO31" s="143"/>
      <c r="BP31" s="143"/>
      <c r="BQ31" s="143"/>
      <c r="BR31" s="143"/>
      <c r="BS31" s="143"/>
      <c r="BT31" s="143"/>
      <c r="BU31" s="143"/>
      <c r="BV31" s="143"/>
      <c r="BW31" s="140"/>
      <c r="BX31" s="140"/>
      <c r="BY31" s="140"/>
      <c r="BZ31" s="140"/>
      <c r="CA31" s="140"/>
      <c r="CB31" s="140"/>
      <c r="CC31" s="140"/>
      <c r="CD31" s="140"/>
      <c r="CE31" s="140"/>
      <c r="CF31" s="140"/>
      <c r="CG31" s="140"/>
      <c r="CH31" s="140"/>
      <c r="CI31" s="140"/>
      <c r="CJ31" s="140"/>
      <c r="CK31" s="145"/>
      <c r="CL31" s="145"/>
      <c r="CM31" s="145"/>
      <c r="CN31" s="145"/>
      <c r="CO31" s="145"/>
      <c r="CP31" s="145"/>
      <c r="CQ31" s="145"/>
      <c r="CR31" s="145"/>
      <c r="CS31" s="145"/>
      <c r="CT31" s="145"/>
      <c r="CU31" s="145"/>
      <c r="CV31" s="146"/>
      <c r="CW31" s="146"/>
      <c r="CX31" s="146"/>
      <c r="CY31" s="146"/>
      <c r="CZ31" s="146"/>
      <c r="DA31" s="146"/>
      <c r="DB31" s="146"/>
      <c r="DC31" s="146"/>
      <c r="DD31" s="146"/>
      <c r="DE31" s="146"/>
      <c r="DF31" s="140"/>
      <c r="DG31" s="140"/>
      <c r="DH31" s="140"/>
      <c r="DI31" s="140"/>
      <c r="DJ31" s="140"/>
      <c r="DK31" s="140"/>
      <c r="DL31" s="140"/>
      <c r="DM31" s="140"/>
      <c r="DN31" s="140"/>
      <c r="DO31" s="140"/>
      <c r="DP31" s="140"/>
      <c r="DQ31" s="140"/>
      <c r="DR31" s="140"/>
      <c r="DS31" s="140"/>
      <c r="DT31" s="31"/>
      <c r="DU31" s="32"/>
      <c r="DV31" s="32"/>
      <c r="DW31" s="33"/>
      <c r="DX31" s="33"/>
      <c r="DY31" s="33"/>
      <c r="DZ31" s="33"/>
      <c r="EA31" s="20"/>
    </row>
    <row r="32" spans="1:131" s="17" customFormat="1" ht="15.75" customHeight="1" x14ac:dyDescent="0.2">
      <c r="A32" s="141">
        <v>11</v>
      </c>
      <c r="B32" s="141"/>
      <c r="C32" s="141"/>
      <c r="D32" s="141"/>
      <c r="E32" s="141" t="s">
        <v>319</v>
      </c>
      <c r="F32" s="141"/>
      <c r="G32" s="141"/>
      <c r="H32" s="141"/>
      <c r="I32" s="141"/>
      <c r="J32" s="141"/>
      <c r="K32" s="141"/>
      <c r="L32" s="141"/>
      <c r="M32" s="141"/>
      <c r="N32" s="141"/>
      <c r="O32" s="141"/>
      <c r="P32" s="141"/>
      <c r="Q32" s="141"/>
      <c r="R32" s="141"/>
      <c r="S32" s="141"/>
      <c r="T32" s="141"/>
      <c r="U32" s="140">
        <v>1</v>
      </c>
      <c r="V32" s="140"/>
      <c r="W32" s="140"/>
      <c r="X32" s="140"/>
      <c r="Y32" s="140"/>
      <c r="Z32" s="140"/>
      <c r="AA32" s="140"/>
      <c r="AB32" s="140"/>
      <c r="AC32" s="140"/>
      <c r="AD32" s="140"/>
      <c r="AE32" s="140"/>
      <c r="AF32" s="140"/>
      <c r="AG32" s="140"/>
      <c r="AH32" s="140"/>
      <c r="AI32" s="140"/>
      <c r="AJ32" s="140"/>
      <c r="AK32" s="140"/>
      <c r="AL32" s="140"/>
      <c r="AM32" s="140"/>
      <c r="AN32" s="140"/>
      <c r="AO32" s="140"/>
      <c r="AP32" s="140"/>
      <c r="AQ32" s="140"/>
      <c r="AR32" s="140"/>
      <c r="AS32" s="140"/>
      <c r="AT32" s="140"/>
      <c r="AU32" s="140"/>
      <c r="AV32" s="140"/>
      <c r="AW32" s="140"/>
      <c r="AX32" s="140"/>
      <c r="AY32" s="140"/>
      <c r="AZ32" s="140"/>
      <c r="BA32" s="140"/>
      <c r="BB32" s="140"/>
      <c r="BC32" s="140"/>
      <c r="BD32" s="140"/>
      <c r="BE32" s="140"/>
      <c r="BF32" s="140"/>
      <c r="BG32" s="140"/>
      <c r="BH32" s="140"/>
      <c r="BI32" s="143"/>
      <c r="BJ32" s="143"/>
      <c r="BK32" s="143"/>
      <c r="BL32" s="143"/>
      <c r="BM32" s="143"/>
      <c r="BN32" s="143"/>
      <c r="BO32" s="143"/>
      <c r="BP32" s="143"/>
      <c r="BQ32" s="143"/>
      <c r="BR32" s="143"/>
      <c r="BS32" s="143"/>
      <c r="BT32" s="143"/>
      <c r="BU32" s="143"/>
      <c r="BV32" s="143"/>
      <c r="BW32" s="140"/>
      <c r="BX32" s="140"/>
      <c r="BY32" s="140"/>
      <c r="BZ32" s="140"/>
      <c r="CA32" s="140"/>
      <c r="CB32" s="140"/>
      <c r="CC32" s="140"/>
      <c r="CD32" s="140"/>
      <c r="CE32" s="140"/>
      <c r="CF32" s="140"/>
      <c r="CG32" s="140"/>
      <c r="CH32" s="140"/>
      <c r="CI32" s="140"/>
      <c r="CJ32" s="140"/>
      <c r="CK32" s="145"/>
      <c r="CL32" s="145"/>
      <c r="CM32" s="145"/>
      <c r="CN32" s="145"/>
      <c r="CO32" s="145"/>
      <c r="CP32" s="145"/>
      <c r="CQ32" s="145"/>
      <c r="CR32" s="145"/>
      <c r="CS32" s="145"/>
      <c r="CT32" s="145"/>
      <c r="CU32" s="145"/>
      <c r="CV32" s="146"/>
      <c r="CW32" s="146"/>
      <c r="CX32" s="146"/>
      <c r="CY32" s="146"/>
      <c r="CZ32" s="146"/>
      <c r="DA32" s="146"/>
      <c r="DB32" s="146"/>
      <c r="DC32" s="146"/>
      <c r="DD32" s="146"/>
      <c r="DE32" s="146"/>
      <c r="DF32" s="140"/>
      <c r="DG32" s="140"/>
      <c r="DH32" s="140"/>
      <c r="DI32" s="140"/>
      <c r="DJ32" s="140"/>
      <c r="DK32" s="140"/>
      <c r="DL32" s="140"/>
      <c r="DM32" s="140"/>
      <c r="DN32" s="140"/>
      <c r="DO32" s="140"/>
      <c r="DP32" s="140"/>
      <c r="DQ32" s="140"/>
      <c r="DR32" s="140"/>
      <c r="DS32" s="140"/>
      <c r="DT32" s="31"/>
      <c r="DU32" s="32"/>
      <c r="DV32" s="32"/>
      <c r="DW32" s="33"/>
      <c r="DX32" s="33"/>
      <c r="DY32" s="33"/>
      <c r="DZ32" s="33"/>
      <c r="EA32" s="20"/>
    </row>
    <row r="33" spans="1:131" s="17" customFormat="1" ht="27" customHeight="1" x14ac:dyDescent="0.2">
      <c r="A33" s="141">
        <v>12</v>
      </c>
      <c r="B33" s="141"/>
      <c r="C33" s="141"/>
      <c r="D33" s="141"/>
      <c r="E33" s="142" t="s">
        <v>320</v>
      </c>
      <c r="F33" s="142"/>
      <c r="G33" s="142"/>
      <c r="H33" s="142"/>
      <c r="I33" s="142"/>
      <c r="J33" s="142"/>
      <c r="K33" s="142"/>
      <c r="L33" s="142"/>
      <c r="M33" s="142"/>
      <c r="N33" s="142"/>
      <c r="O33" s="142"/>
      <c r="P33" s="142"/>
      <c r="Q33" s="142"/>
      <c r="R33" s="142"/>
      <c r="S33" s="142"/>
      <c r="T33" s="142"/>
      <c r="U33" s="140">
        <v>0.5</v>
      </c>
      <c r="V33" s="140"/>
      <c r="W33" s="140"/>
      <c r="X33" s="140"/>
      <c r="Y33" s="140"/>
      <c r="Z33" s="140"/>
      <c r="AA33" s="140"/>
      <c r="AB33" s="140"/>
      <c r="AC33" s="140"/>
      <c r="AD33" s="140"/>
      <c r="AE33" s="140"/>
      <c r="AF33" s="140"/>
      <c r="AG33" s="140"/>
      <c r="AH33" s="140"/>
      <c r="AI33" s="140"/>
      <c r="AJ33" s="140"/>
      <c r="AK33" s="140"/>
      <c r="AL33" s="140"/>
      <c r="AM33" s="140"/>
      <c r="AN33" s="140"/>
      <c r="AO33" s="140"/>
      <c r="AP33" s="140"/>
      <c r="AQ33" s="140"/>
      <c r="AR33" s="140"/>
      <c r="AS33" s="140"/>
      <c r="AT33" s="140"/>
      <c r="AU33" s="140"/>
      <c r="AV33" s="140"/>
      <c r="AW33" s="140"/>
      <c r="AX33" s="140"/>
      <c r="AY33" s="140"/>
      <c r="AZ33" s="140"/>
      <c r="BA33" s="140"/>
      <c r="BB33" s="140"/>
      <c r="BC33" s="140"/>
      <c r="BD33" s="140"/>
      <c r="BE33" s="140"/>
      <c r="BF33" s="140"/>
      <c r="BG33" s="140"/>
      <c r="BH33" s="140"/>
      <c r="BI33" s="143"/>
      <c r="BJ33" s="143"/>
      <c r="BK33" s="143"/>
      <c r="BL33" s="143"/>
      <c r="BM33" s="143"/>
      <c r="BN33" s="143"/>
      <c r="BO33" s="143"/>
      <c r="BP33" s="143"/>
      <c r="BQ33" s="143"/>
      <c r="BR33" s="143"/>
      <c r="BS33" s="143"/>
      <c r="BT33" s="143"/>
      <c r="BU33" s="143"/>
      <c r="BV33" s="143"/>
      <c r="BW33" s="140"/>
      <c r="BX33" s="140"/>
      <c r="BY33" s="140"/>
      <c r="BZ33" s="140"/>
      <c r="CA33" s="140"/>
      <c r="CB33" s="140"/>
      <c r="CC33" s="140"/>
      <c r="CD33" s="140"/>
      <c r="CE33" s="140"/>
      <c r="CF33" s="140"/>
      <c r="CG33" s="140"/>
      <c r="CH33" s="140"/>
      <c r="CI33" s="140"/>
      <c r="CJ33" s="140"/>
      <c r="CK33" s="145"/>
      <c r="CL33" s="145"/>
      <c r="CM33" s="145"/>
      <c r="CN33" s="145"/>
      <c r="CO33" s="145"/>
      <c r="CP33" s="145"/>
      <c r="CQ33" s="145"/>
      <c r="CR33" s="145"/>
      <c r="CS33" s="145"/>
      <c r="CT33" s="145"/>
      <c r="CU33" s="145"/>
      <c r="CV33" s="146"/>
      <c r="CW33" s="146"/>
      <c r="CX33" s="146"/>
      <c r="CY33" s="146"/>
      <c r="CZ33" s="146"/>
      <c r="DA33" s="146"/>
      <c r="DB33" s="146"/>
      <c r="DC33" s="146"/>
      <c r="DD33" s="146"/>
      <c r="DE33" s="146"/>
      <c r="DF33" s="140"/>
      <c r="DG33" s="140"/>
      <c r="DH33" s="140"/>
      <c r="DI33" s="140"/>
      <c r="DJ33" s="140"/>
      <c r="DK33" s="140"/>
      <c r="DL33" s="140"/>
      <c r="DM33" s="140"/>
      <c r="DN33" s="140"/>
      <c r="DO33" s="140"/>
      <c r="DP33" s="140"/>
      <c r="DQ33" s="140"/>
      <c r="DR33" s="140"/>
      <c r="DS33" s="140"/>
      <c r="DT33" s="31"/>
      <c r="DU33" s="32"/>
      <c r="DV33" s="32"/>
      <c r="DW33" s="33"/>
      <c r="DX33" s="33"/>
      <c r="DY33" s="33"/>
      <c r="DZ33" s="33"/>
      <c r="EA33" s="20"/>
    </row>
    <row r="34" spans="1:131" s="17" customFormat="1" ht="15.75" customHeight="1" x14ac:dyDescent="0.2">
      <c r="A34" s="141">
        <v>13</v>
      </c>
      <c r="B34" s="141"/>
      <c r="C34" s="141"/>
      <c r="D34" s="141"/>
      <c r="E34" s="142" t="s">
        <v>321</v>
      </c>
      <c r="F34" s="142"/>
      <c r="G34" s="142"/>
      <c r="H34" s="142"/>
      <c r="I34" s="142"/>
      <c r="J34" s="142"/>
      <c r="K34" s="142"/>
      <c r="L34" s="142"/>
      <c r="M34" s="142"/>
      <c r="N34" s="142"/>
      <c r="O34" s="142"/>
      <c r="P34" s="142"/>
      <c r="Q34" s="142"/>
      <c r="R34" s="142"/>
      <c r="S34" s="142"/>
      <c r="T34" s="142"/>
      <c r="U34" s="140">
        <v>0.5</v>
      </c>
      <c r="V34" s="140"/>
      <c r="W34" s="140"/>
      <c r="X34" s="140"/>
      <c r="Y34" s="140"/>
      <c r="Z34" s="140"/>
      <c r="AA34" s="140"/>
      <c r="AB34" s="140"/>
      <c r="AC34" s="140"/>
      <c r="AD34" s="140"/>
      <c r="AE34" s="140"/>
      <c r="AF34" s="140"/>
      <c r="AG34" s="140"/>
      <c r="AH34" s="140"/>
      <c r="AI34" s="140"/>
      <c r="AJ34" s="140"/>
      <c r="AK34" s="140"/>
      <c r="AL34" s="140"/>
      <c r="AM34" s="140"/>
      <c r="AN34" s="140"/>
      <c r="AO34" s="140"/>
      <c r="AP34" s="140"/>
      <c r="AQ34" s="140"/>
      <c r="AR34" s="140"/>
      <c r="AS34" s="140"/>
      <c r="AT34" s="140"/>
      <c r="AU34" s="140"/>
      <c r="AV34" s="140"/>
      <c r="AW34" s="140"/>
      <c r="AX34" s="140"/>
      <c r="AY34" s="140"/>
      <c r="AZ34" s="140"/>
      <c r="BA34" s="140"/>
      <c r="BB34" s="140"/>
      <c r="BC34" s="140"/>
      <c r="BD34" s="140"/>
      <c r="BE34" s="140"/>
      <c r="BF34" s="140"/>
      <c r="BG34" s="140"/>
      <c r="BH34" s="140"/>
      <c r="BI34" s="143"/>
      <c r="BJ34" s="143"/>
      <c r="BK34" s="143"/>
      <c r="BL34" s="143"/>
      <c r="BM34" s="143"/>
      <c r="BN34" s="143"/>
      <c r="BO34" s="143"/>
      <c r="BP34" s="143"/>
      <c r="BQ34" s="143"/>
      <c r="BR34" s="143"/>
      <c r="BS34" s="143"/>
      <c r="BT34" s="143"/>
      <c r="BU34" s="143"/>
      <c r="BV34" s="143"/>
      <c r="BW34" s="140"/>
      <c r="BX34" s="140"/>
      <c r="BY34" s="140"/>
      <c r="BZ34" s="140"/>
      <c r="CA34" s="140"/>
      <c r="CB34" s="140"/>
      <c r="CC34" s="140"/>
      <c r="CD34" s="140"/>
      <c r="CE34" s="140"/>
      <c r="CF34" s="140"/>
      <c r="CG34" s="140"/>
      <c r="CH34" s="140"/>
      <c r="CI34" s="140"/>
      <c r="CJ34" s="140"/>
      <c r="CK34" s="145"/>
      <c r="CL34" s="145"/>
      <c r="CM34" s="145"/>
      <c r="CN34" s="145"/>
      <c r="CO34" s="145"/>
      <c r="CP34" s="145"/>
      <c r="CQ34" s="145"/>
      <c r="CR34" s="145"/>
      <c r="CS34" s="145"/>
      <c r="CT34" s="145"/>
      <c r="CU34" s="145"/>
      <c r="CV34" s="146"/>
      <c r="CW34" s="146"/>
      <c r="CX34" s="146"/>
      <c r="CY34" s="146"/>
      <c r="CZ34" s="146"/>
      <c r="DA34" s="146"/>
      <c r="DB34" s="146"/>
      <c r="DC34" s="146"/>
      <c r="DD34" s="146"/>
      <c r="DE34" s="146"/>
      <c r="DF34" s="140"/>
      <c r="DG34" s="140"/>
      <c r="DH34" s="140"/>
      <c r="DI34" s="140"/>
      <c r="DJ34" s="140"/>
      <c r="DK34" s="140"/>
      <c r="DL34" s="140"/>
      <c r="DM34" s="140"/>
      <c r="DN34" s="140"/>
      <c r="DO34" s="140"/>
      <c r="DP34" s="140"/>
      <c r="DQ34" s="140"/>
      <c r="DR34" s="140"/>
      <c r="DS34" s="140"/>
      <c r="DT34" s="31"/>
      <c r="DU34" s="32"/>
      <c r="DV34" s="32"/>
      <c r="DW34" s="33"/>
      <c r="DX34" s="33"/>
      <c r="DY34" s="33"/>
      <c r="DZ34" s="33"/>
      <c r="EA34" s="20"/>
    </row>
    <row r="35" spans="1:131" s="17" customFormat="1" ht="15.75" customHeight="1" x14ac:dyDescent="0.2">
      <c r="A35" s="141">
        <v>14</v>
      </c>
      <c r="B35" s="141"/>
      <c r="C35" s="141"/>
      <c r="D35" s="141"/>
      <c r="E35" s="142" t="s">
        <v>322</v>
      </c>
      <c r="F35" s="142"/>
      <c r="G35" s="142"/>
      <c r="H35" s="142"/>
      <c r="I35" s="142"/>
      <c r="J35" s="142"/>
      <c r="K35" s="142"/>
      <c r="L35" s="142"/>
      <c r="M35" s="142"/>
      <c r="N35" s="142"/>
      <c r="O35" s="142"/>
      <c r="P35" s="142"/>
      <c r="Q35" s="142"/>
      <c r="R35" s="142"/>
      <c r="S35" s="142"/>
      <c r="T35" s="142"/>
      <c r="U35" s="140">
        <v>0.25</v>
      </c>
      <c r="V35" s="140"/>
      <c r="W35" s="140"/>
      <c r="X35" s="140"/>
      <c r="Y35" s="140"/>
      <c r="Z35" s="140"/>
      <c r="AA35" s="140"/>
      <c r="AB35" s="140"/>
      <c r="AC35" s="140"/>
      <c r="AD35" s="140"/>
      <c r="AE35" s="140"/>
      <c r="AF35" s="140"/>
      <c r="AG35" s="140"/>
      <c r="AH35" s="140"/>
      <c r="AI35" s="140"/>
      <c r="AJ35" s="140"/>
      <c r="AK35" s="140"/>
      <c r="AL35" s="140"/>
      <c r="AM35" s="140"/>
      <c r="AN35" s="140"/>
      <c r="AO35" s="140"/>
      <c r="AP35" s="140"/>
      <c r="AQ35" s="140"/>
      <c r="AR35" s="140"/>
      <c r="AS35" s="140"/>
      <c r="AT35" s="140"/>
      <c r="AU35" s="140"/>
      <c r="AV35" s="140"/>
      <c r="AW35" s="140"/>
      <c r="AX35" s="140"/>
      <c r="AY35" s="140"/>
      <c r="AZ35" s="140"/>
      <c r="BA35" s="140"/>
      <c r="BB35" s="140"/>
      <c r="BC35" s="140"/>
      <c r="BD35" s="140"/>
      <c r="BE35" s="140"/>
      <c r="BF35" s="140"/>
      <c r="BG35" s="140"/>
      <c r="BH35" s="140"/>
      <c r="BI35" s="143"/>
      <c r="BJ35" s="143"/>
      <c r="BK35" s="143"/>
      <c r="BL35" s="143"/>
      <c r="BM35" s="143"/>
      <c r="BN35" s="143"/>
      <c r="BO35" s="143"/>
      <c r="BP35" s="143"/>
      <c r="BQ35" s="143"/>
      <c r="BR35" s="143"/>
      <c r="BS35" s="143"/>
      <c r="BT35" s="143"/>
      <c r="BU35" s="143"/>
      <c r="BV35" s="143"/>
      <c r="BW35" s="140"/>
      <c r="BX35" s="140"/>
      <c r="BY35" s="140"/>
      <c r="BZ35" s="140"/>
      <c r="CA35" s="140"/>
      <c r="CB35" s="140"/>
      <c r="CC35" s="140"/>
      <c r="CD35" s="140"/>
      <c r="CE35" s="140"/>
      <c r="CF35" s="140"/>
      <c r="CG35" s="140"/>
      <c r="CH35" s="140"/>
      <c r="CI35" s="140"/>
      <c r="CJ35" s="140"/>
      <c r="CK35" s="145"/>
      <c r="CL35" s="145"/>
      <c r="CM35" s="145"/>
      <c r="CN35" s="145"/>
      <c r="CO35" s="145"/>
      <c r="CP35" s="145"/>
      <c r="CQ35" s="145"/>
      <c r="CR35" s="145"/>
      <c r="CS35" s="145"/>
      <c r="CT35" s="145"/>
      <c r="CU35" s="145"/>
      <c r="CV35" s="146"/>
      <c r="CW35" s="146"/>
      <c r="CX35" s="146"/>
      <c r="CY35" s="146"/>
      <c r="CZ35" s="146"/>
      <c r="DA35" s="146"/>
      <c r="DB35" s="146"/>
      <c r="DC35" s="146"/>
      <c r="DD35" s="146"/>
      <c r="DE35" s="146"/>
      <c r="DF35" s="140"/>
      <c r="DG35" s="140"/>
      <c r="DH35" s="140"/>
      <c r="DI35" s="140"/>
      <c r="DJ35" s="140"/>
      <c r="DK35" s="140"/>
      <c r="DL35" s="140"/>
      <c r="DM35" s="140"/>
      <c r="DN35" s="140"/>
      <c r="DO35" s="140"/>
      <c r="DP35" s="140"/>
      <c r="DQ35" s="140"/>
      <c r="DR35" s="140"/>
      <c r="DS35" s="140"/>
      <c r="DT35" s="31"/>
      <c r="DU35" s="32"/>
      <c r="DV35" s="32"/>
      <c r="DW35" s="33"/>
      <c r="DX35" s="33"/>
      <c r="DY35" s="33"/>
      <c r="DZ35" s="33"/>
      <c r="EA35" s="20"/>
    </row>
    <row r="36" spans="1:131" s="17" customFormat="1" ht="15.75" customHeight="1" x14ac:dyDescent="0.2">
      <c r="A36" s="141">
        <v>15</v>
      </c>
      <c r="B36" s="141"/>
      <c r="C36" s="141"/>
      <c r="D36" s="141"/>
      <c r="E36" s="142" t="s">
        <v>142</v>
      </c>
      <c r="F36" s="142"/>
      <c r="G36" s="142"/>
      <c r="H36" s="142"/>
      <c r="I36" s="142"/>
      <c r="J36" s="142"/>
      <c r="K36" s="142"/>
      <c r="L36" s="142"/>
      <c r="M36" s="142"/>
      <c r="N36" s="142"/>
      <c r="O36" s="142"/>
      <c r="P36" s="142"/>
      <c r="Q36" s="142"/>
      <c r="R36" s="142"/>
      <c r="S36" s="142"/>
      <c r="T36" s="142"/>
      <c r="U36" s="140">
        <v>1</v>
      </c>
      <c r="V36" s="140"/>
      <c r="W36" s="140"/>
      <c r="X36" s="140"/>
      <c r="Y36" s="140"/>
      <c r="Z36" s="140"/>
      <c r="AA36" s="140"/>
      <c r="AB36" s="140"/>
      <c r="AC36" s="140"/>
      <c r="AD36" s="140"/>
      <c r="AE36" s="140"/>
      <c r="AF36" s="140"/>
      <c r="AG36" s="140"/>
      <c r="AH36" s="140"/>
      <c r="AI36" s="140"/>
      <c r="AJ36" s="140"/>
      <c r="AK36" s="140"/>
      <c r="AL36" s="140"/>
      <c r="AM36" s="140"/>
      <c r="AN36" s="140"/>
      <c r="AO36" s="140"/>
      <c r="AP36" s="140"/>
      <c r="AQ36" s="140"/>
      <c r="AR36" s="140"/>
      <c r="AS36" s="140"/>
      <c r="AT36" s="140"/>
      <c r="AU36" s="140"/>
      <c r="AV36" s="140"/>
      <c r="AW36" s="140"/>
      <c r="AX36" s="140"/>
      <c r="AY36" s="140"/>
      <c r="AZ36" s="140"/>
      <c r="BA36" s="140"/>
      <c r="BB36" s="140"/>
      <c r="BC36" s="140"/>
      <c r="BD36" s="140"/>
      <c r="BE36" s="140"/>
      <c r="BF36" s="140"/>
      <c r="BG36" s="140"/>
      <c r="BH36" s="140"/>
      <c r="BI36" s="143"/>
      <c r="BJ36" s="143"/>
      <c r="BK36" s="143"/>
      <c r="BL36" s="143"/>
      <c r="BM36" s="143"/>
      <c r="BN36" s="143"/>
      <c r="BO36" s="143"/>
      <c r="BP36" s="143"/>
      <c r="BQ36" s="143"/>
      <c r="BR36" s="143"/>
      <c r="BS36" s="143"/>
      <c r="BT36" s="143"/>
      <c r="BU36" s="143"/>
      <c r="BV36" s="143"/>
      <c r="BW36" s="140"/>
      <c r="BX36" s="140"/>
      <c r="BY36" s="140"/>
      <c r="BZ36" s="140"/>
      <c r="CA36" s="140"/>
      <c r="CB36" s="140"/>
      <c r="CC36" s="140"/>
      <c r="CD36" s="140"/>
      <c r="CE36" s="140"/>
      <c r="CF36" s="140"/>
      <c r="CG36" s="140"/>
      <c r="CH36" s="140"/>
      <c r="CI36" s="140"/>
      <c r="CJ36" s="140"/>
      <c r="CK36" s="145"/>
      <c r="CL36" s="145"/>
      <c r="CM36" s="145"/>
      <c r="CN36" s="145"/>
      <c r="CO36" s="145"/>
      <c r="CP36" s="145"/>
      <c r="CQ36" s="145"/>
      <c r="CR36" s="145"/>
      <c r="CS36" s="145"/>
      <c r="CT36" s="145"/>
      <c r="CU36" s="145"/>
      <c r="CV36" s="146"/>
      <c r="CW36" s="146"/>
      <c r="CX36" s="146"/>
      <c r="CY36" s="146"/>
      <c r="CZ36" s="146"/>
      <c r="DA36" s="146"/>
      <c r="DB36" s="146"/>
      <c r="DC36" s="146"/>
      <c r="DD36" s="146"/>
      <c r="DE36" s="146"/>
      <c r="DF36" s="140"/>
      <c r="DG36" s="140"/>
      <c r="DH36" s="140"/>
      <c r="DI36" s="140"/>
      <c r="DJ36" s="140"/>
      <c r="DK36" s="140"/>
      <c r="DL36" s="140"/>
      <c r="DM36" s="140"/>
      <c r="DN36" s="140"/>
      <c r="DO36" s="140"/>
      <c r="DP36" s="140"/>
      <c r="DQ36" s="140"/>
      <c r="DR36" s="140"/>
      <c r="DS36" s="140"/>
      <c r="DT36" s="31"/>
      <c r="DU36" s="32"/>
      <c r="DV36" s="32"/>
      <c r="DW36" s="33"/>
      <c r="DX36" s="33"/>
      <c r="DY36" s="33"/>
      <c r="DZ36" s="33"/>
      <c r="EA36" s="20"/>
    </row>
    <row r="37" spans="1:131" s="17" customFormat="1" ht="15.75" customHeight="1" x14ac:dyDescent="0.2">
      <c r="A37" s="141">
        <v>16</v>
      </c>
      <c r="B37" s="141"/>
      <c r="C37" s="141"/>
      <c r="D37" s="141"/>
      <c r="E37" s="142" t="s">
        <v>323</v>
      </c>
      <c r="F37" s="142"/>
      <c r="G37" s="142"/>
      <c r="H37" s="142"/>
      <c r="I37" s="142"/>
      <c r="J37" s="142"/>
      <c r="K37" s="142"/>
      <c r="L37" s="142"/>
      <c r="M37" s="142"/>
      <c r="N37" s="142"/>
      <c r="O37" s="142"/>
      <c r="P37" s="142"/>
      <c r="Q37" s="142"/>
      <c r="R37" s="142"/>
      <c r="S37" s="142"/>
      <c r="T37" s="142"/>
      <c r="U37" s="140">
        <v>1</v>
      </c>
      <c r="V37" s="140"/>
      <c r="W37" s="140"/>
      <c r="X37" s="140"/>
      <c r="Y37" s="140"/>
      <c r="Z37" s="140"/>
      <c r="AA37" s="140"/>
      <c r="AB37" s="140"/>
      <c r="AC37" s="140"/>
      <c r="AD37" s="140"/>
      <c r="AE37" s="140"/>
      <c r="AF37" s="140"/>
      <c r="AG37" s="140"/>
      <c r="AH37" s="140"/>
      <c r="AI37" s="140"/>
      <c r="AJ37" s="140"/>
      <c r="AK37" s="140"/>
      <c r="AL37" s="140"/>
      <c r="AM37" s="140"/>
      <c r="AN37" s="140"/>
      <c r="AO37" s="140"/>
      <c r="AP37" s="140"/>
      <c r="AQ37" s="140"/>
      <c r="AR37" s="140"/>
      <c r="AS37" s="140"/>
      <c r="AT37" s="140"/>
      <c r="AU37" s="140"/>
      <c r="AV37" s="140"/>
      <c r="AW37" s="140"/>
      <c r="AX37" s="140"/>
      <c r="AY37" s="140"/>
      <c r="AZ37" s="140"/>
      <c r="BA37" s="140"/>
      <c r="BB37" s="140"/>
      <c r="BC37" s="140"/>
      <c r="BD37" s="140"/>
      <c r="BE37" s="140"/>
      <c r="BF37" s="140"/>
      <c r="BG37" s="140"/>
      <c r="BH37" s="140"/>
      <c r="BI37" s="143"/>
      <c r="BJ37" s="143"/>
      <c r="BK37" s="143"/>
      <c r="BL37" s="143"/>
      <c r="BM37" s="143"/>
      <c r="BN37" s="143"/>
      <c r="BO37" s="143"/>
      <c r="BP37" s="143"/>
      <c r="BQ37" s="143"/>
      <c r="BR37" s="143"/>
      <c r="BS37" s="143"/>
      <c r="BT37" s="143"/>
      <c r="BU37" s="143"/>
      <c r="BV37" s="143"/>
      <c r="BW37" s="140"/>
      <c r="BX37" s="140"/>
      <c r="BY37" s="140"/>
      <c r="BZ37" s="140"/>
      <c r="CA37" s="140"/>
      <c r="CB37" s="140"/>
      <c r="CC37" s="140"/>
      <c r="CD37" s="140"/>
      <c r="CE37" s="140"/>
      <c r="CF37" s="140"/>
      <c r="CG37" s="140"/>
      <c r="CH37" s="140"/>
      <c r="CI37" s="140"/>
      <c r="CJ37" s="140"/>
      <c r="CK37" s="145"/>
      <c r="CL37" s="145"/>
      <c r="CM37" s="145"/>
      <c r="CN37" s="145"/>
      <c r="CO37" s="145"/>
      <c r="CP37" s="145"/>
      <c r="CQ37" s="145"/>
      <c r="CR37" s="145"/>
      <c r="CS37" s="145"/>
      <c r="CT37" s="145"/>
      <c r="CU37" s="145"/>
      <c r="CV37" s="146"/>
      <c r="CW37" s="146"/>
      <c r="CX37" s="146"/>
      <c r="CY37" s="146"/>
      <c r="CZ37" s="146"/>
      <c r="DA37" s="146"/>
      <c r="DB37" s="146"/>
      <c r="DC37" s="146"/>
      <c r="DD37" s="146"/>
      <c r="DE37" s="146"/>
      <c r="DF37" s="140"/>
      <c r="DG37" s="140"/>
      <c r="DH37" s="140"/>
      <c r="DI37" s="140"/>
      <c r="DJ37" s="140"/>
      <c r="DK37" s="140"/>
      <c r="DL37" s="140"/>
      <c r="DM37" s="140"/>
      <c r="DN37" s="140"/>
      <c r="DO37" s="140"/>
      <c r="DP37" s="140"/>
      <c r="DQ37" s="140"/>
      <c r="DR37" s="140"/>
      <c r="DS37" s="140"/>
      <c r="DT37" s="31"/>
      <c r="DU37" s="32"/>
      <c r="DV37" s="32"/>
      <c r="DW37" s="33"/>
      <c r="DX37" s="33"/>
      <c r="DY37" s="33"/>
      <c r="DZ37" s="33"/>
      <c r="EA37" s="20"/>
    </row>
    <row r="38" spans="1:131" s="17" customFormat="1" ht="38.25" customHeight="1" x14ac:dyDescent="0.2">
      <c r="A38" s="141">
        <v>17</v>
      </c>
      <c r="B38" s="141"/>
      <c r="C38" s="141"/>
      <c r="D38" s="141"/>
      <c r="E38" s="142" t="s">
        <v>324</v>
      </c>
      <c r="F38" s="142"/>
      <c r="G38" s="142"/>
      <c r="H38" s="142"/>
      <c r="I38" s="142"/>
      <c r="J38" s="142"/>
      <c r="K38" s="142"/>
      <c r="L38" s="142"/>
      <c r="M38" s="142"/>
      <c r="N38" s="142"/>
      <c r="O38" s="142"/>
      <c r="P38" s="142"/>
      <c r="Q38" s="142"/>
      <c r="R38" s="142"/>
      <c r="S38" s="142"/>
      <c r="T38" s="142"/>
      <c r="U38" s="140">
        <v>0.5</v>
      </c>
      <c r="V38" s="140"/>
      <c r="W38" s="140"/>
      <c r="X38" s="140"/>
      <c r="Y38" s="140"/>
      <c r="Z38" s="140"/>
      <c r="AA38" s="140"/>
      <c r="AB38" s="140"/>
      <c r="AC38" s="140"/>
      <c r="AD38" s="140"/>
      <c r="AE38" s="140"/>
      <c r="AF38" s="140"/>
      <c r="AG38" s="140"/>
      <c r="AH38" s="140"/>
      <c r="AI38" s="140"/>
      <c r="AJ38" s="140"/>
      <c r="AK38" s="140"/>
      <c r="AL38" s="140"/>
      <c r="AM38" s="140"/>
      <c r="AN38" s="140"/>
      <c r="AO38" s="140"/>
      <c r="AP38" s="140"/>
      <c r="AQ38" s="140"/>
      <c r="AR38" s="140"/>
      <c r="AS38" s="140"/>
      <c r="AT38" s="140"/>
      <c r="AU38" s="140"/>
      <c r="AV38" s="140"/>
      <c r="AW38" s="140"/>
      <c r="AX38" s="140"/>
      <c r="AY38" s="140"/>
      <c r="AZ38" s="140"/>
      <c r="BA38" s="140"/>
      <c r="BB38" s="140"/>
      <c r="BC38" s="140"/>
      <c r="BD38" s="140"/>
      <c r="BE38" s="140"/>
      <c r="BF38" s="140"/>
      <c r="BG38" s="140"/>
      <c r="BH38" s="140"/>
      <c r="BI38" s="143"/>
      <c r="BJ38" s="143"/>
      <c r="BK38" s="143"/>
      <c r="BL38" s="143"/>
      <c r="BM38" s="143"/>
      <c r="BN38" s="143"/>
      <c r="BO38" s="143"/>
      <c r="BP38" s="143"/>
      <c r="BQ38" s="143"/>
      <c r="BR38" s="143"/>
      <c r="BS38" s="143"/>
      <c r="BT38" s="143"/>
      <c r="BU38" s="143"/>
      <c r="BV38" s="143"/>
      <c r="BW38" s="140"/>
      <c r="BX38" s="140"/>
      <c r="BY38" s="140"/>
      <c r="BZ38" s="140"/>
      <c r="CA38" s="140"/>
      <c r="CB38" s="140"/>
      <c r="CC38" s="140"/>
      <c r="CD38" s="140"/>
      <c r="CE38" s="140"/>
      <c r="CF38" s="140"/>
      <c r="CG38" s="140"/>
      <c r="CH38" s="140"/>
      <c r="CI38" s="140"/>
      <c r="CJ38" s="140"/>
      <c r="CK38" s="145"/>
      <c r="CL38" s="145"/>
      <c r="CM38" s="145"/>
      <c r="CN38" s="145"/>
      <c r="CO38" s="145"/>
      <c r="CP38" s="145"/>
      <c r="CQ38" s="145"/>
      <c r="CR38" s="145"/>
      <c r="CS38" s="145"/>
      <c r="CT38" s="145"/>
      <c r="CU38" s="145"/>
      <c r="CV38" s="146"/>
      <c r="CW38" s="146"/>
      <c r="CX38" s="146"/>
      <c r="CY38" s="146"/>
      <c r="CZ38" s="146"/>
      <c r="DA38" s="146"/>
      <c r="DB38" s="146"/>
      <c r="DC38" s="146"/>
      <c r="DD38" s="146"/>
      <c r="DE38" s="146"/>
      <c r="DF38" s="140"/>
      <c r="DG38" s="140"/>
      <c r="DH38" s="140"/>
      <c r="DI38" s="140"/>
      <c r="DJ38" s="140"/>
      <c r="DK38" s="140"/>
      <c r="DL38" s="140"/>
      <c r="DM38" s="140"/>
      <c r="DN38" s="140"/>
      <c r="DO38" s="140"/>
      <c r="DP38" s="140"/>
      <c r="DQ38" s="140"/>
      <c r="DR38" s="140"/>
      <c r="DS38" s="140"/>
      <c r="DT38" s="31"/>
      <c r="DU38" s="32"/>
      <c r="DV38" s="32"/>
      <c r="DW38" s="33"/>
      <c r="DX38" s="33"/>
      <c r="DY38" s="33"/>
      <c r="DZ38" s="33"/>
      <c r="EA38" s="20"/>
    </row>
    <row r="39" spans="1:131" s="17" customFormat="1" ht="37.5" customHeight="1" x14ac:dyDescent="0.2">
      <c r="A39" s="141">
        <v>18</v>
      </c>
      <c r="B39" s="141"/>
      <c r="C39" s="141"/>
      <c r="D39" s="141"/>
      <c r="E39" s="142" t="s">
        <v>143</v>
      </c>
      <c r="F39" s="142"/>
      <c r="G39" s="142"/>
      <c r="H39" s="142"/>
      <c r="I39" s="142"/>
      <c r="J39" s="142"/>
      <c r="K39" s="142"/>
      <c r="L39" s="142"/>
      <c r="M39" s="142"/>
      <c r="N39" s="142"/>
      <c r="O39" s="142"/>
      <c r="P39" s="142"/>
      <c r="Q39" s="142"/>
      <c r="R39" s="142"/>
      <c r="S39" s="142"/>
      <c r="T39" s="142"/>
      <c r="U39" s="140">
        <v>2</v>
      </c>
      <c r="V39" s="140"/>
      <c r="W39" s="140"/>
      <c r="X39" s="140"/>
      <c r="Y39" s="140"/>
      <c r="Z39" s="140"/>
      <c r="AA39" s="140"/>
      <c r="AB39" s="140"/>
      <c r="AC39" s="140"/>
      <c r="AD39" s="140"/>
      <c r="AE39" s="140"/>
      <c r="AF39" s="140"/>
      <c r="AG39" s="140"/>
      <c r="AH39" s="140"/>
      <c r="AI39" s="140"/>
      <c r="AJ39" s="140"/>
      <c r="AK39" s="140"/>
      <c r="AL39" s="140"/>
      <c r="AM39" s="140"/>
      <c r="AN39" s="140"/>
      <c r="AO39" s="140"/>
      <c r="AP39" s="140"/>
      <c r="AQ39" s="140"/>
      <c r="AR39" s="140"/>
      <c r="AS39" s="140"/>
      <c r="AT39" s="140"/>
      <c r="AU39" s="140"/>
      <c r="AV39" s="140"/>
      <c r="AW39" s="140"/>
      <c r="AX39" s="140"/>
      <c r="AY39" s="140"/>
      <c r="AZ39" s="140"/>
      <c r="BA39" s="140"/>
      <c r="BB39" s="140"/>
      <c r="BC39" s="140"/>
      <c r="BD39" s="140"/>
      <c r="BE39" s="140"/>
      <c r="BF39" s="140"/>
      <c r="BG39" s="140"/>
      <c r="BH39" s="140"/>
      <c r="BI39" s="143"/>
      <c r="BJ39" s="143"/>
      <c r="BK39" s="143"/>
      <c r="BL39" s="143"/>
      <c r="BM39" s="143"/>
      <c r="BN39" s="143"/>
      <c r="BO39" s="143"/>
      <c r="BP39" s="143"/>
      <c r="BQ39" s="143"/>
      <c r="BR39" s="143"/>
      <c r="BS39" s="143"/>
      <c r="BT39" s="143"/>
      <c r="BU39" s="143"/>
      <c r="BV39" s="143"/>
      <c r="BW39" s="140"/>
      <c r="BX39" s="140"/>
      <c r="BY39" s="140"/>
      <c r="BZ39" s="140"/>
      <c r="CA39" s="140"/>
      <c r="CB39" s="140"/>
      <c r="CC39" s="140"/>
      <c r="CD39" s="140"/>
      <c r="CE39" s="140"/>
      <c r="CF39" s="140"/>
      <c r="CG39" s="140"/>
      <c r="CH39" s="140"/>
      <c r="CI39" s="140"/>
      <c r="CJ39" s="140"/>
      <c r="CK39" s="144"/>
      <c r="CL39" s="144"/>
      <c r="CM39" s="144"/>
      <c r="CN39" s="144"/>
      <c r="CO39" s="144"/>
      <c r="CP39" s="144"/>
      <c r="CQ39" s="144"/>
      <c r="CR39" s="144"/>
      <c r="CS39" s="144"/>
      <c r="CT39" s="144"/>
      <c r="CU39" s="144"/>
      <c r="CV39" s="143"/>
      <c r="CW39" s="143"/>
      <c r="CX39" s="143"/>
      <c r="CY39" s="143"/>
      <c r="CZ39" s="143"/>
      <c r="DA39" s="143"/>
      <c r="DB39" s="143"/>
      <c r="DC39" s="143"/>
      <c r="DD39" s="143"/>
      <c r="DE39" s="143"/>
      <c r="DF39" s="140"/>
      <c r="DG39" s="140"/>
      <c r="DH39" s="140"/>
      <c r="DI39" s="140"/>
      <c r="DJ39" s="140"/>
      <c r="DK39" s="140"/>
      <c r="DL39" s="140"/>
      <c r="DM39" s="140"/>
      <c r="DN39" s="140"/>
      <c r="DO39" s="140"/>
      <c r="DP39" s="140"/>
      <c r="DQ39" s="140"/>
      <c r="DR39" s="140"/>
      <c r="DS39" s="140"/>
      <c r="DT39" s="31"/>
      <c r="DU39" s="32"/>
      <c r="DV39" s="32"/>
      <c r="DW39" s="33"/>
      <c r="DX39" s="33"/>
      <c r="DY39" s="33"/>
      <c r="DZ39" s="33"/>
      <c r="EA39" s="20"/>
    </row>
    <row r="40" spans="1:131" s="17" customFormat="1" ht="27" customHeight="1" x14ac:dyDescent="0.2">
      <c r="A40" s="141">
        <v>19</v>
      </c>
      <c r="B40" s="141"/>
      <c r="C40" s="141"/>
      <c r="D40" s="141"/>
      <c r="E40" s="142" t="s">
        <v>144</v>
      </c>
      <c r="F40" s="142"/>
      <c r="G40" s="142"/>
      <c r="H40" s="142"/>
      <c r="I40" s="142"/>
      <c r="J40" s="142"/>
      <c r="K40" s="142"/>
      <c r="L40" s="142"/>
      <c r="M40" s="142"/>
      <c r="N40" s="142"/>
      <c r="O40" s="142"/>
      <c r="P40" s="142"/>
      <c r="Q40" s="142"/>
      <c r="R40" s="142"/>
      <c r="S40" s="142"/>
      <c r="T40" s="142"/>
      <c r="U40" s="140">
        <v>8</v>
      </c>
      <c r="V40" s="140"/>
      <c r="W40" s="140"/>
      <c r="X40" s="140"/>
      <c r="Y40" s="140"/>
      <c r="Z40" s="140"/>
      <c r="AA40" s="140"/>
      <c r="AB40" s="140"/>
      <c r="AC40" s="140"/>
      <c r="AD40" s="140"/>
      <c r="AE40" s="140"/>
      <c r="AF40" s="140"/>
      <c r="AG40" s="140"/>
      <c r="AH40" s="140"/>
      <c r="AI40" s="140"/>
      <c r="AJ40" s="140"/>
      <c r="AK40" s="140"/>
      <c r="AL40" s="140"/>
      <c r="AM40" s="140"/>
      <c r="AN40" s="140"/>
      <c r="AO40" s="140"/>
      <c r="AP40" s="140"/>
      <c r="AQ40" s="140"/>
      <c r="AR40" s="140"/>
      <c r="AS40" s="140"/>
      <c r="AT40" s="140"/>
      <c r="AU40" s="140"/>
      <c r="AV40" s="140"/>
      <c r="AW40" s="140"/>
      <c r="AX40" s="140"/>
      <c r="AY40" s="140"/>
      <c r="AZ40" s="140"/>
      <c r="BA40" s="140"/>
      <c r="BB40" s="140"/>
      <c r="BC40" s="140"/>
      <c r="BD40" s="140"/>
      <c r="BE40" s="140"/>
      <c r="BF40" s="140"/>
      <c r="BG40" s="140"/>
      <c r="BH40" s="140"/>
      <c r="BI40" s="143"/>
      <c r="BJ40" s="143"/>
      <c r="BK40" s="143"/>
      <c r="BL40" s="143"/>
      <c r="BM40" s="143"/>
      <c r="BN40" s="143"/>
      <c r="BO40" s="143"/>
      <c r="BP40" s="143"/>
      <c r="BQ40" s="143"/>
      <c r="BR40" s="143"/>
      <c r="BS40" s="143"/>
      <c r="BT40" s="143"/>
      <c r="BU40" s="143"/>
      <c r="BV40" s="143"/>
      <c r="BW40" s="140"/>
      <c r="BX40" s="140"/>
      <c r="BY40" s="140"/>
      <c r="BZ40" s="140"/>
      <c r="CA40" s="140"/>
      <c r="CB40" s="140"/>
      <c r="CC40" s="140"/>
      <c r="CD40" s="140"/>
      <c r="CE40" s="140"/>
      <c r="CF40" s="140"/>
      <c r="CG40" s="140"/>
      <c r="CH40" s="140"/>
      <c r="CI40" s="140"/>
      <c r="CJ40" s="140"/>
      <c r="CK40" s="144"/>
      <c r="CL40" s="144"/>
      <c r="CM40" s="144"/>
      <c r="CN40" s="144"/>
      <c r="CO40" s="144"/>
      <c r="CP40" s="144"/>
      <c r="CQ40" s="144"/>
      <c r="CR40" s="144"/>
      <c r="CS40" s="144"/>
      <c r="CT40" s="144"/>
      <c r="CU40" s="144"/>
      <c r="CV40" s="143"/>
      <c r="CW40" s="143"/>
      <c r="CX40" s="143"/>
      <c r="CY40" s="143"/>
      <c r="CZ40" s="143"/>
      <c r="DA40" s="143"/>
      <c r="DB40" s="143"/>
      <c r="DC40" s="143"/>
      <c r="DD40" s="143"/>
      <c r="DE40" s="143"/>
      <c r="DF40" s="140"/>
      <c r="DG40" s="140"/>
      <c r="DH40" s="140"/>
      <c r="DI40" s="140"/>
      <c r="DJ40" s="140"/>
      <c r="DK40" s="140"/>
      <c r="DL40" s="140"/>
      <c r="DM40" s="140"/>
      <c r="DN40" s="140"/>
      <c r="DO40" s="140"/>
      <c r="DP40" s="140"/>
      <c r="DQ40" s="140"/>
      <c r="DR40" s="140"/>
      <c r="DS40" s="140"/>
      <c r="DT40" s="31"/>
      <c r="DU40" s="32"/>
      <c r="DV40" s="32"/>
      <c r="DW40" s="33"/>
      <c r="DX40" s="33"/>
      <c r="DY40" s="33"/>
      <c r="DZ40" s="33"/>
      <c r="EA40" s="20"/>
    </row>
    <row r="41" spans="1:131" s="17" customFormat="1" ht="15.75" customHeight="1" x14ac:dyDescent="0.2">
      <c r="A41" s="141">
        <v>20</v>
      </c>
      <c r="B41" s="141"/>
      <c r="C41" s="141"/>
      <c r="D41" s="141"/>
      <c r="E41" s="142" t="s">
        <v>145</v>
      </c>
      <c r="F41" s="142"/>
      <c r="G41" s="142"/>
      <c r="H41" s="142"/>
      <c r="I41" s="142"/>
      <c r="J41" s="142"/>
      <c r="K41" s="142"/>
      <c r="L41" s="142"/>
      <c r="M41" s="142"/>
      <c r="N41" s="142"/>
      <c r="O41" s="142"/>
      <c r="P41" s="142"/>
      <c r="Q41" s="142"/>
      <c r="R41" s="142"/>
      <c r="S41" s="142"/>
      <c r="T41" s="142"/>
      <c r="U41" s="140">
        <v>0.25</v>
      </c>
      <c r="V41" s="140"/>
      <c r="W41" s="140"/>
      <c r="X41" s="140"/>
      <c r="Y41" s="140"/>
      <c r="Z41" s="140"/>
      <c r="AA41" s="140"/>
      <c r="AB41" s="140"/>
      <c r="AC41" s="140"/>
      <c r="AD41" s="140"/>
      <c r="AE41" s="140"/>
      <c r="AF41" s="140"/>
      <c r="AG41" s="140"/>
      <c r="AH41" s="140"/>
      <c r="AI41" s="140"/>
      <c r="AJ41" s="140"/>
      <c r="AK41" s="140"/>
      <c r="AL41" s="140"/>
      <c r="AM41" s="140"/>
      <c r="AN41" s="140"/>
      <c r="AO41" s="140"/>
      <c r="AP41" s="140"/>
      <c r="AQ41" s="140"/>
      <c r="AR41" s="140"/>
      <c r="AS41" s="140"/>
      <c r="AT41" s="140"/>
      <c r="AU41" s="140"/>
      <c r="AV41" s="140"/>
      <c r="AW41" s="140"/>
      <c r="AX41" s="140"/>
      <c r="AY41" s="140"/>
      <c r="AZ41" s="140"/>
      <c r="BA41" s="140"/>
      <c r="BB41" s="140"/>
      <c r="BC41" s="140"/>
      <c r="BD41" s="140"/>
      <c r="BE41" s="140"/>
      <c r="BF41" s="140"/>
      <c r="BG41" s="140"/>
      <c r="BH41" s="140"/>
      <c r="BI41" s="143"/>
      <c r="BJ41" s="143"/>
      <c r="BK41" s="143"/>
      <c r="BL41" s="143"/>
      <c r="BM41" s="143"/>
      <c r="BN41" s="143"/>
      <c r="BO41" s="143"/>
      <c r="BP41" s="143"/>
      <c r="BQ41" s="143"/>
      <c r="BR41" s="143"/>
      <c r="BS41" s="143"/>
      <c r="BT41" s="143"/>
      <c r="BU41" s="143"/>
      <c r="BV41" s="143"/>
      <c r="BW41" s="140"/>
      <c r="BX41" s="140"/>
      <c r="BY41" s="140"/>
      <c r="BZ41" s="140"/>
      <c r="CA41" s="140"/>
      <c r="CB41" s="140"/>
      <c r="CC41" s="140"/>
      <c r="CD41" s="140"/>
      <c r="CE41" s="140"/>
      <c r="CF41" s="140"/>
      <c r="CG41" s="140"/>
      <c r="CH41" s="140"/>
      <c r="CI41" s="140"/>
      <c r="CJ41" s="140"/>
      <c r="CK41" s="144"/>
      <c r="CL41" s="144"/>
      <c r="CM41" s="144"/>
      <c r="CN41" s="144"/>
      <c r="CO41" s="144"/>
      <c r="CP41" s="144"/>
      <c r="CQ41" s="144"/>
      <c r="CR41" s="144"/>
      <c r="CS41" s="144"/>
      <c r="CT41" s="144"/>
      <c r="CU41" s="144"/>
      <c r="CV41" s="143"/>
      <c r="CW41" s="143"/>
      <c r="CX41" s="143"/>
      <c r="CY41" s="143"/>
      <c r="CZ41" s="143"/>
      <c r="DA41" s="143"/>
      <c r="DB41" s="143"/>
      <c r="DC41" s="143"/>
      <c r="DD41" s="143"/>
      <c r="DE41" s="143"/>
      <c r="DF41" s="140"/>
      <c r="DG41" s="140"/>
      <c r="DH41" s="140"/>
      <c r="DI41" s="140"/>
      <c r="DJ41" s="140"/>
      <c r="DK41" s="140"/>
      <c r="DL41" s="140"/>
      <c r="DM41" s="140"/>
      <c r="DN41" s="140"/>
      <c r="DO41" s="140"/>
      <c r="DP41" s="140"/>
      <c r="DQ41" s="140"/>
      <c r="DR41" s="140"/>
      <c r="DS41" s="140"/>
      <c r="DT41" s="31"/>
      <c r="DU41" s="32"/>
      <c r="DV41" s="32"/>
      <c r="DW41" s="33"/>
      <c r="DX41" s="33"/>
      <c r="DY41" s="33"/>
      <c r="DZ41" s="33"/>
      <c r="EA41" s="20"/>
    </row>
    <row r="42" spans="1:131" s="17" customFormat="1" ht="15.75" customHeight="1" x14ac:dyDescent="0.2">
      <c r="A42" s="141">
        <v>21</v>
      </c>
      <c r="B42" s="141"/>
      <c r="C42" s="141"/>
      <c r="D42" s="141"/>
      <c r="E42" s="142" t="s">
        <v>146</v>
      </c>
      <c r="F42" s="142"/>
      <c r="G42" s="142"/>
      <c r="H42" s="142"/>
      <c r="I42" s="142"/>
      <c r="J42" s="142"/>
      <c r="K42" s="142"/>
      <c r="L42" s="142"/>
      <c r="M42" s="142"/>
      <c r="N42" s="142"/>
      <c r="O42" s="142"/>
      <c r="P42" s="142"/>
      <c r="Q42" s="142"/>
      <c r="R42" s="142"/>
      <c r="S42" s="142"/>
      <c r="T42" s="142"/>
      <c r="U42" s="140">
        <v>1</v>
      </c>
      <c r="V42" s="140"/>
      <c r="W42" s="140"/>
      <c r="X42" s="140"/>
      <c r="Y42" s="140"/>
      <c r="Z42" s="140"/>
      <c r="AA42" s="140"/>
      <c r="AB42" s="140"/>
      <c r="AC42" s="140"/>
      <c r="AD42" s="140"/>
      <c r="AE42" s="140"/>
      <c r="AF42" s="140"/>
      <c r="AG42" s="140"/>
      <c r="AH42" s="140"/>
      <c r="AI42" s="140"/>
      <c r="AJ42" s="140"/>
      <c r="AK42" s="140"/>
      <c r="AL42" s="140"/>
      <c r="AM42" s="140"/>
      <c r="AN42" s="140"/>
      <c r="AO42" s="140"/>
      <c r="AP42" s="140"/>
      <c r="AQ42" s="140"/>
      <c r="AR42" s="140"/>
      <c r="AS42" s="140"/>
      <c r="AT42" s="140"/>
      <c r="AU42" s="140"/>
      <c r="AV42" s="140"/>
      <c r="AW42" s="140"/>
      <c r="AX42" s="140"/>
      <c r="AY42" s="140"/>
      <c r="AZ42" s="140"/>
      <c r="BA42" s="140"/>
      <c r="BB42" s="140"/>
      <c r="BC42" s="140"/>
      <c r="BD42" s="140"/>
      <c r="BE42" s="140"/>
      <c r="BF42" s="140"/>
      <c r="BG42" s="140"/>
      <c r="BH42" s="140"/>
      <c r="BI42" s="143"/>
      <c r="BJ42" s="143"/>
      <c r="BK42" s="143"/>
      <c r="BL42" s="143"/>
      <c r="BM42" s="143"/>
      <c r="BN42" s="143"/>
      <c r="BO42" s="143"/>
      <c r="BP42" s="143"/>
      <c r="BQ42" s="143"/>
      <c r="BR42" s="143"/>
      <c r="BS42" s="143"/>
      <c r="BT42" s="143"/>
      <c r="BU42" s="143"/>
      <c r="BV42" s="143"/>
      <c r="BW42" s="140"/>
      <c r="BX42" s="140"/>
      <c r="BY42" s="140"/>
      <c r="BZ42" s="140"/>
      <c r="CA42" s="140"/>
      <c r="CB42" s="140"/>
      <c r="CC42" s="140"/>
      <c r="CD42" s="140"/>
      <c r="CE42" s="140"/>
      <c r="CF42" s="140"/>
      <c r="CG42" s="140"/>
      <c r="CH42" s="140"/>
      <c r="CI42" s="140"/>
      <c r="CJ42" s="140"/>
      <c r="CK42" s="144"/>
      <c r="CL42" s="144"/>
      <c r="CM42" s="144"/>
      <c r="CN42" s="144"/>
      <c r="CO42" s="144"/>
      <c r="CP42" s="144"/>
      <c r="CQ42" s="144"/>
      <c r="CR42" s="144"/>
      <c r="CS42" s="144"/>
      <c r="CT42" s="144"/>
      <c r="CU42" s="144"/>
      <c r="CV42" s="143"/>
      <c r="CW42" s="143"/>
      <c r="CX42" s="143"/>
      <c r="CY42" s="143"/>
      <c r="CZ42" s="143"/>
      <c r="DA42" s="143"/>
      <c r="DB42" s="143"/>
      <c r="DC42" s="143"/>
      <c r="DD42" s="143"/>
      <c r="DE42" s="143"/>
      <c r="DF42" s="140"/>
      <c r="DG42" s="140"/>
      <c r="DH42" s="140"/>
      <c r="DI42" s="140"/>
      <c r="DJ42" s="140"/>
      <c r="DK42" s="140"/>
      <c r="DL42" s="140"/>
      <c r="DM42" s="140"/>
      <c r="DN42" s="140"/>
      <c r="DO42" s="140"/>
      <c r="DP42" s="140"/>
      <c r="DQ42" s="140"/>
      <c r="DR42" s="140"/>
      <c r="DS42" s="140"/>
      <c r="DT42" s="31"/>
      <c r="DU42" s="32"/>
      <c r="DV42" s="32"/>
      <c r="DW42" s="33"/>
      <c r="DX42" s="33"/>
      <c r="DY42" s="33"/>
      <c r="DZ42" s="33"/>
      <c r="EA42" s="20"/>
    </row>
    <row r="43" spans="1:131" s="17" customFormat="1" ht="15.75" customHeight="1" x14ac:dyDescent="0.2">
      <c r="A43" s="141">
        <v>22</v>
      </c>
      <c r="B43" s="141"/>
      <c r="C43" s="141"/>
      <c r="D43" s="141"/>
      <c r="E43" s="142" t="s">
        <v>147</v>
      </c>
      <c r="F43" s="142"/>
      <c r="G43" s="142"/>
      <c r="H43" s="142"/>
      <c r="I43" s="142"/>
      <c r="J43" s="142"/>
      <c r="K43" s="142"/>
      <c r="L43" s="142"/>
      <c r="M43" s="142"/>
      <c r="N43" s="142"/>
      <c r="O43" s="142"/>
      <c r="P43" s="142"/>
      <c r="Q43" s="142"/>
      <c r="R43" s="142"/>
      <c r="S43" s="142"/>
      <c r="T43" s="142"/>
      <c r="U43" s="140">
        <v>4</v>
      </c>
      <c r="V43" s="140"/>
      <c r="W43" s="140"/>
      <c r="X43" s="140"/>
      <c r="Y43" s="140"/>
      <c r="Z43" s="140"/>
      <c r="AA43" s="140"/>
      <c r="AB43" s="140"/>
      <c r="AC43" s="140"/>
      <c r="AD43" s="140"/>
      <c r="AE43" s="140"/>
      <c r="AF43" s="140"/>
      <c r="AG43" s="140"/>
      <c r="AH43" s="140"/>
      <c r="AI43" s="140"/>
      <c r="AJ43" s="140"/>
      <c r="AK43" s="140"/>
      <c r="AL43" s="140"/>
      <c r="AM43" s="140"/>
      <c r="AN43" s="140"/>
      <c r="AO43" s="140"/>
      <c r="AP43" s="140"/>
      <c r="AQ43" s="140"/>
      <c r="AR43" s="140"/>
      <c r="AS43" s="140"/>
      <c r="AT43" s="140"/>
      <c r="AU43" s="140"/>
      <c r="AV43" s="140"/>
      <c r="AW43" s="140"/>
      <c r="AX43" s="140"/>
      <c r="AY43" s="140"/>
      <c r="AZ43" s="140"/>
      <c r="BA43" s="140"/>
      <c r="BB43" s="140"/>
      <c r="BC43" s="140"/>
      <c r="BD43" s="140"/>
      <c r="BE43" s="140"/>
      <c r="BF43" s="140"/>
      <c r="BG43" s="140"/>
      <c r="BH43" s="140"/>
      <c r="BI43" s="143"/>
      <c r="BJ43" s="143"/>
      <c r="BK43" s="143"/>
      <c r="BL43" s="143"/>
      <c r="BM43" s="143"/>
      <c r="BN43" s="143"/>
      <c r="BO43" s="143"/>
      <c r="BP43" s="143"/>
      <c r="BQ43" s="143"/>
      <c r="BR43" s="143"/>
      <c r="BS43" s="143"/>
      <c r="BT43" s="143"/>
      <c r="BU43" s="143"/>
      <c r="BV43" s="143"/>
      <c r="BW43" s="140"/>
      <c r="BX43" s="140"/>
      <c r="BY43" s="140"/>
      <c r="BZ43" s="140"/>
      <c r="CA43" s="140"/>
      <c r="CB43" s="140"/>
      <c r="CC43" s="140"/>
      <c r="CD43" s="140"/>
      <c r="CE43" s="140"/>
      <c r="CF43" s="140"/>
      <c r="CG43" s="140"/>
      <c r="CH43" s="140"/>
      <c r="CI43" s="140"/>
      <c r="CJ43" s="140"/>
      <c r="CK43" s="144"/>
      <c r="CL43" s="144"/>
      <c r="CM43" s="144"/>
      <c r="CN43" s="144"/>
      <c r="CO43" s="144"/>
      <c r="CP43" s="144"/>
      <c r="CQ43" s="144"/>
      <c r="CR43" s="144"/>
      <c r="CS43" s="144"/>
      <c r="CT43" s="144"/>
      <c r="CU43" s="144"/>
      <c r="CV43" s="143"/>
      <c r="CW43" s="143"/>
      <c r="CX43" s="143"/>
      <c r="CY43" s="143"/>
      <c r="CZ43" s="143"/>
      <c r="DA43" s="143"/>
      <c r="DB43" s="143"/>
      <c r="DC43" s="143"/>
      <c r="DD43" s="143"/>
      <c r="DE43" s="143"/>
      <c r="DF43" s="140"/>
      <c r="DG43" s="140"/>
      <c r="DH43" s="140"/>
      <c r="DI43" s="140"/>
      <c r="DJ43" s="140"/>
      <c r="DK43" s="140"/>
      <c r="DL43" s="140"/>
      <c r="DM43" s="140"/>
      <c r="DN43" s="140"/>
      <c r="DO43" s="140"/>
      <c r="DP43" s="140"/>
      <c r="DQ43" s="140"/>
      <c r="DR43" s="140"/>
      <c r="DS43" s="140"/>
      <c r="DT43" s="31"/>
      <c r="DU43" s="32"/>
      <c r="DV43" s="32"/>
      <c r="DW43" s="33"/>
      <c r="DX43" s="33"/>
      <c r="DY43" s="33"/>
      <c r="DZ43" s="33"/>
      <c r="EA43" s="20"/>
    </row>
    <row r="44" spans="1:131" s="37" customFormat="1" ht="12.75" x14ac:dyDescent="0.2">
      <c r="A44" s="135" t="s">
        <v>43</v>
      </c>
      <c r="B44" s="135"/>
      <c r="C44" s="135"/>
      <c r="D44" s="135"/>
      <c r="E44" s="135"/>
      <c r="F44" s="135"/>
      <c r="G44" s="135"/>
      <c r="H44" s="135"/>
      <c r="I44" s="135"/>
      <c r="J44" s="135"/>
      <c r="K44" s="135"/>
      <c r="L44" s="135"/>
      <c r="M44" s="135"/>
      <c r="N44" s="135"/>
      <c r="O44" s="135"/>
      <c r="P44" s="135"/>
      <c r="Q44" s="135"/>
      <c r="R44" s="135"/>
      <c r="S44" s="135"/>
      <c r="T44" s="135"/>
      <c r="U44" s="136">
        <f>SUM(U22:AF43)</f>
        <v>99.09</v>
      </c>
      <c r="V44" s="136"/>
      <c r="W44" s="136"/>
      <c r="X44" s="136"/>
      <c r="Y44" s="136"/>
      <c r="Z44" s="136"/>
      <c r="AA44" s="136"/>
      <c r="AB44" s="136"/>
      <c r="AC44" s="136"/>
      <c r="AD44" s="136"/>
      <c r="AE44" s="136"/>
      <c r="AF44" s="136"/>
      <c r="AG44" s="137">
        <f>SUM(AG22:AT43)</f>
        <v>0</v>
      </c>
      <c r="AH44" s="137"/>
      <c r="AI44" s="137"/>
      <c r="AJ44" s="137"/>
      <c r="AK44" s="137"/>
      <c r="AL44" s="137"/>
      <c r="AM44" s="137"/>
      <c r="AN44" s="137"/>
      <c r="AO44" s="137"/>
      <c r="AP44" s="137"/>
      <c r="AQ44" s="137"/>
      <c r="AR44" s="137"/>
      <c r="AS44" s="137"/>
      <c r="AT44" s="137"/>
      <c r="AU44" s="133" t="s">
        <v>44</v>
      </c>
      <c r="AV44" s="133"/>
      <c r="AW44" s="133"/>
      <c r="AX44" s="133"/>
      <c r="AY44" s="133"/>
      <c r="AZ44" s="133"/>
      <c r="BA44" s="133"/>
      <c r="BB44" s="133"/>
      <c r="BC44" s="133"/>
      <c r="BD44" s="133"/>
      <c r="BE44" s="133"/>
      <c r="BF44" s="133"/>
      <c r="BG44" s="133"/>
      <c r="BH44" s="133"/>
      <c r="BI44" s="133" t="s">
        <v>44</v>
      </c>
      <c r="BJ44" s="133"/>
      <c r="BK44" s="133"/>
      <c r="BL44" s="133"/>
      <c r="BM44" s="133"/>
      <c r="BN44" s="133"/>
      <c r="BO44" s="133"/>
      <c r="BP44" s="133"/>
      <c r="BQ44" s="133"/>
      <c r="BR44" s="133"/>
      <c r="BS44" s="133"/>
      <c r="BT44" s="133"/>
      <c r="BU44" s="133"/>
      <c r="BV44" s="133"/>
      <c r="BW44" s="138">
        <f>SUM(BW22:CJ43)</f>
        <v>0</v>
      </c>
      <c r="BX44" s="138"/>
      <c r="BY44" s="138"/>
      <c r="BZ44" s="138"/>
      <c r="CA44" s="138"/>
      <c r="CB44" s="138"/>
      <c r="CC44" s="138"/>
      <c r="CD44" s="138"/>
      <c r="CE44" s="138"/>
      <c r="CF44" s="138"/>
      <c r="CG44" s="138"/>
      <c r="CH44" s="138"/>
      <c r="CI44" s="138"/>
      <c r="CJ44" s="138"/>
      <c r="CK44" s="139" t="s">
        <v>44</v>
      </c>
      <c r="CL44" s="139"/>
      <c r="CM44" s="139"/>
      <c r="CN44" s="139"/>
      <c r="CO44" s="139"/>
      <c r="CP44" s="139"/>
      <c r="CQ44" s="139"/>
      <c r="CR44" s="139"/>
      <c r="CS44" s="139"/>
      <c r="CT44" s="139"/>
      <c r="CU44" s="139"/>
      <c r="CV44" s="133" t="s">
        <v>44</v>
      </c>
      <c r="CW44" s="133"/>
      <c r="CX44" s="133"/>
      <c r="CY44" s="133"/>
      <c r="CZ44" s="133"/>
      <c r="DA44" s="133"/>
      <c r="DB44" s="133"/>
      <c r="DC44" s="133"/>
      <c r="DD44" s="133"/>
      <c r="DE44" s="133"/>
      <c r="DF44" s="134">
        <v>44341836.240000002</v>
      </c>
      <c r="DG44" s="134"/>
      <c r="DH44" s="134"/>
      <c r="DI44" s="134"/>
      <c r="DJ44" s="134"/>
      <c r="DK44" s="134"/>
      <c r="DL44" s="134"/>
      <c r="DM44" s="134"/>
      <c r="DN44" s="134"/>
      <c r="DO44" s="134"/>
      <c r="DP44" s="134"/>
      <c r="DQ44" s="134"/>
      <c r="DR44" s="134"/>
      <c r="DS44" s="134"/>
      <c r="DT44" s="34"/>
      <c r="DU44" s="35"/>
      <c r="DV44" s="35"/>
      <c r="DW44" s="35"/>
      <c r="DX44" s="35"/>
      <c r="DY44" s="35"/>
      <c r="DZ44" s="35"/>
      <c r="EA44" s="36"/>
    </row>
    <row r="45" spans="1:131" s="17" customFormat="1" ht="12.75" x14ac:dyDescent="0.2">
      <c r="H45" s="20"/>
    </row>
    <row r="46" spans="1:131" s="17" customFormat="1" ht="12.75" x14ac:dyDescent="0.2">
      <c r="B46" s="20"/>
      <c r="E46" s="20"/>
      <c r="H46" s="20"/>
    </row>
    <row r="47" spans="1:131" s="17" customFormat="1" ht="12.75" x14ac:dyDescent="0.2">
      <c r="B47" s="20"/>
      <c r="E47" s="20"/>
      <c r="H47" s="20"/>
    </row>
    <row r="48" spans="1:131" s="17" customFormat="1" ht="12.75" x14ac:dyDescent="0.2">
      <c r="B48" s="20"/>
      <c r="E48" s="20"/>
      <c r="H48" s="20"/>
      <c r="BO48" s="39"/>
    </row>
    <row r="49" spans="1:133" s="17" customFormat="1" ht="12.75" x14ac:dyDescent="0.2">
      <c r="B49" s="20"/>
      <c r="E49" s="20"/>
      <c r="H49" s="20"/>
    </row>
    <row r="50" spans="1:133" x14ac:dyDescent="0.25">
      <c r="A50" s="17"/>
      <c r="B50" s="20"/>
      <c r="C50" s="17"/>
      <c r="D50" s="17"/>
      <c r="E50" s="20"/>
      <c r="F50" s="17"/>
      <c r="G50" s="17"/>
      <c r="H50" s="20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</row>
    <row r="51" spans="1:133" s="3" customFormat="1" ht="12.75" x14ac:dyDescent="0.2">
      <c r="A51" s="4"/>
      <c r="H51" s="20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</row>
    <row r="52" spans="1:133" s="3" customFormat="1" ht="12.75" x14ac:dyDescent="0.2">
      <c r="A52" s="4"/>
      <c r="H52" s="20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  <c r="DQ52" s="17"/>
      <c r="DR52" s="17"/>
      <c r="DS52" s="17"/>
      <c r="DT52" s="17"/>
      <c r="DU52" s="17"/>
      <c r="DV52" s="17"/>
      <c r="DW52" s="17"/>
      <c r="DX52" s="17"/>
      <c r="DY52" s="17"/>
      <c r="DZ52" s="17"/>
      <c r="EA52" s="17"/>
      <c r="EB52" s="17"/>
      <c r="EC52" s="17"/>
    </row>
    <row r="53" spans="1:133" s="3" customFormat="1" ht="12.75" x14ac:dyDescent="0.2">
      <c r="A53" s="4"/>
      <c r="H53" s="20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7"/>
      <c r="CP53" s="17"/>
      <c r="CQ53" s="17"/>
      <c r="CR53" s="17"/>
      <c r="CS53" s="17"/>
      <c r="CT53" s="17"/>
      <c r="CU53" s="17"/>
      <c r="CV53" s="17"/>
      <c r="CW53" s="17"/>
      <c r="CX53" s="17"/>
      <c r="CY53" s="17"/>
      <c r="CZ53" s="17"/>
      <c r="DA53" s="17"/>
      <c r="DB53" s="17"/>
      <c r="DC53" s="17"/>
      <c r="DD53" s="17"/>
      <c r="DE53" s="17"/>
      <c r="DF53" s="17"/>
      <c r="DG53" s="17"/>
      <c r="DH53" s="17"/>
      <c r="DI53" s="17"/>
      <c r="DJ53" s="17"/>
      <c r="DK53" s="17"/>
      <c r="DL53" s="17"/>
      <c r="DM53" s="17"/>
      <c r="DN53" s="17"/>
      <c r="DO53" s="17"/>
      <c r="DP53" s="17"/>
      <c r="DQ53" s="17"/>
      <c r="DR53" s="17"/>
      <c r="DS53" s="17"/>
      <c r="DT53" s="17"/>
      <c r="DU53" s="17"/>
      <c r="DV53" s="17"/>
      <c r="DW53" s="17"/>
      <c r="DX53" s="17"/>
      <c r="DY53" s="17"/>
      <c r="DZ53" s="17"/>
      <c r="EA53" s="17"/>
      <c r="EB53" s="17"/>
      <c r="EC53" s="17"/>
    </row>
    <row r="54" spans="1:133" s="6" customFormat="1" ht="12.75" x14ac:dyDescent="0.2">
      <c r="A54" s="4"/>
      <c r="H54" s="20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  <c r="CW54" s="17"/>
      <c r="CX54" s="17"/>
      <c r="CY54" s="17"/>
      <c r="CZ54" s="17"/>
      <c r="DA54" s="17"/>
      <c r="DB54" s="17"/>
      <c r="DC54" s="17"/>
      <c r="DD54" s="17"/>
      <c r="DE54" s="17"/>
      <c r="DF54" s="17"/>
      <c r="DG54" s="17"/>
      <c r="DH54" s="17"/>
      <c r="DI54" s="17"/>
      <c r="DJ54" s="17"/>
      <c r="DK54" s="17"/>
      <c r="DL54" s="17"/>
      <c r="DM54" s="17"/>
      <c r="DN54" s="17"/>
      <c r="DO54" s="17"/>
      <c r="DP54" s="17"/>
      <c r="DQ54" s="17"/>
      <c r="DR54" s="17"/>
      <c r="DS54" s="17"/>
      <c r="DT54" s="17"/>
      <c r="DU54" s="17"/>
      <c r="DV54" s="17"/>
      <c r="DW54" s="17"/>
      <c r="DX54" s="17"/>
      <c r="DY54" s="17"/>
      <c r="DZ54" s="17"/>
      <c r="EA54" s="17"/>
      <c r="EB54" s="17"/>
      <c r="EC54" s="17"/>
    </row>
    <row r="55" spans="1:133" x14ac:dyDescent="0.25">
      <c r="H55" s="20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  <c r="DQ55" s="17"/>
      <c r="DR55" s="17"/>
      <c r="DS55" s="17"/>
      <c r="DT55" s="17"/>
      <c r="DU55" s="17"/>
      <c r="DV55" s="17"/>
      <c r="DW55" s="17"/>
      <c r="DX55" s="17"/>
      <c r="DY55" s="17"/>
      <c r="DZ55" s="17"/>
      <c r="EA55" s="17"/>
      <c r="EB55" s="17"/>
      <c r="EC55" s="17"/>
    </row>
    <row r="56" spans="1:133" s="17" customFormat="1" ht="15.75" customHeight="1" x14ac:dyDescent="0.25">
      <c r="A56" s="8"/>
      <c r="B56" s="9"/>
      <c r="C56" s="9"/>
      <c r="D56" s="9"/>
      <c r="E56" s="9"/>
      <c r="F56" s="9"/>
      <c r="G56" s="9"/>
      <c r="H56" s="20"/>
    </row>
    <row r="57" spans="1:133" s="17" customFormat="1" ht="12.75" x14ac:dyDescent="0.2">
      <c r="A57" s="11"/>
      <c r="B57" s="12"/>
      <c r="C57" s="12"/>
      <c r="D57" s="12"/>
      <c r="E57" s="12"/>
      <c r="F57" s="12"/>
      <c r="G57" s="12"/>
      <c r="H57" s="20"/>
    </row>
    <row r="58" spans="1:133" s="17" customFormat="1" x14ac:dyDescent="0.25">
      <c r="A58" s="14"/>
      <c r="B58" s="9"/>
      <c r="C58" s="9"/>
      <c r="D58" s="9"/>
      <c r="E58" s="9"/>
      <c r="F58" s="9"/>
      <c r="G58" s="9"/>
      <c r="H58" s="20"/>
    </row>
    <row r="59" spans="1:133" s="17" customFormat="1" ht="12.75" x14ac:dyDescent="0.2">
      <c r="H59" s="20"/>
    </row>
    <row r="60" spans="1:133" s="17" customFormat="1" x14ac:dyDescent="0.25">
      <c r="A60" s="21"/>
      <c r="B60" s="1"/>
      <c r="C60" s="1"/>
      <c r="D60" s="1"/>
      <c r="E60" s="1"/>
      <c r="F60" s="1"/>
      <c r="G60" s="1"/>
      <c r="H60" s="20"/>
    </row>
    <row r="61" spans="1:133" s="17" customFormat="1" ht="12.75" x14ac:dyDescent="0.2">
      <c r="A61" s="24"/>
      <c r="B61" s="23"/>
      <c r="C61" s="23"/>
      <c r="D61" s="23"/>
      <c r="E61" s="23"/>
      <c r="F61" s="23"/>
      <c r="G61" s="23"/>
      <c r="H61" s="20"/>
    </row>
    <row r="62" spans="1:133" s="17" customFormat="1" ht="15.75" customHeight="1" x14ac:dyDescent="0.25">
      <c r="A62" s="26"/>
      <c r="B62" s="1"/>
      <c r="C62" s="1"/>
      <c r="D62" s="1"/>
      <c r="E62" s="1"/>
      <c r="F62" s="1"/>
      <c r="G62" s="1"/>
      <c r="H62" s="20"/>
    </row>
    <row r="63" spans="1:133" x14ac:dyDescent="0.25">
      <c r="H63" s="20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  <c r="AV63" s="17"/>
      <c r="AW63" s="17"/>
      <c r="AX63" s="17"/>
      <c r="AY63" s="17"/>
      <c r="AZ63" s="17"/>
      <c r="BA63" s="17"/>
      <c r="BB63" s="17"/>
      <c r="BC63" s="17"/>
      <c r="BD63" s="17"/>
      <c r="BE63" s="17"/>
      <c r="BF63" s="17"/>
      <c r="BG63" s="17"/>
      <c r="BH63" s="17"/>
      <c r="BI63" s="17"/>
      <c r="BJ63" s="17"/>
      <c r="BK63" s="17"/>
      <c r="BL63" s="17"/>
      <c r="BM63" s="17"/>
      <c r="BN63" s="17"/>
      <c r="BO63" s="17"/>
      <c r="BP63" s="17"/>
      <c r="BQ63" s="17"/>
      <c r="BR63" s="17"/>
      <c r="BS63" s="17"/>
      <c r="BT63" s="17"/>
      <c r="BU63" s="17"/>
      <c r="BV63" s="17"/>
      <c r="BW63" s="17"/>
      <c r="BX63" s="17"/>
      <c r="BY63" s="17"/>
      <c r="BZ63" s="17"/>
      <c r="CA63" s="17"/>
      <c r="CB63" s="17"/>
      <c r="CC63" s="17"/>
      <c r="CD63" s="17"/>
      <c r="CE63" s="17"/>
      <c r="CF63" s="17"/>
      <c r="CG63" s="17"/>
      <c r="CH63" s="17"/>
      <c r="CI63" s="17"/>
      <c r="CJ63" s="17"/>
      <c r="CK63" s="17"/>
      <c r="CL63" s="17"/>
      <c r="CM63" s="17"/>
      <c r="CN63" s="17"/>
      <c r="CO63" s="17"/>
      <c r="CP63" s="17"/>
      <c r="CQ63" s="17"/>
      <c r="CR63" s="17"/>
      <c r="CS63" s="17"/>
      <c r="CT63" s="17"/>
      <c r="CU63" s="17"/>
      <c r="CV63" s="17"/>
      <c r="CW63" s="17"/>
      <c r="CX63" s="17"/>
      <c r="CY63" s="17"/>
      <c r="CZ63" s="17"/>
      <c r="DA63" s="17"/>
      <c r="DB63" s="17"/>
      <c r="DC63" s="17"/>
      <c r="DD63" s="17"/>
      <c r="DE63" s="17"/>
      <c r="DF63" s="17"/>
      <c r="DG63" s="17"/>
      <c r="DH63" s="17"/>
      <c r="DI63" s="17"/>
      <c r="DJ63" s="17"/>
      <c r="DK63" s="17"/>
      <c r="DL63" s="17"/>
      <c r="DM63" s="17"/>
      <c r="DN63" s="17"/>
      <c r="DO63" s="17"/>
      <c r="DP63" s="17"/>
      <c r="DQ63" s="17"/>
      <c r="DR63" s="17"/>
      <c r="DS63" s="17"/>
      <c r="DT63" s="17"/>
      <c r="DU63" s="17"/>
      <c r="DV63" s="17"/>
      <c r="DW63" s="17"/>
      <c r="DX63" s="17"/>
      <c r="DY63" s="17"/>
      <c r="DZ63" s="17"/>
      <c r="EA63" s="17"/>
      <c r="EB63" s="17"/>
      <c r="EC63" s="17"/>
    </row>
    <row r="64" spans="1:133" s="17" customFormat="1" x14ac:dyDescent="0.25">
      <c r="A64" s="14"/>
      <c r="B64" s="1"/>
      <c r="C64" s="1"/>
      <c r="D64" s="1"/>
      <c r="E64" s="1"/>
      <c r="F64" s="1"/>
      <c r="G64" s="1"/>
      <c r="H64" s="20"/>
    </row>
  </sheetData>
  <sheetProtection selectLockedCells="1" selectUnlockedCells="1"/>
  <mergeCells count="296">
    <mergeCell ref="DF34:DS34"/>
    <mergeCell ref="A34:D34"/>
    <mergeCell ref="E34:T34"/>
    <mergeCell ref="U34:AF34"/>
    <mergeCell ref="AG34:AT34"/>
    <mergeCell ref="AU34:BH34"/>
    <mergeCell ref="BI34:BV34"/>
    <mergeCell ref="BW34:CJ34"/>
    <mergeCell ref="CK34:CU34"/>
    <mergeCell ref="CV34:DE34"/>
    <mergeCell ref="AU32:BH32"/>
    <mergeCell ref="BI32:BV32"/>
    <mergeCell ref="BW32:CJ32"/>
    <mergeCell ref="CK32:CU32"/>
    <mergeCell ref="CV32:DE32"/>
    <mergeCell ref="DF32:DS32"/>
    <mergeCell ref="A33:D33"/>
    <mergeCell ref="E33:T33"/>
    <mergeCell ref="U33:AF33"/>
    <mergeCell ref="AG33:AT33"/>
    <mergeCell ref="AU33:BH33"/>
    <mergeCell ref="BI33:BV33"/>
    <mergeCell ref="BW33:CJ33"/>
    <mergeCell ref="CK33:CU33"/>
    <mergeCell ref="CV33:DE33"/>
    <mergeCell ref="DF33:DS33"/>
    <mergeCell ref="DF24:DS24"/>
    <mergeCell ref="A26:D26"/>
    <mergeCell ref="E26:T26"/>
    <mergeCell ref="U26:AF26"/>
    <mergeCell ref="AG26:AT26"/>
    <mergeCell ref="AU26:BH26"/>
    <mergeCell ref="BI26:BV26"/>
    <mergeCell ref="BW26:CJ26"/>
    <mergeCell ref="CK26:CU26"/>
    <mergeCell ref="CV26:DE26"/>
    <mergeCell ref="DF26:DS26"/>
    <mergeCell ref="A24:D24"/>
    <mergeCell ref="E24:T24"/>
    <mergeCell ref="U24:AF24"/>
    <mergeCell ref="AG24:AT24"/>
    <mergeCell ref="AU24:BH24"/>
    <mergeCell ref="BI24:BV24"/>
    <mergeCell ref="BW24:CJ24"/>
    <mergeCell ref="CK24:CU24"/>
    <mergeCell ref="CV24:DE24"/>
    <mergeCell ref="DF25:DS25"/>
    <mergeCell ref="A25:D25"/>
    <mergeCell ref="E25:T25"/>
    <mergeCell ref="U25:AF25"/>
    <mergeCell ref="AG25:AT25"/>
    <mergeCell ref="AU25:BH25"/>
    <mergeCell ref="BI25:BV25"/>
    <mergeCell ref="BW25:CJ25"/>
    <mergeCell ref="CK25:CU25"/>
    <mergeCell ref="CV25:DE25"/>
    <mergeCell ref="A6:DS6"/>
    <mergeCell ref="A8:DS8"/>
    <mergeCell ref="DW8:DX8"/>
    <mergeCell ref="T10:DS10"/>
    <mergeCell ref="AH12:DS12"/>
    <mergeCell ref="A14:DS14"/>
    <mergeCell ref="DF18:DS18"/>
    <mergeCell ref="A19:D19"/>
    <mergeCell ref="E19:T19"/>
    <mergeCell ref="U19:AF19"/>
    <mergeCell ref="AG19:AT19"/>
    <mergeCell ref="AU19:BH19"/>
    <mergeCell ref="BI19:BV19"/>
    <mergeCell ref="BW19:CJ19"/>
    <mergeCell ref="E18:T18"/>
    <mergeCell ref="U18:AF18"/>
    <mergeCell ref="AG18:AT18"/>
    <mergeCell ref="AU18:BH18"/>
    <mergeCell ref="DZ16:DZ20"/>
    <mergeCell ref="A17:D17"/>
    <mergeCell ref="E17:T17"/>
    <mergeCell ref="U17:AF17"/>
    <mergeCell ref="AG17:AT17"/>
    <mergeCell ref="AU17:CJ17"/>
    <mergeCell ref="CK17:CU17"/>
    <mergeCell ref="CV17:DE17"/>
    <mergeCell ref="DF17:DS17"/>
    <mergeCell ref="A18:D18"/>
    <mergeCell ref="DF16:DS16"/>
    <mergeCell ref="DU16:DU20"/>
    <mergeCell ref="DV16:DV20"/>
    <mergeCell ref="DW16:DW20"/>
    <mergeCell ref="DX16:DX20"/>
    <mergeCell ref="DY16:DY20"/>
    <mergeCell ref="A16:D16"/>
    <mergeCell ref="E16:T16"/>
    <mergeCell ref="U16:AF16"/>
    <mergeCell ref="AG16:CJ16"/>
    <mergeCell ref="CK16:CU16"/>
    <mergeCell ref="CV16:DE16"/>
    <mergeCell ref="CK18:CU18"/>
    <mergeCell ref="CV18:DE18"/>
    <mergeCell ref="BI18:BV18"/>
    <mergeCell ref="BW18:CJ18"/>
    <mergeCell ref="CK19:CU19"/>
    <mergeCell ref="CV19:DE19"/>
    <mergeCell ref="DF19:DS19"/>
    <mergeCell ref="DF20:DS20"/>
    <mergeCell ref="A21:D21"/>
    <mergeCell ref="E21:T21"/>
    <mergeCell ref="U21:AF21"/>
    <mergeCell ref="AG21:AT21"/>
    <mergeCell ref="AU21:BH21"/>
    <mergeCell ref="BI21:BV21"/>
    <mergeCell ref="BW21:CJ21"/>
    <mergeCell ref="CK21:CU21"/>
    <mergeCell ref="CV21:DE21"/>
    <mergeCell ref="DF21:DS21"/>
    <mergeCell ref="A20:D20"/>
    <mergeCell ref="E20:T20"/>
    <mergeCell ref="U20:AF20"/>
    <mergeCell ref="AG20:AT20"/>
    <mergeCell ref="AU20:BH20"/>
    <mergeCell ref="BI20:BV20"/>
    <mergeCell ref="BW20:CJ20"/>
    <mergeCell ref="CK20:CU20"/>
    <mergeCell ref="CV20:DE20"/>
    <mergeCell ref="DF22:DS22"/>
    <mergeCell ref="A23:D23"/>
    <mergeCell ref="E23:T23"/>
    <mergeCell ref="U23:AF23"/>
    <mergeCell ref="AG23:AT23"/>
    <mergeCell ref="AU23:BH23"/>
    <mergeCell ref="BI23:BV23"/>
    <mergeCell ref="BW23:CJ23"/>
    <mergeCell ref="CK23:CU23"/>
    <mergeCell ref="CV23:DE23"/>
    <mergeCell ref="DF23:DS23"/>
    <mergeCell ref="A22:D22"/>
    <mergeCell ref="E22:T22"/>
    <mergeCell ref="U22:AF22"/>
    <mergeCell ref="AG22:AT22"/>
    <mergeCell ref="AU22:BH22"/>
    <mergeCell ref="BI22:BV22"/>
    <mergeCell ref="BW22:CJ22"/>
    <mergeCell ref="CK22:CU22"/>
    <mergeCell ref="CV22:DE22"/>
    <mergeCell ref="DF27:DS27"/>
    <mergeCell ref="A28:D28"/>
    <mergeCell ref="E28:T28"/>
    <mergeCell ref="U28:AF28"/>
    <mergeCell ref="AG28:AT28"/>
    <mergeCell ref="AU28:BH28"/>
    <mergeCell ref="BI28:BV28"/>
    <mergeCell ref="BW28:CJ28"/>
    <mergeCell ref="CK28:CU28"/>
    <mergeCell ref="CV28:DE28"/>
    <mergeCell ref="DF28:DS28"/>
    <mergeCell ref="A27:D27"/>
    <mergeCell ref="E27:T27"/>
    <mergeCell ref="U27:AF27"/>
    <mergeCell ref="AG27:AT27"/>
    <mergeCell ref="AU27:BH27"/>
    <mergeCell ref="BI27:BV27"/>
    <mergeCell ref="BW27:CJ27"/>
    <mergeCell ref="CK27:CU27"/>
    <mergeCell ref="CV27:DE27"/>
    <mergeCell ref="DF29:DS29"/>
    <mergeCell ref="A30:D30"/>
    <mergeCell ref="E30:T30"/>
    <mergeCell ref="U30:AF30"/>
    <mergeCell ref="AG30:AT30"/>
    <mergeCell ref="AU30:BH30"/>
    <mergeCell ref="BI30:BV30"/>
    <mergeCell ref="BW30:CJ30"/>
    <mergeCell ref="CK30:CU30"/>
    <mergeCell ref="CV30:DE30"/>
    <mergeCell ref="DF30:DS30"/>
    <mergeCell ref="A29:D29"/>
    <mergeCell ref="E29:T29"/>
    <mergeCell ref="U29:AF29"/>
    <mergeCell ref="AG29:AT29"/>
    <mergeCell ref="AU29:BH29"/>
    <mergeCell ref="BI29:BV29"/>
    <mergeCell ref="BW29:CJ29"/>
    <mergeCell ref="CK29:CU29"/>
    <mergeCell ref="CV29:DE29"/>
    <mergeCell ref="DF31:DS31"/>
    <mergeCell ref="A35:D35"/>
    <mergeCell ref="E35:T35"/>
    <mergeCell ref="U35:AF35"/>
    <mergeCell ref="AG35:AT35"/>
    <mergeCell ref="AU35:BH35"/>
    <mergeCell ref="BI35:BV35"/>
    <mergeCell ref="BW35:CJ35"/>
    <mergeCell ref="CK35:CU35"/>
    <mergeCell ref="CV35:DE35"/>
    <mergeCell ref="DF35:DS35"/>
    <mergeCell ref="A31:D31"/>
    <mergeCell ref="E31:T31"/>
    <mergeCell ref="U31:AF31"/>
    <mergeCell ref="AG31:AT31"/>
    <mergeCell ref="AU31:BH31"/>
    <mergeCell ref="BI31:BV31"/>
    <mergeCell ref="BW31:CJ31"/>
    <mergeCell ref="CK31:CU31"/>
    <mergeCell ref="CV31:DE31"/>
    <mergeCell ref="A32:D32"/>
    <mergeCell ref="E32:T32"/>
    <mergeCell ref="U32:AF32"/>
    <mergeCell ref="AG32:AT32"/>
    <mergeCell ref="DF36:DS36"/>
    <mergeCell ref="A37:D37"/>
    <mergeCell ref="E37:T37"/>
    <mergeCell ref="U37:AF37"/>
    <mergeCell ref="AG37:AT37"/>
    <mergeCell ref="AU37:BH37"/>
    <mergeCell ref="BI37:BV37"/>
    <mergeCell ref="BW37:CJ37"/>
    <mergeCell ref="CK37:CU37"/>
    <mergeCell ref="CV37:DE37"/>
    <mergeCell ref="DF37:DS37"/>
    <mergeCell ref="A36:D36"/>
    <mergeCell ref="E36:T36"/>
    <mergeCell ref="U36:AF36"/>
    <mergeCell ref="AG36:AT36"/>
    <mergeCell ref="AU36:BH36"/>
    <mergeCell ref="BI36:BV36"/>
    <mergeCell ref="BW36:CJ36"/>
    <mergeCell ref="CK36:CU36"/>
    <mergeCell ref="CV36:DE36"/>
    <mergeCell ref="DF38:DS38"/>
    <mergeCell ref="A38:D38"/>
    <mergeCell ref="E38:T38"/>
    <mergeCell ref="U38:AF38"/>
    <mergeCell ref="AG38:AT38"/>
    <mergeCell ref="AU38:BH38"/>
    <mergeCell ref="BI38:BV38"/>
    <mergeCell ref="BW38:CJ38"/>
    <mergeCell ref="CK38:CU38"/>
    <mergeCell ref="CV38:DE38"/>
    <mergeCell ref="DF39:DS39"/>
    <mergeCell ref="A40:D40"/>
    <mergeCell ref="E40:T40"/>
    <mergeCell ref="U40:AF40"/>
    <mergeCell ref="AG40:AT40"/>
    <mergeCell ref="AU40:BH40"/>
    <mergeCell ref="BI40:BV40"/>
    <mergeCell ref="BW40:CJ40"/>
    <mergeCell ref="CK40:CU40"/>
    <mergeCell ref="CV40:DE40"/>
    <mergeCell ref="DF40:DS40"/>
    <mergeCell ref="A39:D39"/>
    <mergeCell ref="E39:T39"/>
    <mergeCell ref="U39:AF39"/>
    <mergeCell ref="AG39:AT39"/>
    <mergeCell ref="AU39:BH39"/>
    <mergeCell ref="BI39:BV39"/>
    <mergeCell ref="BW39:CJ39"/>
    <mergeCell ref="CK39:CU39"/>
    <mergeCell ref="CV39:DE39"/>
    <mergeCell ref="DF41:DS41"/>
    <mergeCell ref="A42:D42"/>
    <mergeCell ref="E42:T42"/>
    <mergeCell ref="U42:AF42"/>
    <mergeCell ref="AG42:AT42"/>
    <mergeCell ref="AU42:BH42"/>
    <mergeCell ref="BI42:BV42"/>
    <mergeCell ref="BW42:CJ42"/>
    <mergeCell ref="CK42:CU42"/>
    <mergeCell ref="CV42:DE42"/>
    <mergeCell ref="DF42:DS42"/>
    <mergeCell ref="A41:D41"/>
    <mergeCell ref="E41:T41"/>
    <mergeCell ref="U41:AF41"/>
    <mergeCell ref="AG41:AT41"/>
    <mergeCell ref="AU41:BH41"/>
    <mergeCell ref="BI41:BV41"/>
    <mergeCell ref="BW41:CJ41"/>
    <mergeCell ref="CK41:CU41"/>
    <mergeCell ref="CV41:DE41"/>
    <mergeCell ref="DF43:DS43"/>
    <mergeCell ref="A43:D43"/>
    <mergeCell ref="E43:T43"/>
    <mergeCell ref="U43:AF43"/>
    <mergeCell ref="AG43:AT43"/>
    <mergeCell ref="AU43:BH43"/>
    <mergeCell ref="BI43:BV43"/>
    <mergeCell ref="BW43:CJ43"/>
    <mergeCell ref="CK43:CU43"/>
    <mergeCell ref="CV43:DE43"/>
    <mergeCell ref="CV44:DE44"/>
    <mergeCell ref="DF44:DS44"/>
    <mergeCell ref="A44:T44"/>
    <mergeCell ref="U44:AF44"/>
    <mergeCell ref="AG44:AT44"/>
    <mergeCell ref="AU44:BH44"/>
    <mergeCell ref="BI44:BV44"/>
    <mergeCell ref="BW44:CJ44"/>
    <mergeCell ref="CK44:CU44"/>
  </mergeCells>
  <pageMargins left="0.39374999999999999" right="0.39374999999999999" top="0.78749999999999998" bottom="0.39374999999999999" header="0.27569444444444446" footer="0.51180555555555551"/>
  <pageSetup paperSize="9" scale="66" firstPageNumber="0" orientation="portrait" horizontalDpi="300" verticalDpi="300" r:id="rId1"/>
  <headerFooter alignWithMargins="0">
    <oddHeader>&amp;L&amp;"Arial,Обычный"&amp;6Подготовлено с использованием системы ГАРАНТ</oddHeader>
  </headerFooter>
  <colBreaks count="2" manualBreakCount="2">
    <brk id="123" max="1048575" man="1"/>
    <brk id="132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8"/>
  </sheetPr>
  <dimension ref="A1:K67"/>
  <sheetViews>
    <sheetView view="pageBreakPreview" topLeftCell="A52" zoomScaleNormal="100" zoomScaleSheetLayoutView="100" workbookViewId="0">
      <selection activeCell="C28" sqref="C28"/>
    </sheetView>
  </sheetViews>
  <sheetFormatPr defaultRowHeight="12.75" x14ac:dyDescent="0.2"/>
  <cols>
    <col min="1" max="1" width="3.7109375" style="40" customWidth="1"/>
    <col min="2" max="2" width="34.85546875" style="40" customWidth="1"/>
    <col min="3" max="3" width="21.5703125" style="40" customWidth="1"/>
    <col min="4" max="4" width="11.28515625" style="40" customWidth="1"/>
    <col min="5" max="5" width="11" style="40" customWidth="1"/>
    <col min="6" max="6" width="19.85546875" style="38" customWidth="1"/>
    <col min="7" max="10" width="21.7109375" style="38" customWidth="1"/>
    <col min="11" max="11" width="9.140625" style="113"/>
    <col min="12" max="16384" width="9.140625" style="40"/>
  </cols>
  <sheetData>
    <row r="1" spans="1:11" ht="15.75" x14ac:dyDescent="0.25">
      <c r="A1" s="41" t="s">
        <v>45</v>
      </c>
    </row>
    <row r="2" spans="1:11" ht="7.5" customHeight="1" x14ac:dyDescent="0.25">
      <c r="A2" s="41"/>
    </row>
    <row r="3" spans="1:11" ht="15.75" x14ac:dyDescent="0.25">
      <c r="A3" s="41" t="s">
        <v>161</v>
      </c>
      <c r="B3" s="41"/>
      <c r="C3" s="42" t="s">
        <v>96</v>
      </c>
    </row>
    <row r="4" spans="1:11" x14ac:dyDescent="0.2">
      <c r="A4" s="40" t="s">
        <v>162</v>
      </c>
      <c r="C4" s="40" t="s">
        <v>7</v>
      </c>
    </row>
    <row r="6" spans="1:11" s="44" customFormat="1" ht="40.5" customHeight="1" x14ac:dyDescent="0.2">
      <c r="A6" s="43" t="s">
        <v>163</v>
      </c>
      <c r="B6" s="43" t="s">
        <v>46</v>
      </c>
      <c r="C6" s="43" t="s">
        <v>170</v>
      </c>
      <c r="D6" s="43" t="s">
        <v>171</v>
      </c>
      <c r="E6" s="43" t="s">
        <v>172</v>
      </c>
      <c r="F6" s="51" t="s">
        <v>164</v>
      </c>
      <c r="G6" s="54" t="s">
        <v>48</v>
      </c>
      <c r="H6" s="54" t="s">
        <v>49</v>
      </c>
      <c r="I6" s="54" t="s">
        <v>50</v>
      </c>
      <c r="J6" s="54" t="s">
        <v>51</v>
      </c>
      <c r="K6" s="114"/>
    </row>
    <row r="7" spans="1:11" ht="14.25" customHeight="1" x14ac:dyDescent="0.2">
      <c r="A7" s="45">
        <v>1</v>
      </c>
      <c r="B7" s="45" t="s">
        <v>165</v>
      </c>
      <c r="C7" s="45"/>
      <c r="D7" s="45"/>
      <c r="E7" s="45"/>
      <c r="F7" s="52"/>
      <c r="G7" s="52"/>
      <c r="H7" s="52"/>
      <c r="I7" s="52">
        <f>G7-H7</f>
        <v>0</v>
      </c>
      <c r="J7" s="52">
        <f>F7-G7</f>
        <v>0</v>
      </c>
    </row>
    <row r="8" spans="1:11" ht="14.25" customHeight="1" x14ac:dyDescent="0.2">
      <c r="A8" s="45">
        <v>2</v>
      </c>
      <c r="B8" s="45" t="s">
        <v>166</v>
      </c>
      <c r="C8" s="45"/>
      <c r="D8" s="45"/>
      <c r="E8" s="45"/>
      <c r="F8" s="52"/>
      <c r="G8" s="52"/>
      <c r="H8" s="52"/>
      <c r="I8" s="52">
        <f t="shared" ref="I8:I10" si="0">G8-H8</f>
        <v>0</v>
      </c>
      <c r="J8" s="52">
        <f t="shared" ref="J8:J10" si="1">F8-G8</f>
        <v>0</v>
      </c>
    </row>
    <row r="9" spans="1:11" ht="14.25" customHeight="1" x14ac:dyDescent="0.2">
      <c r="A9" s="45">
        <v>3</v>
      </c>
      <c r="B9" s="45" t="s">
        <v>167</v>
      </c>
      <c r="C9" s="45"/>
      <c r="D9" s="45"/>
      <c r="E9" s="45"/>
      <c r="F9" s="52"/>
      <c r="G9" s="52"/>
      <c r="H9" s="52"/>
      <c r="I9" s="52">
        <f t="shared" si="0"/>
        <v>0</v>
      </c>
      <c r="J9" s="52">
        <f t="shared" si="1"/>
        <v>0</v>
      </c>
    </row>
    <row r="10" spans="1:11" ht="14.25" customHeight="1" x14ac:dyDescent="0.2">
      <c r="A10" s="45"/>
      <c r="B10" s="45"/>
      <c r="C10" s="45"/>
      <c r="D10" s="45"/>
      <c r="E10" s="45"/>
      <c r="F10" s="52"/>
      <c r="G10" s="52"/>
      <c r="H10" s="52"/>
      <c r="I10" s="52">
        <f t="shared" si="0"/>
        <v>0</v>
      </c>
      <c r="J10" s="52">
        <f t="shared" si="1"/>
        <v>0</v>
      </c>
    </row>
    <row r="11" spans="1:11" x14ac:dyDescent="0.2">
      <c r="A11" s="46"/>
      <c r="B11" s="47" t="s">
        <v>43</v>
      </c>
      <c r="C11" s="46"/>
      <c r="D11" s="46"/>
      <c r="E11" s="46"/>
      <c r="F11" s="53">
        <f>SUM(F7:F10)</f>
        <v>0</v>
      </c>
      <c r="G11" s="38">
        <f>SUM(G7:G10)</f>
        <v>0</v>
      </c>
      <c r="H11" s="38">
        <f t="shared" ref="H11:J11" si="2">SUM(H7:H10)</f>
        <v>0</v>
      </c>
      <c r="I11" s="38">
        <f t="shared" si="2"/>
        <v>0</v>
      </c>
      <c r="J11" s="38">
        <f t="shared" si="2"/>
        <v>0</v>
      </c>
    </row>
    <row r="13" spans="1:11" ht="15.75" x14ac:dyDescent="0.25">
      <c r="A13" s="156" t="s">
        <v>168</v>
      </c>
      <c r="B13" s="156"/>
      <c r="C13" s="156"/>
      <c r="D13" s="156"/>
      <c r="E13" s="156"/>
      <c r="F13" s="156"/>
    </row>
    <row r="14" spans="1:11" ht="7.5" customHeight="1" x14ac:dyDescent="0.25">
      <c r="A14" s="9"/>
      <c r="B14" s="9"/>
      <c r="C14" s="9"/>
      <c r="D14" s="9"/>
      <c r="E14" s="9"/>
      <c r="F14" s="9"/>
    </row>
    <row r="15" spans="1:11" ht="15.75" x14ac:dyDescent="0.25">
      <c r="A15" s="41" t="s">
        <v>161</v>
      </c>
      <c r="C15" s="42" t="s">
        <v>169</v>
      </c>
    </row>
    <row r="16" spans="1:11" x14ac:dyDescent="0.2">
      <c r="A16" s="40" t="s">
        <v>162</v>
      </c>
    </row>
    <row r="18" spans="1:10" ht="38.25" x14ac:dyDescent="0.2">
      <c r="A18" s="43" t="s">
        <v>163</v>
      </c>
      <c r="B18" s="43" t="s">
        <v>46</v>
      </c>
      <c r="C18" s="43" t="s">
        <v>170</v>
      </c>
      <c r="D18" s="43" t="s">
        <v>171</v>
      </c>
      <c r="E18" s="43" t="s">
        <v>172</v>
      </c>
      <c r="F18" s="51" t="s">
        <v>164</v>
      </c>
      <c r="G18" s="54" t="s">
        <v>48</v>
      </c>
      <c r="H18" s="54" t="s">
        <v>49</v>
      </c>
      <c r="I18" s="54" t="s">
        <v>50</v>
      </c>
      <c r="J18" s="54" t="s">
        <v>51</v>
      </c>
    </row>
    <row r="19" spans="1:10" ht="14.25" customHeight="1" x14ac:dyDescent="0.2">
      <c r="A19" s="45">
        <v>1</v>
      </c>
      <c r="B19" s="45" t="s">
        <v>52</v>
      </c>
      <c r="C19" s="45"/>
      <c r="D19" s="45"/>
      <c r="E19" s="45"/>
      <c r="F19" s="52"/>
      <c r="G19" s="52"/>
      <c r="H19" s="52"/>
      <c r="I19" s="52">
        <f t="shared" ref="I19:I20" si="3">G19-H19</f>
        <v>0</v>
      </c>
      <c r="J19" s="52">
        <f>F19-G19</f>
        <v>0</v>
      </c>
    </row>
    <row r="20" spans="1:10" ht="14.25" customHeight="1" x14ac:dyDescent="0.2">
      <c r="A20" s="45"/>
      <c r="B20" s="45"/>
      <c r="C20" s="45"/>
      <c r="D20" s="45"/>
      <c r="E20" s="45"/>
      <c r="F20" s="52"/>
      <c r="G20" s="52"/>
      <c r="H20" s="52"/>
      <c r="I20" s="52">
        <f t="shared" si="3"/>
        <v>0</v>
      </c>
      <c r="J20" s="52">
        <f>F22-G20</f>
        <v>0</v>
      </c>
    </row>
    <row r="21" spans="1:10" x14ac:dyDescent="0.2">
      <c r="A21" s="46"/>
      <c r="B21" s="47" t="s">
        <v>43</v>
      </c>
      <c r="C21" s="46"/>
      <c r="D21" s="46"/>
      <c r="E21" s="46"/>
      <c r="F21" s="53">
        <f>SUM(F19:F20)</f>
        <v>0</v>
      </c>
      <c r="G21" s="38">
        <f t="shared" ref="G21:I21" si="4">SUM(G19:G20)</f>
        <v>0</v>
      </c>
      <c r="H21" s="38">
        <f t="shared" si="4"/>
        <v>0</v>
      </c>
      <c r="I21" s="38">
        <f t="shared" si="4"/>
        <v>0</v>
      </c>
      <c r="J21" s="38">
        <f>SUM(J19:J20)</f>
        <v>0</v>
      </c>
    </row>
    <row r="23" spans="1:10" ht="15.75" x14ac:dyDescent="0.25">
      <c r="A23" s="156" t="s">
        <v>173</v>
      </c>
      <c r="B23" s="156"/>
      <c r="C23" s="156"/>
      <c r="D23" s="156"/>
      <c r="E23" s="156"/>
      <c r="F23" s="156"/>
    </row>
    <row r="24" spans="1:10" ht="7.5" customHeight="1" x14ac:dyDescent="0.25">
      <c r="A24" s="9"/>
      <c r="B24" s="9"/>
      <c r="C24" s="9"/>
      <c r="D24" s="9"/>
      <c r="E24" s="9"/>
      <c r="F24" s="9"/>
    </row>
    <row r="25" spans="1:10" ht="15.75" x14ac:dyDescent="0.25">
      <c r="A25" s="9" t="s">
        <v>174</v>
      </c>
      <c r="C25" s="42" t="s">
        <v>175</v>
      </c>
    </row>
    <row r="26" spans="1:10" x14ac:dyDescent="0.2">
      <c r="A26" s="40" t="s">
        <v>6</v>
      </c>
    </row>
    <row r="28" spans="1:10" ht="51" x14ac:dyDescent="0.2">
      <c r="A28" s="43" t="s">
        <v>163</v>
      </c>
      <c r="B28" s="43" t="s">
        <v>46</v>
      </c>
      <c r="C28" s="43" t="s">
        <v>178</v>
      </c>
      <c r="D28" s="43" t="s">
        <v>179</v>
      </c>
      <c r="E28" s="43" t="s">
        <v>180</v>
      </c>
      <c r="F28" s="51" t="s">
        <v>181</v>
      </c>
      <c r="G28" s="54" t="s">
        <v>48</v>
      </c>
      <c r="H28" s="54" t="s">
        <v>49</v>
      </c>
      <c r="I28" s="54" t="s">
        <v>50</v>
      </c>
      <c r="J28" s="54" t="s">
        <v>51</v>
      </c>
    </row>
    <row r="29" spans="1:10" ht="14.25" customHeight="1" x14ac:dyDescent="0.2">
      <c r="A29" s="45">
        <v>1</v>
      </c>
      <c r="B29" s="56" t="s">
        <v>97</v>
      </c>
      <c r="C29" s="45"/>
      <c r="D29" s="45"/>
      <c r="E29" s="45"/>
      <c r="F29" s="52">
        <v>4394936.7</v>
      </c>
      <c r="G29" s="52"/>
      <c r="H29" s="52"/>
      <c r="I29" s="52">
        <f t="shared" ref="I29:I38" si="5">G29-H29</f>
        <v>0</v>
      </c>
      <c r="J29" s="52">
        <f>F29-G29</f>
        <v>4394936.7</v>
      </c>
    </row>
    <row r="30" spans="1:10" ht="14.25" customHeight="1" x14ac:dyDescent="0.2">
      <c r="A30" s="45">
        <v>2</v>
      </c>
      <c r="B30" s="56" t="s">
        <v>95</v>
      </c>
      <c r="C30" s="45"/>
      <c r="D30" s="45"/>
      <c r="E30" s="45"/>
      <c r="F30" s="52">
        <v>1327270.8899999999</v>
      </c>
      <c r="G30" s="52"/>
      <c r="H30" s="52"/>
      <c r="I30" s="52">
        <f t="shared" si="5"/>
        <v>0</v>
      </c>
      <c r="J30" s="52">
        <f t="shared" ref="J30:J38" si="6">F30-G30</f>
        <v>1327270.8899999999</v>
      </c>
    </row>
    <row r="31" spans="1:10" ht="14.25" customHeight="1" x14ac:dyDescent="0.2">
      <c r="A31" s="45">
        <v>3</v>
      </c>
      <c r="B31" s="56" t="s">
        <v>128</v>
      </c>
      <c r="C31" s="45"/>
      <c r="D31" s="45"/>
      <c r="E31" s="45"/>
      <c r="F31" s="52">
        <v>193550.93</v>
      </c>
      <c r="G31" s="52"/>
      <c r="H31" s="52"/>
      <c r="I31" s="52">
        <f t="shared" si="5"/>
        <v>0</v>
      </c>
      <c r="J31" s="52">
        <f t="shared" si="6"/>
        <v>193550.93</v>
      </c>
    </row>
    <row r="32" spans="1:10" ht="14.25" customHeight="1" x14ac:dyDescent="0.2">
      <c r="A32" s="45">
        <v>4</v>
      </c>
      <c r="B32" s="56" t="s">
        <v>129</v>
      </c>
      <c r="C32" s="45"/>
      <c r="D32" s="45"/>
      <c r="E32" s="45"/>
      <c r="F32" s="52">
        <v>58452.38</v>
      </c>
      <c r="G32" s="52"/>
      <c r="H32" s="52"/>
      <c r="I32" s="52">
        <f t="shared" si="5"/>
        <v>0</v>
      </c>
      <c r="J32" s="52">
        <f t="shared" si="6"/>
        <v>58452.38</v>
      </c>
    </row>
    <row r="33" spans="1:10" ht="14.25" customHeight="1" x14ac:dyDescent="0.2">
      <c r="A33" s="45">
        <v>5</v>
      </c>
      <c r="B33" s="56" t="s">
        <v>130</v>
      </c>
      <c r="C33" s="45"/>
      <c r="D33" s="45"/>
      <c r="E33" s="45"/>
      <c r="F33" s="52">
        <v>1955.06</v>
      </c>
      <c r="G33" s="52"/>
      <c r="H33" s="52"/>
      <c r="I33" s="52">
        <f t="shared" si="5"/>
        <v>0</v>
      </c>
      <c r="J33" s="52">
        <f t="shared" si="6"/>
        <v>1955.06</v>
      </c>
    </row>
    <row r="34" spans="1:10" ht="14.25" customHeight="1" x14ac:dyDescent="0.2">
      <c r="A34" s="45">
        <v>6</v>
      </c>
      <c r="B34" s="56" t="s">
        <v>131</v>
      </c>
      <c r="C34" s="45"/>
      <c r="D34" s="45"/>
      <c r="E34" s="45"/>
      <c r="F34" s="52">
        <v>590.42999999999995</v>
      </c>
      <c r="G34" s="52"/>
      <c r="H34" s="52"/>
      <c r="I34" s="52">
        <f t="shared" si="5"/>
        <v>0</v>
      </c>
      <c r="J34" s="52">
        <f t="shared" si="6"/>
        <v>590.42999999999995</v>
      </c>
    </row>
    <row r="35" spans="1:10" ht="14.25" customHeight="1" x14ac:dyDescent="0.2">
      <c r="A35" s="45">
        <v>7</v>
      </c>
      <c r="B35" s="56" t="s">
        <v>132</v>
      </c>
      <c r="C35" s="45"/>
      <c r="D35" s="45"/>
      <c r="E35" s="45"/>
      <c r="F35" s="52">
        <v>195.7</v>
      </c>
      <c r="G35" s="52"/>
      <c r="H35" s="52"/>
      <c r="I35" s="52">
        <f t="shared" si="5"/>
        <v>0</v>
      </c>
      <c r="J35" s="52">
        <f t="shared" si="6"/>
        <v>195.7</v>
      </c>
    </row>
    <row r="36" spans="1:10" ht="14.25" customHeight="1" x14ac:dyDescent="0.2">
      <c r="A36" s="45">
        <v>8</v>
      </c>
      <c r="B36" s="56" t="s">
        <v>176</v>
      </c>
      <c r="C36" s="45"/>
      <c r="D36" s="45"/>
      <c r="E36" s="45"/>
      <c r="F36" s="52">
        <v>59.1</v>
      </c>
      <c r="G36" s="52"/>
      <c r="H36" s="52"/>
      <c r="I36" s="52">
        <f t="shared" si="5"/>
        <v>0</v>
      </c>
      <c r="J36" s="52">
        <f t="shared" si="6"/>
        <v>59.1</v>
      </c>
    </row>
    <row r="37" spans="1:10" ht="25.5" x14ac:dyDescent="0.2">
      <c r="A37" s="45">
        <v>9</v>
      </c>
      <c r="B37" s="48" t="s">
        <v>155</v>
      </c>
      <c r="C37" s="45"/>
      <c r="D37" s="45"/>
      <c r="E37" s="45"/>
      <c r="F37" s="52">
        <v>60000</v>
      </c>
      <c r="G37" s="52"/>
      <c r="H37" s="52"/>
      <c r="I37" s="52">
        <f t="shared" si="5"/>
        <v>0</v>
      </c>
      <c r="J37" s="52">
        <f t="shared" si="6"/>
        <v>60000</v>
      </c>
    </row>
    <row r="38" spans="1:10" ht="25.5" x14ac:dyDescent="0.2">
      <c r="A38" s="45">
        <v>10</v>
      </c>
      <c r="B38" s="48" t="s">
        <v>156</v>
      </c>
      <c r="C38" s="45"/>
      <c r="D38" s="45"/>
      <c r="E38" s="45"/>
      <c r="F38" s="52">
        <v>18120</v>
      </c>
      <c r="G38" s="52"/>
      <c r="H38" s="52"/>
      <c r="I38" s="52">
        <f t="shared" si="5"/>
        <v>0</v>
      </c>
      <c r="J38" s="52">
        <f t="shared" si="6"/>
        <v>18120</v>
      </c>
    </row>
    <row r="39" spans="1:10" x14ac:dyDescent="0.2">
      <c r="A39" s="46"/>
      <c r="B39" s="47" t="s">
        <v>43</v>
      </c>
      <c r="C39" s="46"/>
      <c r="D39" s="46"/>
      <c r="E39" s="46"/>
      <c r="F39" s="53">
        <f>SUM(F29:F38)</f>
        <v>6055131.1899999985</v>
      </c>
      <c r="G39" s="38">
        <f>SUM(G29:G38)</f>
        <v>0</v>
      </c>
      <c r="H39" s="38">
        <f>SUM(H29:H38)</f>
        <v>0</v>
      </c>
      <c r="I39" s="38">
        <f>SUM(I29:I38)</f>
        <v>0</v>
      </c>
      <c r="J39" s="38">
        <f>SUM(J29:J38)</f>
        <v>6055131.1899999985</v>
      </c>
    </row>
    <row r="41" spans="1:10" ht="15.75" x14ac:dyDescent="0.25">
      <c r="A41" s="9" t="s">
        <v>182</v>
      </c>
    </row>
    <row r="42" spans="1:10" ht="15.75" x14ac:dyDescent="0.25">
      <c r="A42" s="9" t="s">
        <v>53</v>
      </c>
    </row>
    <row r="43" spans="1:10" ht="15.75" x14ac:dyDescent="0.25">
      <c r="A43" s="9" t="s">
        <v>54</v>
      </c>
    </row>
    <row r="44" spans="1:10" ht="7.5" customHeight="1" x14ac:dyDescent="0.25">
      <c r="A44" s="9"/>
    </row>
    <row r="45" spans="1:10" ht="15.75" x14ac:dyDescent="0.25">
      <c r="A45" s="9" t="s">
        <v>174</v>
      </c>
      <c r="C45" s="42">
        <v>119</v>
      </c>
    </row>
    <row r="46" spans="1:10" x14ac:dyDescent="0.2">
      <c r="A46" s="40" t="s">
        <v>162</v>
      </c>
      <c r="C46" s="40" t="s">
        <v>7</v>
      </c>
    </row>
    <row r="48" spans="1:10" ht="37.5" customHeight="1" x14ac:dyDescent="0.2">
      <c r="A48" s="43" t="s">
        <v>163</v>
      </c>
      <c r="B48" s="157" t="s">
        <v>55</v>
      </c>
      <c r="C48" s="158"/>
      <c r="D48" s="45"/>
      <c r="E48" s="45"/>
      <c r="F48" s="52"/>
    </row>
    <row r="49" spans="1:6" x14ac:dyDescent="0.2">
      <c r="A49" s="49">
        <v>1</v>
      </c>
      <c r="B49" s="159" t="s">
        <v>56</v>
      </c>
      <c r="C49" s="160"/>
      <c r="D49" s="45"/>
      <c r="E49" s="45"/>
      <c r="F49" s="52"/>
    </row>
    <row r="50" spans="1:6" x14ac:dyDescent="0.2">
      <c r="A50" s="50"/>
      <c r="B50" s="161" t="s">
        <v>26</v>
      </c>
      <c r="C50" s="162"/>
      <c r="D50" s="45"/>
      <c r="E50" s="45"/>
      <c r="F50" s="52"/>
    </row>
    <row r="51" spans="1:6" x14ac:dyDescent="0.2">
      <c r="A51" s="50" t="s">
        <v>185</v>
      </c>
      <c r="B51" s="161" t="s">
        <v>57</v>
      </c>
      <c r="C51" s="162"/>
      <c r="D51" s="45"/>
      <c r="E51" s="45"/>
      <c r="F51" s="52"/>
    </row>
    <row r="52" spans="1:6" x14ac:dyDescent="0.2">
      <c r="A52" s="50" t="s">
        <v>186</v>
      </c>
      <c r="B52" s="161" t="s">
        <v>58</v>
      </c>
      <c r="C52" s="162"/>
      <c r="D52" s="45"/>
      <c r="E52" s="45"/>
      <c r="F52" s="52"/>
    </row>
    <row r="53" spans="1:6" ht="25.5" customHeight="1" x14ac:dyDescent="0.2">
      <c r="A53" s="50" t="s">
        <v>187</v>
      </c>
      <c r="B53" s="163" t="s">
        <v>183</v>
      </c>
      <c r="C53" s="164"/>
      <c r="D53" s="45"/>
      <c r="E53" s="45"/>
      <c r="F53" s="52"/>
    </row>
    <row r="54" spans="1:6" ht="24.75" customHeight="1" x14ac:dyDescent="0.2">
      <c r="A54" s="50" t="s">
        <v>188</v>
      </c>
      <c r="B54" s="163" t="s">
        <v>184</v>
      </c>
      <c r="C54" s="164"/>
      <c r="D54" s="45"/>
      <c r="E54" s="45"/>
      <c r="F54" s="52"/>
    </row>
    <row r="55" spans="1:6" x14ac:dyDescent="0.2">
      <c r="A55" s="50"/>
      <c r="B55" s="161" t="s">
        <v>26</v>
      </c>
      <c r="C55" s="162"/>
      <c r="D55" s="45"/>
      <c r="E55" s="45"/>
      <c r="F55" s="52"/>
    </row>
    <row r="56" spans="1:6" ht="24.75" customHeight="1" x14ac:dyDescent="0.2">
      <c r="A56" s="50" t="s">
        <v>190</v>
      </c>
      <c r="B56" s="163" t="s">
        <v>189</v>
      </c>
      <c r="C56" s="164"/>
      <c r="D56" s="45"/>
      <c r="E56" s="45"/>
      <c r="F56" s="52"/>
    </row>
    <row r="57" spans="1:6" ht="26.25" customHeight="1" x14ac:dyDescent="0.2">
      <c r="A57" s="50" t="s">
        <v>192</v>
      </c>
      <c r="B57" s="163" t="s">
        <v>191</v>
      </c>
      <c r="C57" s="164"/>
      <c r="D57" s="45"/>
      <c r="E57" s="45"/>
      <c r="F57" s="52"/>
    </row>
    <row r="58" spans="1:6" ht="24.75" customHeight="1" x14ac:dyDescent="0.2">
      <c r="A58" s="50" t="s">
        <v>194</v>
      </c>
      <c r="B58" s="163" t="s">
        <v>193</v>
      </c>
      <c r="C58" s="164"/>
      <c r="D58" s="45"/>
      <c r="E58" s="45"/>
      <c r="F58" s="52"/>
    </row>
    <row r="59" spans="1:6" ht="24.75" customHeight="1" x14ac:dyDescent="0.2">
      <c r="A59" s="50" t="s">
        <v>196</v>
      </c>
      <c r="B59" s="163" t="s">
        <v>195</v>
      </c>
      <c r="C59" s="164"/>
      <c r="D59" s="45"/>
      <c r="E59" s="45"/>
      <c r="F59" s="52"/>
    </row>
    <row r="60" spans="1:6" ht="25.5" customHeight="1" x14ac:dyDescent="0.2">
      <c r="A60" s="50" t="s">
        <v>198</v>
      </c>
      <c r="B60" s="163" t="s">
        <v>197</v>
      </c>
      <c r="C60" s="164"/>
      <c r="D60" s="45"/>
      <c r="E60" s="45"/>
      <c r="F60" s="52"/>
    </row>
    <row r="61" spans="1:6" ht="25.5" customHeight="1" x14ac:dyDescent="0.2">
      <c r="A61" s="50" t="s">
        <v>199</v>
      </c>
      <c r="B61" s="163" t="s">
        <v>200</v>
      </c>
      <c r="C61" s="164"/>
      <c r="D61" s="45"/>
      <c r="E61" s="45"/>
      <c r="F61" s="52"/>
    </row>
    <row r="62" spans="1:6" x14ac:dyDescent="0.2">
      <c r="A62" s="46"/>
      <c r="B62" s="47" t="s">
        <v>43</v>
      </c>
      <c r="C62" s="46"/>
      <c r="D62" s="46"/>
      <c r="E62" s="46"/>
      <c r="F62" s="53">
        <v>13391234.550000001</v>
      </c>
    </row>
    <row r="64" spans="1:6" x14ac:dyDescent="0.2">
      <c r="A64" s="40" t="s">
        <v>201</v>
      </c>
    </row>
    <row r="65" spans="1:1" x14ac:dyDescent="0.2">
      <c r="A65" s="40" t="s">
        <v>202</v>
      </c>
    </row>
    <row r="66" spans="1:1" x14ac:dyDescent="0.2">
      <c r="A66" s="40" t="s">
        <v>203</v>
      </c>
    </row>
    <row r="67" spans="1:1" x14ac:dyDescent="0.2">
      <c r="A67" s="40" t="s">
        <v>204</v>
      </c>
    </row>
  </sheetData>
  <mergeCells count="16">
    <mergeCell ref="B51:C51"/>
    <mergeCell ref="B52:C52"/>
    <mergeCell ref="B58:C58"/>
    <mergeCell ref="B59:C59"/>
    <mergeCell ref="B60:C60"/>
    <mergeCell ref="B61:C61"/>
    <mergeCell ref="B53:C53"/>
    <mergeCell ref="B54:C54"/>
    <mergeCell ref="B55:C55"/>
    <mergeCell ref="B56:C56"/>
    <mergeCell ref="B57:C57"/>
    <mergeCell ref="A13:F13"/>
    <mergeCell ref="A23:F23"/>
    <mergeCell ref="B48:C48"/>
    <mergeCell ref="B49:C49"/>
    <mergeCell ref="B50:C50"/>
  </mergeCells>
  <conditionalFormatting sqref="J7:J10 J19:J20 J29:J38">
    <cfRule type="cellIs" dxfId="79" priority="1" operator="lessThan">
      <formula>0</formula>
    </cfRule>
    <cfRule type="cellIs" dxfId="78" priority="2" operator="greaterThan">
      <formula>0</formula>
    </cfRule>
    <cfRule type="cellIs" dxfId="77" priority="3" operator="greaterThan">
      <formula>0</formula>
    </cfRule>
  </conditionalFormatting>
  <pageMargins left="0.7" right="0.7" top="0.75" bottom="0.75" header="0.3" footer="0.3"/>
  <pageSetup paperSize="9" scale="64" orientation="portrait" verticalDpi="0" r:id="rId1"/>
  <colBreaks count="1" manualBreakCount="1">
    <brk id="6" max="51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8"/>
  </sheetPr>
  <dimension ref="A1:J107"/>
  <sheetViews>
    <sheetView view="pageBreakPreview" topLeftCell="A46" zoomScaleNormal="100" zoomScaleSheetLayoutView="100" workbookViewId="0">
      <selection activeCell="E69" sqref="E69"/>
    </sheetView>
  </sheetViews>
  <sheetFormatPr defaultRowHeight="12.75" x14ac:dyDescent="0.2"/>
  <cols>
    <col min="1" max="1" width="4.85546875" style="40" customWidth="1"/>
    <col min="2" max="2" width="53.5703125" style="40" customWidth="1"/>
    <col min="3" max="4" width="12.5703125" style="40" customWidth="1"/>
    <col min="5" max="5" width="26.42578125" style="38" customWidth="1"/>
    <col min="6" max="9" width="21.140625" style="40" customWidth="1"/>
    <col min="10" max="10" width="10" style="38" bestFit="1" customWidth="1"/>
    <col min="11" max="16384" width="9.140625" style="40"/>
  </cols>
  <sheetData>
    <row r="1" spans="1:9" ht="15.75" x14ac:dyDescent="0.25">
      <c r="A1" s="41" t="s">
        <v>59</v>
      </c>
    </row>
    <row r="2" spans="1:9" ht="7.5" customHeight="1" x14ac:dyDescent="0.25">
      <c r="A2" s="41"/>
    </row>
    <row r="3" spans="1:9" ht="15.75" x14ac:dyDescent="0.25">
      <c r="A3" s="41" t="s">
        <v>161</v>
      </c>
      <c r="B3" s="41"/>
      <c r="C3" s="42">
        <v>851</v>
      </c>
    </row>
    <row r="4" spans="1:9" x14ac:dyDescent="0.2">
      <c r="A4" s="40" t="s">
        <v>162</v>
      </c>
      <c r="C4" s="40" t="s">
        <v>7</v>
      </c>
    </row>
    <row r="6" spans="1:9" ht="38.25" customHeight="1" x14ac:dyDescent="0.2">
      <c r="A6" s="43" t="s">
        <v>163</v>
      </c>
      <c r="B6" s="43" t="s">
        <v>46</v>
      </c>
      <c r="C6" s="43" t="s">
        <v>177</v>
      </c>
      <c r="D6" s="43" t="s">
        <v>205</v>
      </c>
      <c r="E6" s="51" t="s">
        <v>206</v>
      </c>
      <c r="F6" s="54" t="s">
        <v>48</v>
      </c>
      <c r="G6" s="54" t="s">
        <v>49</v>
      </c>
      <c r="H6" s="54" t="s">
        <v>60</v>
      </c>
      <c r="I6" s="54" t="s">
        <v>51</v>
      </c>
    </row>
    <row r="7" spans="1:9" x14ac:dyDescent="0.2">
      <c r="A7" s="45">
        <v>1</v>
      </c>
      <c r="B7" s="45" t="s">
        <v>98</v>
      </c>
      <c r="C7" s="45"/>
      <c r="D7" s="45"/>
      <c r="E7" s="52">
        <v>101173</v>
      </c>
      <c r="F7" s="52">
        <f>25498+25430</f>
        <v>50928</v>
      </c>
      <c r="G7" s="52">
        <f>25498+25430</f>
        <v>50928</v>
      </c>
      <c r="H7" s="52">
        <f>F7-G7</f>
        <v>0</v>
      </c>
      <c r="I7" s="52">
        <f>E7-F7</f>
        <v>50245</v>
      </c>
    </row>
    <row r="8" spans="1:9" x14ac:dyDescent="0.2">
      <c r="A8" s="45">
        <v>2</v>
      </c>
      <c r="B8" s="45" t="s">
        <v>99</v>
      </c>
      <c r="C8" s="45"/>
      <c r="D8" s="45"/>
      <c r="E8" s="52">
        <v>427849</v>
      </c>
      <c r="F8" s="52">
        <f>106962+106962</f>
        <v>213924</v>
      </c>
      <c r="G8" s="52">
        <f>106962+106962</f>
        <v>213924</v>
      </c>
      <c r="H8" s="52">
        <f t="shared" ref="H8:H9" si="0">F8-G8</f>
        <v>0</v>
      </c>
      <c r="I8" s="52">
        <f t="shared" ref="I8:I9" si="1">E8-F8</f>
        <v>213925</v>
      </c>
    </row>
    <row r="9" spans="1:9" x14ac:dyDescent="0.2">
      <c r="A9" s="45"/>
      <c r="B9" s="45"/>
      <c r="C9" s="45"/>
      <c r="D9" s="45"/>
      <c r="E9" s="52"/>
      <c r="F9" s="52"/>
      <c r="G9" s="52"/>
      <c r="H9" s="52">
        <f t="shared" si="0"/>
        <v>0</v>
      </c>
      <c r="I9" s="52">
        <f t="shared" si="1"/>
        <v>0</v>
      </c>
    </row>
    <row r="10" spans="1:9" x14ac:dyDescent="0.2">
      <c r="A10" s="46"/>
      <c r="B10" s="47" t="s">
        <v>43</v>
      </c>
      <c r="C10" s="46"/>
      <c r="D10" s="46"/>
      <c r="E10" s="53">
        <f>SUM(E7:E9)</f>
        <v>529022</v>
      </c>
      <c r="F10" s="55">
        <f>SUM(F7:F9)</f>
        <v>264852</v>
      </c>
      <c r="G10" s="55">
        <f t="shared" ref="G10:I10" si="2">SUM(G7:G9)</f>
        <v>264852</v>
      </c>
      <c r="H10" s="55">
        <f t="shared" si="2"/>
        <v>0</v>
      </c>
      <c r="I10" s="55">
        <f t="shared" si="2"/>
        <v>264170</v>
      </c>
    </row>
    <row r="12" spans="1:9" ht="15.75" x14ac:dyDescent="0.25">
      <c r="A12" s="41" t="s">
        <v>61</v>
      </c>
    </row>
    <row r="13" spans="1:9" ht="7.5" customHeight="1" x14ac:dyDescent="0.25">
      <c r="A13" s="41"/>
    </row>
    <row r="14" spans="1:9" ht="15.75" x14ac:dyDescent="0.25">
      <c r="A14" s="41" t="s">
        <v>161</v>
      </c>
      <c r="B14" s="41"/>
      <c r="C14" s="42">
        <v>852</v>
      </c>
    </row>
    <row r="15" spans="1:9" x14ac:dyDescent="0.2">
      <c r="A15" s="40" t="s">
        <v>162</v>
      </c>
      <c r="C15" s="40" t="s">
        <v>7</v>
      </c>
    </row>
    <row r="17" spans="1:9" ht="25.5" x14ac:dyDescent="0.2">
      <c r="A17" s="43" t="s">
        <v>163</v>
      </c>
      <c r="B17" s="43" t="s">
        <v>46</v>
      </c>
      <c r="C17" s="43" t="s">
        <v>177</v>
      </c>
      <c r="D17" s="43" t="s">
        <v>205</v>
      </c>
      <c r="E17" s="51" t="s">
        <v>206</v>
      </c>
      <c r="F17" s="54" t="s">
        <v>48</v>
      </c>
      <c r="G17" s="54" t="s">
        <v>49</v>
      </c>
      <c r="H17" s="54" t="s">
        <v>60</v>
      </c>
      <c r="I17" s="54" t="s">
        <v>51</v>
      </c>
    </row>
    <row r="18" spans="1:9" x14ac:dyDescent="0.2">
      <c r="A18" s="45">
        <v>1</v>
      </c>
      <c r="B18" s="45" t="s">
        <v>148</v>
      </c>
      <c r="C18" s="45"/>
      <c r="D18" s="45"/>
      <c r="E18" s="52"/>
      <c r="F18" s="52"/>
      <c r="G18" s="52"/>
      <c r="H18" s="52">
        <f t="shared" ref="H18:H20" si="3">F18-G18</f>
        <v>0</v>
      </c>
      <c r="I18" s="52">
        <f>E18-F18</f>
        <v>0</v>
      </c>
    </row>
    <row r="19" spans="1:9" x14ac:dyDescent="0.2">
      <c r="A19" s="45">
        <v>2</v>
      </c>
      <c r="B19" s="45" t="s">
        <v>150</v>
      </c>
      <c r="C19" s="45"/>
      <c r="D19" s="45"/>
      <c r="E19" s="52"/>
      <c r="F19" s="52"/>
      <c r="G19" s="52"/>
      <c r="H19" s="52">
        <f t="shared" si="3"/>
        <v>0</v>
      </c>
      <c r="I19" s="52">
        <f t="shared" ref="I19:I20" si="4">E19-F19</f>
        <v>0</v>
      </c>
    </row>
    <row r="20" spans="1:9" x14ac:dyDescent="0.2">
      <c r="A20" s="45"/>
      <c r="B20" s="45"/>
      <c r="C20" s="45"/>
      <c r="D20" s="45"/>
      <c r="E20" s="52"/>
      <c r="F20" s="52"/>
      <c r="G20" s="52"/>
      <c r="H20" s="52">
        <f t="shared" si="3"/>
        <v>0</v>
      </c>
      <c r="I20" s="52">
        <f t="shared" si="4"/>
        <v>0</v>
      </c>
    </row>
    <row r="21" spans="1:9" x14ac:dyDescent="0.2">
      <c r="A21" s="46"/>
      <c r="B21" s="47" t="s">
        <v>43</v>
      </c>
      <c r="C21" s="46"/>
      <c r="D21" s="46"/>
      <c r="E21" s="53">
        <f>SUM(E18:E20)</f>
        <v>0</v>
      </c>
      <c r="F21" s="55">
        <f>SUM(F18:F20)</f>
        <v>0</v>
      </c>
      <c r="G21" s="55">
        <f t="shared" ref="G21" si="5">SUM(G18:G20)</f>
        <v>0</v>
      </c>
      <c r="H21" s="55">
        <f t="shared" ref="H21" si="6">SUM(H18:H20)</f>
        <v>0</v>
      </c>
      <c r="I21" s="55">
        <f t="shared" ref="I21" si="7">SUM(I18:I20)</f>
        <v>0</v>
      </c>
    </row>
    <row r="23" spans="1:9" ht="15.75" x14ac:dyDescent="0.25">
      <c r="A23" s="41" t="s">
        <v>62</v>
      </c>
    </row>
    <row r="24" spans="1:9" ht="7.5" customHeight="1" x14ac:dyDescent="0.25">
      <c r="A24" s="41"/>
    </row>
    <row r="25" spans="1:9" ht="15.75" x14ac:dyDescent="0.25">
      <c r="A25" s="41" t="s">
        <v>161</v>
      </c>
      <c r="B25" s="41"/>
      <c r="C25" s="42">
        <v>853</v>
      </c>
    </row>
    <row r="26" spans="1:9" x14ac:dyDescent="0.2">
      <c r="A26" s="40" t="s">
        <v>162</v>
      </c>
      <c r="C26" s="40" t="s">
        <v>7</v>
      </c>
    </row>
    <row r="28" spans="1:9" ht="25.5" x14ac:dyDescent="0.2">
      <c r="A28" s="43" t="s">
        <v>163</v>
      </c>
      <c r="B28" s="43" t="s">
        <v>46</v>
      </c>
      <c r="C28" s="43" t="s">
        <v>177</v>
      </c>
      <c r="D28" s="43" t="s">
        <v>205</v>
      </c>
      <c r="E28" s="51" t="s">
        <v>206</v>
      </c>
      <c r="F28" s="54" t="s">
        <v>48</v>
      </c>
      <c r="G28" s="54" t="s">
        <v>49</v>
      </c>
      <c r="H28" s="54" t="s">
        <v>60</v>
      </c>
      <c r="I28" s="54" t="s">
        <v>51</v>
      </c>
    </row>
    <row r="29" spans="1:9" x14ac:dyDescent="0.2">
      <c r="A29" s="45">
        <v>1</v>
      </c>
      <c r="B29" s="45" t="s">
        <v>63</v>
      </c>
      <c r="C29" s="45"/>
      <c r="D29" s="45"/>
      <c r="E29" s="52">
        <v>500</v>
      </c>
      <c r="F29" s="52"/>
      <c r="G29" s="52"/>
      <c r="H29" s="52">
        <f t="shared" ref="H29:H32" si="8">F29-G29</f>
        <v>0</v>
      </c>
      <c r="I29" s="52">
        <f>E29-F29</f>
        <v>500</v>
      </c>
    </row>
    <row r="30" spans="1:9" x14ac:dyDescent="0.2">
      <c r="A30" s="45">
        <v>2</v>
      </c>
      <c r="B30" s="45" t="s">
        <v>207</v>
      </c>
      <c r="C30" s="45"/>
      <c r="D30" s="45"/>
      <c r="E30" s="52"/>
      <c r="F30" s="52"/>
      <c r="G30" s="52"/>
      <c r="H30" s="52">
        <f t="shared" si="8"/>
        <v>0</v>
      </c>
      <c r="I30" s="52">
        <f t="shared" ref="I30" si="9">E30-F30</f>
        <v>0</v>
      </c>
    </row>
    <row r="31" spans="1:9" x14ac:dyDescent="0.2">
      <c r="A31" s="45">
        <v>3</v>
      </c>
      <c r="B31" s="45" t="s">
        <v>208</v>
      </c>
      <c r="C31" s="45"/>
      <c r="D31" s="45"/>
      <c r="E31" s="52"/>
      <c r="F31" s="52"/>
      <c r="G31" s="52"/>
      <c r="H31" s="52">
        <f t="shared" si="8"/>
        <v>0</v>
      </c>
      <c r="I31" s="52">
        <f t="shared" ref="I31:I32" si="10">E31-F31</f>
        <v>0</v>
      </c>
    </row>
    <row r="32" spans="1:9" x14ac:dyDescent="0.2">
      <c r="A32" s="45"/>
      <c r="B32" s="45"/>
      <c r="C32" s="45"/>
      <c r="D32" s="45"/>
      <c r="E32" s="52"/>
      <c r="F32" s="52"/>
      <c r="G32" s="52"/>
      <c r="H32" s="52">
        <f t="shared" si="8"/>
        <v>0</v>
      </c>
      <c r="I32" s="52">
        <f t="shared" si="10"/>
        <v>0</v>
      </c>
    </row>
    <row r="33" spans="1:9" x14ac:dyDescent="0.2">
      <c r="A33" s="46"/>
      <c r="B33" s="47" t="s">
        <v>43</v>
      </c>
      <c r="C33" s="46"/>
      <c r="D33" s="46"/>
      <c r="E33" s="53">
        <f>SUM(E29:E32)</f>
        <v>500</v>
      </c>
      <c r="F33" s="55">
        <f>SUM(F29:F32)</f>
        <v>0</v>
      </c>
      <c r="G33" s="55">
        <f t="shared" ref="G33" si="11">SUM(G29:G32)</f>
        <v>0</v>
      </c>
      <c r="H33" s="55">
        <f>SUM(H29:H32)</f>
        <v>0</v>
      </c>
      <c r="I33" s="55">
        <f t="shared" ref="I33" si="12">SUM(I29:I32)</f>
        <v>500</v>
      </c>
    </row>
    <row r="35" spans="1:9" ht="15.75" x14ac:dyDescent="0.25">
      <c r="A35" s="41" t="s">
        <v>102</v>
      </c>
    </row>
    <row r="37" spans="1:9" ht="25.5" x14ac:dyDescent="0.2">
      <c r="A37" s="43" t="s">
        <v>163</v>
      </c>
      <c r="B37" s="43" t="s">
        <v>46</v>
      </c>
      <c r="C37" s="43" t="s">
        <v>177</v>
      </c>
      <c r="D37" s="43" t="s">
        <v>205</v>
      </c>
      <c r="E37" s="51" t="s">
        <v>206</v>
      </c>
    </row>
    <row r="38" spans="1:9" x14ac:dyDescent="0.2">
      <c r="A38" s="45">
        <v>1</v>
      </c>
      <c r="B38" s="45" t="s">
        <v>103</v>
      </c>
      <c r="C38" s="45"/>
      <c r="D38" s="45"/>
      <c r="E38" s="52">
        <v>470497.76</v>
      </c>
    </row>
    <row r="39" spans="1:9" x14ac:dyDescent="0.2">
      <c r="A39" s="45">
        <v>2</v>
      </c>
      <c r="B39" s="45" t="s">
        <v>209</v>
      </c>
      <c r="C39" s="45"/>
      <c r="D39" s="45"/>
      <c r="E39" s="52">
        <v>16511.98</v>
      </c>
    </row>
    <row r="40" spans="1:9" x14ac:dyDescent="0.2">
      <c r="A40" s="45">
        <v>3</v>
      </c>
      <c r="B40" s="45" t="s">
        <v>153</v>
      </c>
      <c r="C40" s="45"/>
      <c r="D40" s="45"/>
      <c r="E40" s="52">
        <v>331.8</v>
      </c>
    </row>
    <row r="41" spans="1:9" x14ac:dyDescent="0.2">
      <c r="A41" s="45">
        <v>4</v>
      </c>
      <c r="B41" s="45" t="s">
        <v>154</v>
      </c>
      <c r="C41" s="45"/>
      <c r="D41" s="45"/>
      <c r="E41" s="52"/>
    </row>
    <row r="42" spans="1:9" x14ac:dyDescent="0.2">
      <c r="A42" s="46"/>
      <c r="B42" s="47" t="s">
        <v>43</v>
      </c>
      <c r="C42" s="46"/>
      <c r="D42" s="46"/>
      <c r="E42" s="53">
        <f>SUM(E38:E41)</f>
        <v>487341.54</v>
      </c>
    </row>
    <row r="44" spans="1:9" ht="15.75" x14ac:dyDescent="0.25">
      <c r="A44" s="41" t="s">
        <v>64</v>
      </c>
    </row>
    <row r="45" spans="1:9" ht="7.5" customHeight="1" x14ac:dyDescent="0.25">
      <c r="A45" s="41"/>
    </row>
    <row r="46" spans="1:9" ht="15.75" x14ac:dyDescent="0.25">
      <c r="A46" s="41" t="s">
        <v>161</v>
      </c>
      <c r="C46" s="42">
        <v>243</v>
      </c>
      <c r="D46" s="42" t="s">
        <v>213</v>
      </c>
    </row>
    <row r="47" spans="1:9" x14ac:dyDescent="0.2">
      <c r="A47" s="40" t="s">
        <v>162</v>
      </c>
      <c r="C47" s="40" t="s">
        <v>210</v>
      </c>
    </row>
    <row r="48" spans="1:9" x14ac:dyDescent="0.2">
      <c r="C48" s="40" t="s">
        <v>211</v>
      </c>
    </row>
    <row r="50" spans="1:9" ht="15.75" x14ac:dyDescent="0.25">
      <c r="A50" s="41" t="s">
        <v>100</v>
      </c>
    </row>
    <row r="52" spans="1:9" ht="25.5" x14ac:dyDescent="0.2">
      <c r="A52" s="43" t="s">
        <v>163</v>
      </c>
      <c r="B52" s="43" t="s">
        <v>46</v>
      </c>
      <c r="C52" s="43"/>
      <c r="D52" s="43"/>
      <c r="E52" s="51" t="s">
        <v>65</v>
      </c>
      <c r="F52" s="54" t="s">
        <v>48</v>
      </c>
      <c r="G52" s="54" t="s">
        <v>49</v>
      </c>
      <c r="H52" s="54" t="s">
        <v>60</v>
      </c>
      <c r="I52" s="54" t="s">
        <v>51</v>
      </c>
    </row>
    <row r="53" spans="1:9" x14ac:dyDescent="0.2">
      <c r="A53" s="45">
        <v>1</v>
      </c>
      <c r="B53" s="45" t="s">
        <v>262</v>
      </c>
      <c r="C53" s="45"/>
      <c r="D53" s="45"/>
      <c r="E53" s="52"/>
      <c r="F53" s="52"/>
      <c r="G53" s="52"/>
      <c r="H53" s="52">
        <f t="shared" ref="H53:H54" si="13">F53-G53</f>
        <v>0</v>
      </c>
      <c r="I53" s="52">
        <f>E53-F53</f>
        <v>0</v>
      </c>
    </row>
    <row r="54" spans="1:9" x14ac:dyDescent="0.2">
      <c r="A54" s="45">
        <v>2</v>
      </c>
      <c r="B54" s="45"/>
      <c r="C54" s="45"/>
      <c r="D54" s="45"/>
      <c r="E54" s="52"/>
      <c r="F54" s="52"/>
      <c r="G54" s="52"/>
      <c r="H54" s="52">
        <f t="shared" si="13"/>
        <v>0</v>
      </c>
      <c r="I54" s="52">
        <f t="shared" ref="I54" si="14">E54-F54</f>
        <v>0</v>
      </c>
    </row>
    <row r="55" spans="1:9" x14ac:dyDescent="0.2">
      <c r="A55" s="46"/>
      <c r="B55" s="47" t="s">
        <v>43</v>
      </c>
      <c r="C55" s="46"/>
      <c r="D55" s="46"/>
      <c r="E55" s="53">
        <f>SUM(E53:E54)</f>
        <v>0</v>
      </c>
      <c r="F55" s="38">
        <f>SUM(F53:F54)</f>
        <v>0</v>
      </c>
      <c r="G55" s="38">
        <f t="shared" ref="G55:I55" si="15">SUM(G53:G54)</f>
        <v>0</v>
      </c>
      <c r="H55" s="38">
        <f t="shared" si="15"/>
        <v>0</v>
      </c>
      <c r="I55" s="38">
        <f t="shared" si="15"/>
        <v>0</v>
      </c>
    </row>
    <row r="57" spans="1:9" ht="15.75" x14ac:dyDescent="0.25">
      <c r="A57" s="41" t="s">
        <v>226</v>
      </c>
    </row>
    <row r="58" spans="1:9" ht="7.5" customHeight="1" x14ac:dyDescent="0.25">
      <c r="A58" s="41"/>
    </row>
    <row r="59" spans="1:9" ht="15.75" x14ac:dyDescent="0.25">
      <c r="A59" s="41" t="s">
        <v>161</v>
      </c>
      <c r="C59" s="42">
        <v>244</v>
      </c>
      <c r="D59" s="42" t="s">
        <v>213</v>
      </c>
    </row>
    <row r="60" spans="1:9" x14ac:dyDescent="0.2">
      <c r="A60" s="40" t="s">
        <v>162</v>
      </c>
      <c r="C60" s="40" t="s">
        <v>210</v>
      </c>
    </row>
    <row r="61" spans="1:9" x14ac:dyDescent="0.2">
      <c r="C61" s="40" t="s">
        <v>211</v>
      </c>
    </row>
    <row r="63" spans="1:9" ht="25.5" x14ac:dyDescent="0.2">
      <c r="A63" s="43" t="s">
        <v>163</v>
      </c>
      <c r="B63" s="43" t="s">
        <v>46</v>
      </c>
      <c r="C63" s="43"/>
      <c r="D63" s="43"/>
      <c r="E63" s="51" t="s">
        <v>65</v>
      </c>
      <c r="F63" s="54" t="s">
        <v>48</v>
      </c>
      <c r="G63" s="54" t="s">
        <v>49</v>
      </c>
      <c r="H63" s="54" t="s">
        <v>60</v>
      </c>
      <c r="I63" s="54" t="s">
        <v>51</v>
      </c>
    </row>
    <row r="64" spans="1:9" ht="15" customHeight="1" x14ac:dyDescent="0.2">
      <c r="A64" s="45">
        <v>1</v>
      </c>
      <c r="B64" s="56" t="s">
        <v>212</v>
      </c>
      <c r="C64" s="45"/>
      <c r="D64" s="45"/>
      <c r="E64" s="52">
        <v>6828609.5599999996</v>
      </c>
      <c r="F64" s="52">
        <f>472459.44+554804.44-129663.24+31331.27+1166888.87</f>
        <v>2095820.78</v>
      </c>
      <c r="G64" s="52">
        <f>472459.44+425141.2+507887.88+31331.27+574406.57+84594.42</f>
        <v>2095820.7799999998</v>
      </c>
      <c r="H64" s="52">
        <f t="shared" ref="H64:H68" si="16">F64-G64</f>
        <v>0</v>
      </c>
      <c r="I64" s="52">
        <f>E64-F64</f>
        <v>4732788.7799999993</v>
      </c>
    </row>
    <row r="65" spans="1:10" x14ac:dyDescent="0.2">
      <c r="A65" s="45">
        <v>2</v>
      </c>
      <c r="B65" s="56" t="s">
        <v>67</v>
      </c>
      <c r="C65" s="45"/>
      <c r="D65" s="45"/>
      <c r="E65" s="52">
        <v>435868.7</v>
      </c>
      <c r="F65" s="52">
        <f>30156.99+35413.05-8276.38+1999.87+74482.27</f>
        <v>133775.80000000002</v>
      </c>
      <c r="G65" s="52">
        <f>30156.99+27136.67+32418.37+1999.87+36664.25+5399.65</f>
        <v>133775.79999999999</v>
      </c>
      <c r="H65" s="52">
        <f t="shared" si="16"/>
        <v>0</v>
      </c>
      <c r="I65" s="52">
        <f t="shared" ref="I65:I68" si="17">E65-F65</f>
        <v>302092.90000000002</v>
      </c>
    </row>
    <row r="66" spans="1:10" x14ac:dyDescent="0.2">
      <c r="A66" s="45">
        <v>3</v>
      </c>
      <c r="B66" s="56" t="s">
        <v>101</v>
      </c>
      <c r="C66" s="45"/>
      <c r="D66" s="45"/>
      <c r="E66" s="52">
        <v>7271.74</v>
      </c>
      <c r="F66" s="52">
        <f>503.12+590.81-138.08+33.36+1242.61</f>
        <v>2231.8199999999997</v>
      </c>
      <c r="G66" s="52">
        <f>503.12+452.73+540.85+33.36+611.68+90.08</f>
        <v>2231.8199999999997</v>
      </c>
      <c r="H66" s="52">
        <f t="shared" si="16"/>
        <v>0</v>
      </c>
      <c r="I66" s="52">
        <f t="shared" si="17"/>
        <v>5039.92</v>
      </c>
    </row>
    <row r="67" spans="1:10" ht="26.25" customHeight="1" x14ac:dyDescent="0.2">
      <c r="A67" s="45">
        <v>4</v>
      </c>
      <c r="B67" s="57" t="s">
        <v>104</v>
      </c>
      <c r="C67" s="45"/>
      <c r="D67" s="45"/>
      <c r="E67" s="52">
        <f>170384.97-11341.89</f>
        <v>159043.08000000002</v>
      </c>
      <c r="F67" s="52">
        <v>159043.07999999999</v>
      </c>
      <c r="G67" s="52">
        <v>159043.07999999999</v>
      </c>
      <c r="H67" s="52">
        <f t="shared" si="16"/>
        <v>0</v>
      </c>
      <c r="I67" s="52">
        <f t="shared" si="17"/>
        <v>0</v>
      </c>
    </row>
    <row r="68" spans="1:10" x14ac:dyDescent="0.2">
      <c r="A68" s="45"/>
      <c r="B68" s="45" t="s">
        <v>375</v>
      </c>
      <c r="C68" s="45"/>
      <c r="D68" s="45"/>
      <c r="E68" s="52">
        <v>1368416</v>
      </c>
      <c r="F68" s="52"/>
      <c r="G68" s="52"/>
      <c r="H68" s="52">
        <f t="shared" si="16"/>
        <v>0</v>
      </c>
      <c r="I68" s="52">
        <f t="shared" si="17"/>
        <v>1368416</v>
      </c>
      <c r="J68" s="38">
        <v>1368416</v>
      </c>
    </row>
    <row r="69" spans="1:10" x14ac:dyDescent="0.2">
      <c r="A69" s="46"/>
      <c r="B69" s="47" t="s">
        <v>43</v>
      </c>
      <c r="C69" s="46"/>
      <c r="D69" s="46"/>
      <c r="E69" s="53">
        <f>SUM(E64:E68)</f>
        <v>8799209.0800000001</v>
      </c>
      <c r="F69" s="38">
        <f>SUM(F64:F68)</f>
        <v>2390871.48</v>
      </c>
      <c r="G69" s="38">
        <f>SUM(G64:G68)</f>
        <v>2390871.4799999995</v>
      </c>
      <c r="H69" s="38">
        <f>SUM(H64:H68)</f>
        <v>0</v>
      </c>
      <c r="I69" s="38">
        <f>SUM(I64:I68)</f>
        <v>6408337.5999999996</v>
      </c>
    </row>
    <row r="71" spans="1:10" ht="15.75" x14ac:dyDescent="0.25">
      <c r="A71" s="41" t="s">
        <v>217</v>
      </c>
    </row>
    <row r="72" spans="1:10" ht="7.5" customHeight="1" x14ac:dyDescent="0.25">
      <c r="A72" s="41"/>
    </row>
    <row r="73" spans="1:10" ht="15.75" x14ac:dyDescent="0.25">
      <c r="A73" s="41" t="s">
        <v>161</v>
      </c>
      <c r="C73" s="42" t="s">
        <v>214</v>
      </c>
      <c r="D73" s="42"/>
    </row>
    <row r="74" spans="1:10" x14ac:dyDescent="0.2">
      <c r="A74" s="40" t="s">
        <v>162</v>
      </c>
      <c r="C74" s="40" t="s">
        <v>215</v>
      </c>
    </row>
    <row r="75" spans="1:10" x14ac:dyDescent="0.2">
      <c r="C75" s="40" t="s">
        <v>216</v>
      </c>
    </row>
    <row r="77" spans="1:10" ht="25.5" x14ac:dyDescent="0.2">
      <c r="A77" s="43" t="s">
        <v>163</v>
      </c>
      <c r="B77" s="43" t="s">
        <v>46</v>
      </c>
      <c r="C77" s="43"/>
      <c r="D77" s="43"/>
      <c r="E77" s="51" t="s">
        <v>164</v>
      </c>
      <c r="F77" s="54" t="s">
        <v>48</v>
      </c>
      <c r="G77" s="54" t="s">
        <v>49</v>
      </c>
      <c r="H77" s="54" t="s">
        <v>60</v>
      </c>
      <c r="I77" s="54" t="s">
        <v>51</v>
      </c>
    </row>
    <row r="78" spans="1:10" x14ac:dyDescent="0.2">
      <c r="A78" s="45">
        <v>1</v>
      </c>
      <c r="B78" s="45" t="s">
        <v>218</v>
      </c>
      <c r="C78" s="45"/>
      <c r="D78" s="45"/>
      <c r="E78" s="130">
        <f>SUM(E79:E81)</f>
        <v>97955.13</v>
      </c>
      <c r="F78" s="52"/>
      <c r="G78" s="52"/>
      <c r="H78" s="52"/>
      <c r="I78" s="52"/>
    </row>
    <row r="79" spans="1:10" x14ac:dyDescent="0.2">
      <c r="A79" s="45"/>
      <c r="B79" s="58" t="s">
        <v>219</v>
      </c>
      <c r="C79" s="45"/>
      <c r="D79" s="45"/>
      <c r="E79" s="52">
        <v>7082.88</v>
      </c>
      <c r="F79" s="52">
        <v>7082.88</v>
      </c>
      <c r="G79" s="52">
        <v>7082.88</v>
      </c>
      <c r="H79" s="52">
        <f t="shared" ref="H79:H88" si="18">F79-G79</f>
        <v>0</v>
      </c>
      <c r="I79" s="52">
        <f t="shared" ref="I79:I80" si="19">E79-F79</f>
        <v>0</v>
      </c>
    </row>
    <row r="80" spans="1:10" x14ac:dyDescent="0.2">
      <c r="A80" s="45"/>
      <c r="B80" s="58" t="s">
        <v>220</v>
      </c>
      <c r="C80" s="45"/>
      <c r="D80" s="45"/>
      <c r="E80" s="52"/>
      <c r="F80" s="52"/>
      <c r="G80" s="52"/>
      <c r="H80" s="52">
        <f t="shared" si="18"/>
        <v>0</v>
      </c>
      <c r="I80" s="52">
        <f t="shared" si="19"/>
        <v>0</v>
      </c>
    </row>
    <row r="81" spans="1:9" x14ac:dyDescent="0.2">
      <c r="A81" s="45"/>
      <c r="B81" s="58" t="s">
        <v>221</v>
      </c>
      <c r="C81" s="45"/>
      <c r="D81" s="45"/>
      <c r="E81" s="52">
        <v>90872.25</v>
      </c>
      <c r="F81" s="52">
        <v>90872.25</v>
      </c>
      <c r="G81" s="52">
        <v>90872.25</v>
      </c>
      <c r="H81" s="52">
        <f t="shared" si="18"/>
        <v>0</v>
      </c>
      <c r="I81" s="52">
        <f t="shared" ref="I81:I88" si="20">E81-F81</f>
        <v>0</v>
      </c>
    </row>
    <row r="82" spans="1:9" x14ac:dyDescent="0.2">
      <c r="A82" s="45">
        <v>2</v>
      </c>
      <c r="B82" s="45" t="s">
        <v>222</v>
      </c>
      <c r="C82" s="45"/>
      <c r="D82" s="45"/>
      <c r="E82" s="52"/>
      <c r="F82" s="52"/>
      <c r="G82" s="52"/>
      <c r="H82" s="52">
        <f t="shared" si="18"/>
        <v>0</v>
      </c>
      <c r="I82" s="52">
        <f t="shared" si="20"/>
        <v>0</v>
      </c>
    </row>
    <row r="83" spans="1:9" ht="12.75" customHeight="1" x14ac:dyDescent="0.2">
      <c r="A83" s="45">
        <v>3</v>
      </c>
      <c r="B83" s="45" t="s">
        <v>223</v>
      </c>
      <c r="C83" s="45"/>
      <c r="D83" s="45"/>
      <c r="E83" s="52">
        <f>3150+3150+3150</f>
        <v>9450</v>
      </c>
      <c r="F83" s="52">
        <f>3150+3150</f>
        <v>6300</v>
      </c>
      <c r="G83" s="52">
        <f>1050+1050+1050+1050+1050+1050</f>
        <v>6300</v>
      </c>
      <c r="H83" s="52">
        <f t="shared" si="18"/>
        <v>0</v>
      </c>
      <c r="I83" s="52">
        <f t="shared" si="20"/>
        <v>3150</v>
      </c>
    </row>
    <row r="84" spans="1:9" x14ac:dyDescent="0.2">
      <c r="A84" s="45">
        <v>4</v>
      </c>
      <c r="B84" s="45" t="s">
        <v>224</v>
      </c>
      <c r="C84" s="45"/>
      <c r="D84" s="45"/>
      <c r="E84" s="52">
        <f>8080-3150-3150</f>
        <v>1780</v>
      </c>
      <c r="F84" s="52"/>
      <c r="G84" s="52"/>
      <c r="H84" s="52">
        <f t="shared" si="18"/>
        <v>0</v>
      </c>
      <c r="I84" s="52">
        <f t="shared" si="20"/>
        <v>1780</v>
      </c>
    </row>
    <row r="85" spans="1:9" x14ac:dyDescent="0.2">
      <c r="A85" s="45">
        <v>5</v>
      </c>
      <c r="B85" s="45" t="s">
        <v>374</v>
      </c>
      <c r="C85" s="45"/>
      <c r="D85" s="45"/>
      <c r="E85" s="52">
        <f>202590.92+364055.15</f>
        <v>566646.07000000007</v>
      </c>
      <c r="F85" s="52">
        <f>186539+123746.23+256360.84</f>
        <v>566646.06999999995</v>
      </c>
      <c r="G85" s="52">
        <f>186539+123746.23+256360.84</f>
        <v>566646.06999999995</v>
      </c>
      <c r="H85" s="52">
        <f t="shared" si="18"/>
        <v>0</v>
      </c>
      <c r="I85" s="52">
        <f t="shared" si="20"/>
        <v>0</v>
      </c>
    </row>
    <row r="86" spans="1:9" x14ac:dyDescent="0.2">
      <c r="A86" s="45">
        <v>6</v>
      </c>
      <c r="B86" s="45" t="s">
        <v>225</v>
      </c>
      <c r="C86" s="45"/>
      <c r="D86" s="45"/>
      <c r="E86" s="52"/>
      <c r="F86" s="52"/>
      <c r="G86" s="52"/>
      <c r="H86" s="52">
        <f t="shared" si="18"/>
        <v>0</v>
      </c>
      <c r="I86" s="52">
        <f t="shared" si="20"/>
        <v>0</v>
      </c>
    </row>
    <row r="87" spans="1:9" x14ac:dyDescent="0.2">
      <c r="A87" s="167">
        <v>7</v>
      </c>
      <c r="B87" s="165" t="s">
        <v>157</v>
      </c>
      <c r="C87" s="45" t="s">
        <v>158</v>
      </c>
      <c r="D87" s="45"/>
      <c r="E87" s="52">
        <v>41830.25</v>
      </c>
      <c r="F87" s="52">
        <v>41830.25</v>
      </c>
      <c r="G87" s="52">
        <v>41830.25</v>
      </c>
      <c r="H87" s="52">
        <f t="shared" si="18"/>
        <v>0</v>
      </c>
      <c r="I87" s="52">
        <f t="shared" si="20"/>
        <v>0</v>
      </c>
    </row>
    <row r="88" spans="1:9" x14ac:dyDescent="0.2">
      <c r="A88" s="168"/>
      <c r="B88" s="166"/>
      <c r="C88" s="45" t="s">
        <v>159</v>
      </c>
      <c r="D88" s="45"/>
      <c r="E88" s="52">
        <v>12632.74</v>
      </c>
      <c r="F88" s="52">
        <v>12632.74</v>
      </c>
      <c r="G88" s="52">
        <v>12632.74</v>
      </c>
      <c r="H88" s="52">
        <f t="shared" si="18"/>
        <v>0</v>
      </c>
      <c r="I88" s="52">
        <f t="shared" si="20"/>
        <v>0</v>
      </c>
    </row>
    <row r="89" spans="1:9" x14ac:dyDescent="0.2">
      <c r="A89" s="124">
        <v>8</v>
      </c>
      <c r="B89" s="125" t="s">
        <v>354</v>
      </c>
      <c r="C89" s="126"/>
      <c r="D89" s="126"/>
      <c r="E89" s="127">
        <f>SUM(E90:E94)</f>
        <v>150000</v>
      </c>
      <c r="F89" s="52"/>
      <c r="G89" s="52"/>
      <c r="H89" s="52"/>
      <c r="I89" s="52"/>
    </row>
    <row r="90" spans="1:9" x14ac:dyDescent="0.2">
      <c r="A90" s="124"/>
      <c r="B90" s="128" t="s">
        <v>158</v>
      </c>
      <c r="C90" s="126"/>
      <c r="D90" s="126"/>
      <c r="E90" s="129">
        <v>23041.47</v>
      </c>
      <c r="F90" s="52"/>
      <c r="G90" s="52"/>
      <c r="H90" s="52">
        <f t="shared" ref="H90:H95" si="21">F90-G90</f>
        <v>0</v>
      </c>
      <c r="I90" s="52">
        <f t="shared" ref="I90:I95" si="22">E90-F90</f>
        <v>23041.47</v>
      </c>
    </row>
    <row r="91" spans="1:9" x14ac:dyDescent="0.2">
      <c r="A91" s="124"/>
      <c r="B91" s="128" t="s">
        <v>159</v>
      </c>
      <c r="C91" s="126"/>
      <c r="D91" s="126"/>
      <c r="E91" s="129">
        <v>6958.53</v>
      </c>
      <c r="F91" s="52"/>
      <c r="G91" s="52"/>
      <c r="H91" s="52">
        <f t="shared" si="21"/>
        <v>0</v>
      </c>
      <c r="I91" s="52">
        <f t="shared" si="22"/>
        <v>6958.53</v>
      </c>
    </row>
    <row r="92" spans="1:9" x14ac:dyDescent="0.2">
      <c r="A92" s="124"/>
      <c r="B92" s="128" t="s">
        <v>355</v>
      </c>
      <c r="C92" s="126"/>
      <c r="D92" s="126"/>
      <c r="E92" s="129">
        <f>120000-3150-12000</f>
        <v>104850</v>
      </c>
      <c r="F92" s="52"/>
      <c r="G92" s="52"/>
      <c r="H92" s="52">
        <f t="shared" si="21"/>
        <v>0</v>
      </c>
      <c r="I92" s="52">
        <f t="shared" si="22"/>
        <v>104850</v>
      </c>
    </row>
    <row r="93" spans="1:9" x14ac:dyDescent="0.2">
      <c r="A93" s="132"/>
      <c r="B93" s="128" t="s">
        <v>223</v>
      </c>
      <c r="C93" s="126"/>
      <c r="D93" s="126"/>
      <c r="E93" s="129">
        <v>3150</v>
      </c>
      <c r="F93" s="52"/>
      <c r="G93" s="52"/>
      <c r="H93" s="52">
        <f t="shared" si="21"/>
        <v>0</v>
      </c>
      <c r="I93" s="52">
        <f t="shared" si="22"/>
        <v>3150</v>
      </c>
    </row>
    <row r="94" spans="1:9" x14ac:dyDescent="0.2">
      <c r="A94" s="132"/>
      <c r="B94" s="128" t="s">
        <v>246</v>
      </c>
      <c r="C94" s="126"/>
      <c r="D94" s="126"/>
      <c r="E94" s="129">
        <v>12000</v>
      </c>
      <c r="F94" s="52">
        <v>12000</v>
      </c>
      <c r="G94" s="52">
        <f>2000+2000</f>
        <v>4000</v>
      </c>
      <c r="H94" s="52">
        <f t="shared" si="21"/>
        <v>8000</v>
      </c>
      <c r="I94" s="52">
        <f t="shared" si="22"/>
        <v>0</v>
      </c>
    </row>
    <row r="95" spans="1:9" x14ac:dyDescent="0.2">
      <c r="A95" s="45"/>
      <c r="B95" s="45" t="s">
        <v>338</v>
      </c>
      <c r="C95" s="45"/>
      <c r="D95" s="45"/>
      <c r="E95" s="130">
        <f>4260-316-3150</f>
        <v>794</v>
      </c>
      <c r="F95" s="52"/>
      <c r="G95" s="52"/>
      <c r="H95" s="52">
        <f t="shared" si="21"/>
        <v>0</v>
      </c>
      <c r="I95" s="52">
        <f t="shared" si="22"/>
        <v>794</v>
      </c>
    </row>
    <row r="96" spans="1:9" x14ac:dyDescent="0.2">
      <c r="A96" s="46"/>
      <c r="B96" s="47" t="s">
        <v>357</v>
      </c>
      <c r="C96" s="46"/>
      <c r="D96" s="46"/>
      <c r="E96" s="53">
        <f>SUM(E82:E88)+E78+E95</f>
        <v>731088.19000000006</v>
      </c>
      <c r="F96" s="38">
        <f>SUM(F78:F95)</f>
        <v>737364.19</v>
      </c>
      <c r="G96" s="38">
        <f>SUM(G78:G95)</f>
        <v>729364.19</v>
      </c>
      <c r="H96" s="38">
        <f>SUM(H78:H95)</f>
        <v>8000</v>
      </c>
      <c r="I96" s="38">
        <f>SUM(I78:I95)</f>
        <v>143724</v>
      </c>
    </row>
    <row r="98" spans="1:5" ht="15.75" x14ac:dyDescent="0.25">
      <c r="A98" s="41" t="s">
        <v>226</v>
      </c>
    </row>
    <row r="99" spans="1:5" ht="7.5" customHeight="1" x14ac:dyDescent="0.25">
      <c r="A99" s="41"/>
    </row>
    <row r="100" spans="1:5" ht="15.75" x14ac:dyDescent="0.25">
      <c r="A100" s="41" t="s">
        <v>161</v>
      </c>
      <c r="C100" s="42">
        <v>244</v>
      </c>
      <c r="D100" s="42"/>
    </row>
    <row r="101" spans="1:5" x14ac:dyDescent="0.2">
      <c r="A101" s="40" t="s">
        <v>162</v>
      </c>
      <c r="C101" s="40" t="s">
        <v>229</v>
      </c>
    </row>
    <row r="102" spans="1:5" x14ac:dyDescent="0.2">
      <c r="C102" s="40" t="s">
        <v>227</v>
      </c>
    </row>
    <row r="104" spans="1:5" ht="25.5" x14ac:dyDescent="0.2">
      <c r="A104" s="43" t="s">
        <v>163</v>
      </c>
      <c r="B104" s="43" t="s">
        <v>46</v>
      </c>
      <c r="C104" s="43" t="s">
        <v>177</v>
      </c>
      <c r="D104" s="43" t="s">
        <v>205</v>
      </c>
      <c r="E104" s="51" t="s">
        <v>206</v>
      </c>
    </row>
    <row r="105" spans="1:5" ht="51" x14ac:dyDescent="0.2">
      <c r="A105" s="45">
        <v>1</v>
      </c>
      <c r="B105" s="59" t="s">
        <v>228</v>
      </c>
      <c r="C105" s="45"/>
      <c r="D105" s="45"/>
      <c r="E105" s="52"/>
    </row>
    <row r="106" spans="1:5" x14ac:dyDescent="0.2">
      <c r="A106" s="45"/>
      <c r="B106" s="45"/>
      <c r="C106" s="45"/>
      <c r="D106" s="45"/>
      <c r="E106" s="52"/>
    </row>
    <row r="107" spans="1:5" x14ac:dyDescent="0.2">
      <c r="A107" s="46"/>
      <c r="B107" s="47" t="s">
        <v>43</v>
      </c>
      <c r="C107" s="46"/>
      <c r="D107" s="46"/>
      <c r="E107" s="53">
        <f>SUM(E105:E106)</f>
        <v>0</v>
      </c>
    </row>
  </sheetData>
  <mergeCells count="2">
    <mergeCell ref="B87:B88"/>
    <mergeCell ref="A87:A88"/>
  </mergeCells>
  <conditionalFormatting sqref="I78:I95">
    <cfRule type="cellIs" dxfId="76" priority="1" operator="lessThan">
      <formula>0</formula>
    </cfRule>
    <cfRule type="cellIs" dxfId="75" priority="2" operator="greaterThan">
      <formula>0</formula>
    </cfRule>
    <cfRule type="cellIs" dxfId="74" priority="3" operator="greaterThan">
      <formula>0</formula>
    </cfRule>
  </conditionalFormatting>
  <conditionalFormatting sqref="I7:I9">
    <cfRule type="cellIs" dxfId="73" priority="16" operator="lessThan">
      <formula>0</formula>
    </cfRule>
    <cfRule type="cellIs" dxfId="72" priority="17" operator="greaterThan">
      <formula>0</formula>
    </cfRule>
    <cfRule type="cellIs" dxfId="71" priority="18" operator="greaterThan">
      <formula>0</formula>
    </cfRule>
  </conditionalFormatting>
  <conditionalFormatting sqref="I18:I20">
    <cfRule type="cellIs" dxfId="70" priority="13" operator="lessThan">
      <formula>0</formula>
    </cfRule>
    <cfRule type="cellIs" dxfId="69" priority="14" operator="greaterThan">
      <formula>0</formula>
    </cfRule>
    <cfRule type="cellIs" dxfId="68" priority="15" operator="greaterThan">
      <formula>0</formula>
    </cfRule>
  </conditionalFormatting>
  <conditionalFormatting sqref="I29:I32">
    <cfRule type="cellIs" dxfId="67" priority="10" operator="lessThan">
      <formula>0</formula>
    </cfRule>
    <cfRule type="cellIs" dxfId="66" priority="11" operator="greaterThan">
      <formula>0</formula>
    </cfRule>
    <cfRule type="cellIs" dxfId="65" priority="12" operator="greaterThan">
      <formula>0</formula>
    </cfRule>
  </conditionalFormatting>
  <conditionalFormatting sqref="I53:I54">
    <cfRule type="cellIs" dxfId="64" priority="7" operator="lessThan">
      <formula>0</formula>
    </cfRule>
    <cfRule type="cellIs" dxfId="63" priority="8" operator="greaterThan">
      <formula>0</formula>
    </cfRule>
    <cfRule type="cellIs" dxfId="62" priority="9" operator="greaterThan">
      <formula>0</formula>
    </cfRule>
  </conditionalFormatting>
  <conditionalFormatting sqref="I64:I68">
    <cfRule type="cellIs" dxfId="61" priority="4" operator="lessThan">
      <formula>0</formula>
    </cfRule>
    <cfRule type="cellIs" dxfId="60" priority="5" operator="greaterThan">
      <formula>0</formula>
    </cfRule>
    <cfRule type="cellIs" dxfId="59" priority="6" operator="greaterThan">
      <formula>0</formula>
    </cfRule>
  </conditionalFormatting>
  <pageMargins left="0.7" right="0.7" top="0.75" bottom="0.75" header="0.3" footer="0.3"/>
  <pageSetup paperSize="9" scale="81" orientation="portrait" verticalDpi="0" r:id="rId1"/>
  <rowBreaks count="1" manualBreakCount="1">
    <brk id="56" max="4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8"/>
  </sheetPr>
  <dimension ref="A1:L90"/>
  <sheetViews>
    <sheetView view="pageBreakPreview" topLeftCell="A52" zoomScaleNormal="100" zoomScaleSheetLayoutView="100" workbookViewId="0">
      <selection activeCell="F74" sqref="F74"/>
    </sheetView>
  </sheetViews>
  <sheetFormatPr defaultRowHeight="12.75" x14ac:dyDescent="0.2"/>
  <cols>
    <col min="1" max="1" width="5.5703125" style="40" customWidth="1"/>
    <col min="2" max="2" width="43.7109375" style="40" customWidth="1"/>
    <col min="3" max="3" width="12.42578125" style="40" customWidth="1"/>
    <col min="4" max="4" width="13.140625" style="40" customWidth="1"/>
    <col min="5" max="5" width="16.42578125" style="40" customWidth="1"/>
    <col min="6" max="6" width="17" style="108" customWidth="1"/>
    <col min="7" max="10" width="21.140625" style="40" customWidth="1"/>
    <col min="11" max="11" width="10" style="38" bestFit="1" customWidth="1"/>
    <col min="12" max="16384" width="9.140625" style="40"/>
  </cols>
  <sheetData>
    <row r="1" spans="1:11" ht="15.75" x14ac:dyDescent="0.25">
      <c r="A1" s="41" t="s">
        <v>68</v>
      </c>
    </row>
    <row r="2" spans="1:11" ht="7.5" customHeight="1" x14ac:dyDescent="0.25">
      <c r="A2" s="41"/>
    </row>
    <row r="3" spans="1:11" ht="15.75" x14ac:dyDescent="0.25">
      <c r="A3" s="41" t="s">
        <v>161</v>
      </c>
      <c r="C3" s="42">
        <v>247</v>
      </c>
      <c r="D3" s="42"/>
      <c r="E3" s="38"/>
    </row>
    <row r="4" spans="1:11" x14ac:dyDescent="0.2">
      <c r="A4" s="40" t="s">
        <v>162</v>
      </c>
      <c r="C4" s="40" t="s">
        <v>7</v>
      </c>
      <c r="E4" s="38"/>
    </row>
    <row r="5" spans="1:11" x14ac:dyDescent="0.2">
      <c r="E5" s="38"/>
    </row>
    <row r="6" spans="1:11" ht="15.75" x14ac:dyDescent="0.25">
      <c r="A6" s="41" t="s">
        <v>230</v>
      </c>
    </row>
    <row r="8" spans="1:11" ht="37.5" customHeight="1" x14ac:dyDescent="0.2">
      <c r="A8" s="43" t="s">
        <v>163</v>
      </c>
      <c r="B8" s="43" t="s">
        <v>46</v>
      </c>
      <c r="C8" s="43" t="s">
        <v>231</v>
      </c>
      <c r="D8" s="43" t="s">
        <v>232</v>
      </c>
      <c r="E8" s="43" t="s">
        <v>233</v>
      </c>
      <c r="F8" s="51" t="s">
        <v>234</v>
      </c>
      <c r="G8" s="54" t="s">
        <v>48</v>
      </c>
      <c r="H8" s="54" t="s">
        <v>49</v>
      </c>
      <c r="I8" s="54" t="s">
        <v>344</v>
      </c>
      <c r="J8" s="54" t="s">
        <v>51</v>
      </c>
    </row>
    <row r="9" spans="1:11" ht="14.25" customHeight="1" x14ac:dyDescent="0.2">
      <c r="A9" s="45">
        <v>1</v>
      </c>
      <c r="B9" s="45" t="s">
        <v>72</v>
      </c>
      <c r="C9" s="45"/>
      <c r="D9" s="45"/>
      <c r="E9" s="45"/>
      <c r="F9" s="109">
        <v>491009.02</v>
      </c>
      <c r="G9" s="52">
        <f>444240.69-7082.88</f>
        <v>437157.81</v>
      </c>
      <c r="H9" s="52">
        <f>40382.23+48682.07+35211.15+34121.82+39817.05+32806.39+12155.49-7082.88</f>
        <v>236093.32</v>
      </c>
      <c r="I9" s="52">
        <f>G9-H9</f>
        <v>201064.49</v>
      </c>
      <c r="J9" s="52">
        <f>F9-G9</f>
        <v>53851.210000000021</v>
      </c>
      <c r="K9" s="38">
        <f>G9+Лист3!F79</f>
        <v>444240.69</v>
      </c>
    </row>
    <row r="10" spans="1:11" ht="14.25" customHeight="1" x14ac:dyDescent="0.2">
      <c r="A10" s="45">
        <v>2</v>
      </c>
      <c r="B10" s="45" t="s">
        <v>235</v>
      </c>
      <c r="C10" s="45"/>
      <c r="D10" s="45"/>
      <c r="E10" s="45"/>
      <c r="F10" s="109">
        <f>2070647.97-257994.77</f>
        <v>1812653.2</v>
      </c>
      <c r="G10" s="52">
        <v>1478521.38</v>
      </c>
      <c r="H10" s="52">
        <f>242101.31+248836.78+230507.92+176375.17</f>
        <v>897821.18</v>
      </c>
      <c r="I10" s="52">
        <f t="shared" ref="I10:I11" si="0">G10-H10</f>
        <v>580700.19999999984</v>
      </c>
      <c r="J10" s="52">
        <f t="shared" ref="J10" si="1">F10-G10</f>
        <v>334131.82000000007</v>
      </c>
    </row>
    <row r="11" spans="1:11" ht="14.25" customHeight="1" x14ac:dyDescent="0.2">
      <c r="A11" s="45">
        <v>4</v>
      </c>
      <c r="B11" s="45" t="s">
        <v>71</v>
      </c>
      <c r="C11" s="45"/>
      <c r="D11" s="45"/>
      <c r="E11" s="45"/>
      <c r="F11" s="109">
        <v>1156808.6399999999</v>
      </c>
      <c r="G11" s="52">
        <f>800318.68-90872.25</f>
        <v>709446.43</v>
      </c>
      <c r="H11" s="52">
        <f>124160.92+150231.56+127080.3+123697.91+118394.91+78472.99+32875.79-90872.25</f>
        <v>664042.13</v>
      </c>
      <c r="I11" s="52">
        <f t="shared" si="0"/>
        <v>45404.300000000047</v>
      </c>
      <c r="J11" s="52">
        <f t="shared" ref="J11" si="2">F11-G11</f>
        <v>447362.20999999985</v>
      </c>
      <c r="K11" s="38">
        <f>G11+Лист3!F81</f>
        <v>800318.68</v>
      </c>
    </row>
    <row r="12" spans="1:11" x14ac:dyDescent="0.2">
      <c r="A12" s="46"/>
      <c r="B12" s="47" t="s">
        <v>43</v>
      </c>
      <c r="C12" s="46"/>
      <c r="D12" s="46"/>
      <c r="E12" s="53"/>
      <c r="F12" s="110">
        <f>SUM(F9:F11)</f>
        <v>3460470.8599999994</v>
      </c>
      <c r="G12" s="38">
        <f>SUM(G9:G11)</f>
        <v>2625125.62</v>
      </c>
      <c r="H12" s="38">
        <f>SUM(H9:H11)</f>
        <v>1797956.63</v>
      </c>
      <c r="I12" s="38">
        <f>SUM(I9:I11)</f>
        <v>827168.98999999987</v>
      </c>
      <c r="J12" s="38">
        <f>SUM(J9:J11)</f>
        <v>835345.24</v>
      </c>
    </row>
    <row r="13" spans="1:11" x14ac:dyDescent="0.2">
      <c r="G13" s="120">
        <f>F12+Лист3!E78</f>
        <v>3558425.9899999993</v>
      </c>
      <c r="H13" s="120">
        <f>H12+Лист3!G81</f>
        <v>1888828.88</v>
      </c>
      <c r="I13" s="120"/>
      <c r="J13" s="121" t="s">
        <v>346</v>
      </c>
    </row>
    <row r="14" spans="1:11" ht="15.75" x14ac:dyDescent="0.25">
      <c r="A14" s="41" t="s">
        <v>161</v>
      </c>
      <c r="C14" s="42">
        <v>244</v>
      </c>
    </row>
    <row r="15" spans="1:11" x14ac:dyDescent="0.2">
      <c r="A15" s="40" t="s">
        <v>162</v>
      </c>
      <c r="C15" s="40" t="s">
        <v>7</v>
      </c>
    </row>
    <row r="16" spans="1:11" ht="7.5" customHeight="1" x14ac:dyDescent="0.2"/>
    <row r="17" spans="1:10" ht="15.75" x14ac:dyDescent="0.25">
      <c r="A17" s="41" t="s">
        <v>236</v>
      </c>
    </row>
    <row r="19" spans="1:10" ht="25.5" x14ac:dyDescent="0.2">
      <c r="A19" s="43" t="s">
        <v>163</v>
      </c>
      <c r="B19" s="43" t="s">
        <v>46</v>
      </c>
      <c r="C19" s="43" t="s">
        <v>231</v>
      </c>
      <c r="D19" s="43" t="s">
        <v>232</v>
      </c>
      <c r="E19" s="43" t="s">
        <v>233</v>
      </c>
      <c r="F19" s="51" t="s">
        <v>234</v>
      </c>
      <c r="G19" s="54" t="s">
        <v>48</v>
      </c>
      <c r="H19" s="54" t="s">
        <v>49</v>
      </c>
      <c r="I19" s="54" t="s">
        <v>344</v>
      </c>
      <c r="J19" s="54" t="s">
        <v>51</v>
      </c>
    </row>
    <row r="20" spans="1:10" ht="25.5" customHeight="1" x14ac:dyDescent="0.2">
      <c r="A20" s="45">
        <v>1</v>
      </c>
      <c r="B20" s="59" t="s">
        <v>69</v>
      </c>
      <c r="C20" s="45"/>
      <c r="D20" s="45"/>
      <c r="E20" s="45"/>
      <c r="F20" s="109">
        <v>8500</v>
      </c>
      <c r="G20" s="52">
        <v>8352</v>
      </c>
      <c r="H20" s="52">
        <f>696+696+696+696+696+696+696</f>
        <v>4872</v>
      </c>
      <c r="I20" s="52">
        <f t="shared" ref="I20:I21" si="3">G20-H20</f>
        <v>3480</v>
      </c>
      <c r="J20" s="52">
        <f>F20-G20</f>
        <v>148</v>
      </c>
    </row>
    <row r="21" spans="1:10" ht="14.25" customHeight="1" x14ac:dyDescent="0.2">
      <c r="A21" s="45">
        <v>2</v>
      </c>
      <c r="B21" s="45" t="s">
        <v>70</v>
      </c>
      <c r="C21" s="45"/>
      <c r="D21" s="45"/>
      <c r="E21" s="45"/>
      <c r="F21" s="109"/>
      <c r="G21" s="52"/>
      <c r="H21" s="52"/>
      <c r="I21" s="52">
        <f t="shared" si="3"/>
        <v>0</v>
      </c>
      <c r="J21" s="52">
        <f t="shared" ref="J21" si="4">F21-G21</f>
        <v>0</v>
      </c>
    </row>
    <row r="22" spans="1:10" x14ac:dyDescent="0.2">
      <c r="A22" s="46"/>
      <c r="B22" s="47" t="s">
        <v>43</v>
      </c>
      <c r="C22" s="46"/>
      <c r="D22" s="46"/>
      <c r="E22" s="53"/>
      <c r="F22" s="110">
        <f>SUM(F20:F21)</f>
        <v>8500</v>
      </c>
      <c r="G22" s="38">
        <f>SUM(G20:G21)</f>
        <v>8352</v>
      </c>
      <c r="H22" s="38">
        <f>SUM(H20:H21)</f>
        <v>4872</v>
      </c>
      <c r="I22" s="38">
        <f>SUM(I20:I21)</f>
        <v>3480</v>
      </c>
      <c r="J22" s="38">
        <f>SUM(J20:J21)</f>
        <v>148</v>
      </c>
    </row>
    <row r="24" spans="1:10" ht="15.75" x14ac:dyDescent="0.25">
      <c r="A24" s="41" t="s">
        <v>237</v>
      </c>
    </row>
    <row r="26" spans="1:10" ht="25.5" x14ac:dyDescent="0.2">
      <c r="A26" s="43" t="s">
        <v>163</v>
      </c>
      <c r="B26" s="43" t="s">
        <v>46</v>
      </c>
      <c r="C26" s="43" t="s">
        <v>231</v>
      </c>
      <c r="D26" s="43" t="s">
        <v>232</v>
      </c>
      <c r="E26" s="43" t="s">
        <v>233</v>
      </c>
      <c r="F26" s="51" t="s">
        <v>234</v>
      </c>
      <c r="G26" s="54" t="s">
        <v>48</v>
      </c>
      <c r="H26" s="54" t="s">
        <v>49</v>
      </c>
      <c r="I26" s="54" t="s">
        <v>344</v>
      </c>
      <c r="J26" s="54" t="s">
        <v>51</v>
      </c>
    </row>
    <row r="27" spans="1:10" ht="14.25" customHeight="1" x14ac:dyDescent="0.2">
      <c r="A27" s="45">
        <v>1</v>
      </c>
      <c r="B27" s="59" t="s">
        <v>238</v>
      </c>
      <c r="C27" s="45"/>
      <c r="D27" s="45"/>
      <c r="E27" s="45"/>
      <c r="F27" s="109">
        <f>151860.11-10000</f>
        <v>141860.10999999999</v>
      </c>
      <c r="G27" s="52">
        <v>116961.11</v>
      </c>
      <c r="H27" s="52">
        <f>16708.73+16708.73+16708.73+16708.73+16708.73+16745.86</f>
        <v>100289.51</v>
      </c>
      <c r="I27" s="52">
        <f t="shared" ref="I27:I28" si="5">G27-H27</f>
        <v>16671.600000000006</v>
      </c>
      <c r="J27" s="52">
        <f>F27-G27</f>
        <v>24898.999999999985</v>
      </c>
    </row>
    <row r="28" spans="1:10" x14ac:dyDescent="0.2">
      <c r="A28" s="45"/>
      <c r="B28" s="45"/>
      <c r="C28" s="45"/>
      <c r="D28" s="45"/>
      <c r="E28" s="45"/>
      <c r="F28" s="109"/>
      <c r="G28" s="52"/>
      <c r="H28" s="52"/>
      <c r="I28" s="52">
        <f t="shared" si="5"/>
        <v>0</v>
      </c>
      <c r="J28" s="52">
        <f t="shared" ref="J28" si="6">F28-G28</f>
        <v>0</v>
      </c>
    </row>
    <row r="29" spans="1:10" x14ac:dyDescent="0.2">
      <c r="A29" s="46"/>
      <c r="B29" s="47" t="s">
        <v>43</v>
      </c>
      <c r="C29" s="46"/>
      <c r="D29" s="46"/>
      <c r="E29" s="53"/>
      <c r="F29" s="110">
        <f>SUM(F27:F28)</f>
        <v>141860.10999999999</v>
      </c>
      <c r="G29" s="38">
        <f>SUM(G27:G28)</f>
        <v>116961.11</v>
      </c>
      <c r="H29" s="38">
        <f>SUM(H27:H28)</f>
        <v>100289.51</v>
      </c>
      <c r="I29" s="38">
        <f>SUM(I27:I28)</f>
        <v>16671.600000000006</v>
      </c>
      <c r="J29" s="38">
        <f>SUM(J27:J28)</f>
        <v>24898.999999999985</v>
      </c>
    </row>
    <row r="31" spans="1:10" ht="22.5" customHeight="1" x14ac:dyDescent="0.25">
      <c r="A31" s="41" t="s">
        <v>239</v>
      </c>
    </row>
    <row r="33" spans="1:10" ht="25.5" x14ac:dyDescent="0.2">
      <c r="A33" s="43" t="s">
        <v>163</v>
      </c>
      <c r="B33" s="43" t="s">
        <v>46</v>
      </c>
      <c r="C33" s="43"/>
      <c r="D33" s="43" t="s">
        <v>73</v>
      </c>
      <c r="E33" s="43" t="s">
        <v>240</v>
      </c>
      <c r="F33" s="51" t="s">
        <v>241</v>
      </c>
      <c r="G33" s="54" t="s">
        <v>48</v>
      </c>
      <c r="H33" s="54" t="s">
        <v>49</v>
      </c>
      <c r="I33" s="54" t="s">
        <v>344</v>
      </c>
      <c r="J33" s="54" t="s">
        <v>51</v>
      </c>
    </row>
    <row r="34" spans="1:10" ht="14.25" customHeight="1" x14ac:dyDescent="0.2">
      <c r="A34" s="45">
        <v>1</v>
      </c>
      <c r="B34" s="59" t="s">
        <v>371</v>
      </c>
      <c r="C34" s="45"/>
      <c r="D34" s="45"/>
      <c r="E34" s="45"/>
      <c r="F34" s="109">
        <f>5000+2141.88</f>
        <v>7141.88</v>
      </c>
      <c r="G34" s="52">
        <v>7141.88</v>
      </c>
      <c r="H34" s="52">
        <v>7137</v>
      </c>
      <c r="I34" s="52">
        <f t="shared" ref="I34:I53" si="7">G34-H34</f>
        <v>4.8800000000001091</v>
      </c>
      <c r="J34" s="52">
        <f>F34-G34</f>
        <v>0</v>
      </c>
    </row>
    <row r="35" spans="1:10" ht="14.25" customHeight="1" x14ac:dyDescent="0.2">
      <c r="A35" s="45">
        <v>2</v>
      </c>
      <c r="B35" s="59" t="s">
        <v>315</v>
      </c>
      <c r="C35" s="45"/>
      <c r="D35" s="45"/>
      <c r="E35" s="45"/>
      <c r="F35" s="109">
        <v>25000</v>
      </c>
      <c r="G35" s="52">
        <v>25000</v>
      </c>
      <c r="H35" s="52">
        <v>25000</v>
      </c>
      <c r="I35" s="52">
        <f t="shared" si="7"/>
        <v>0</v>
      </c>
      <c r="J35" s="52">
        <f t="shared" ref="J35:J47" si="8">F35-G35</f>
        <v>0</v>
      </c>
    </row>
    <row r="36" spans="1:10" ht="14.25" customHeight="1" x14ac:dyDescent="0.2">
      <c r="A36" s="45">
        <v>3</v>
      </c>
      <c r="B36" s="59" t="s">
        <v>314</v>
      </c>
      <c r="C36" s="45"/>
      <c r="D36" s="45"/>
      <c r="E36" s="45"/>
      <c r="F36" s="109">
        <v>22500</v>
      </c>
      <c r="G36" s="52">
        <v>22500</v>
      </c>
      <c r="H36" s="52">
        <v>22500</v>
      </c>
      <c r="I36" s="52">
        <f t="shared" si="7"/>
        <v>0</v>
      </c>
      <c r="J36" s="52">
        <f t="shared" si="8"/>
        <v>0</v>
      </c>
    </row>
    <row r="37" spans="1:10" ht="14.25" customHeight="1" x14ac:dyDescent="0.2">
      <c r="A37" s="45">
        <v>4</v>
      </c>
      <c r="B37" s="45" t="s">
        <v>351</v>
      </c>
      <c r="C37" s="45"/>
      <c r="D37" s="45"/>
      <c r="E37" s="45"/>
      <c r="F37" s="109">
        <v>257994.77</v>
      </c>
      <c r="G37" s="52">
        <v>257994.77</v>
      </c>
      <c r="H37" s="52">
        <v>257994.77</v>
      </c>
      <c r="I37" s="52">
        <f t="shared" ref="I37" si="9">G37-H37</f>
        <v>0</v>
      </c>
      <c r="J37" s="52">
        <f t="shared" si="8"/>
        <v>0</v>
      </c>
    </row>
    <row r="38" spans="1:10" ht="14.25" customHeight="1" x14ac:dyDescent="0.2">
      <c r="A38" s="45">
        <v>5</v>
      </c>
      <c r="B38" s="59" t="s">
        <v>75</v>
      </c>
      <c r="C38" s="45"/>
      <c r="D38" s="45"/>
      <c r="E38" s="45"/>
      <c r="F38" s="109">
        <v>12000</v>
      </c>
      <c r="G38" s="52">
        <v>12000</v>
      </c>
      <c r="H38" s="52">
        <v>12000</v>
      </c>
      <c r="I38" s="52">
        <f t="shared" si="7"/>
        <v>0</v>
      </c>
      <c r="J38" s="52">
        <f t="shared" si="8"/>
        <v>0</v>
      </c>
    </row>
    <row r="39" spans="1:10" ht="14.25" customHeight="1" x14ac:dyDescent="0.2">
      <c r="A39" s="45">
        <v>6</v>
      </c>
      <c r="B39" s="59" t="s">
        <v>78</v>
      </c>
      <c r="C39" s="45"/>
      <c r="D39" s="45"/>
      <c r="E39" s="45"/>
      <c r="F39" s="109">
        <f>55000+24000-4683.7</f>
        <v>74316.3</v>
      </c>
      <c r="G39" s="52">
        <f>54119.2+14676.6+5520.5</f>
        <v>74316.3</v>
      </c>
      <c r="H39" s="52">
        <f>14993.8+7338.3+5520.5</f>
        <v>27852.6</v>
      </c>
      <c r="I39" s="52">
        <f t="shared" si="7"/>
        <v>46463.700000000004</v>
      </c>
      <c r="J39" s="52">
        <f t="shared" si="8"/>
        <v>0</v>
      </c>
    </row>
    <row r="40" spans="1:10" ht="14.25" customHeight="1" x14ac:dyDescent="0.2">
      <c r="A40" s="45">
        <v>7</v>
      </c>
      <c r="B40" s="59" t="s">
        <v>246</v>
      </c>
      <c r="C40" s="45"/>
      <c r="D40" s="45"/>
      <c r="E40" s="45"/>
      <c r="F40" s="109"/>
      <c r="G40" s="52"/>
      <c r="H40" s="52"/>
      <c r="I40" s="52">
        <f t="shared" si="7"/>
        <v>0</v>
      </c>
      <c r="J40" s="52">
        <f t="shared" si="8"/>
        <v>0</v>
      </c>
    </row>
    <row r="41" spans="1:10" ht="14.25" customHeight="1" x14ac:dyDescent="0.2">
      <c r="A41" s="45">
        <v>8</v>
      </c>
      <c r="B41" s="59" t="s">
        <v>242</v>
      </c>
      <c r="C41" s="45"/>
      <c r="D41" s="45"/>
      <c r="E41" s="45"/>
      <c r="F41" s="109">
        <f>36000-24000</f>
        <v>12000</v>
      </c>
      <c r="G41" s="52">
        <v>12000</v>
      </c>
      <c r="H41" s="52">
        <v>12000</v>
      </c>
      <c r="I41" s="52">
        <f t="shared" si="7"/>
        <v>0</v>
      </c>
      <c r="J41" s="52">
        <f t="shared" si="8"/>
        <v>0</v>
      </c>
    </row>
    <row r="42" spans="1:10" ht="14.25" customHeight="1" x14ac:dyDescent="0.2">
      <c r="A42" s="45">
        <v>9</v>
      </c>
      <c r="B42" s="59" t="s">
        <v>372</v>
      </c>
      <c r="C42" s="45"/>
      <c r="D42" s="45"/>
      <c r="E42" s="45"/>
      <c r="F42" s="109">
        <v>31250</v>
      </c>
      <c r="G42" s="52">
        <v>31250</v>
      </c>
      <c r="H42" s="52">
        <v>31250</v>
      </c>
      <c r="I42" s="52">
        <f t="shared" ref="I42:I43" si="10">G42-H42</f>
        <v>0</v>
      </c>
      <c r="J42" s="52">
        <f t="shared" ref="J42:J43" si="11">F42-G42</f>
        <v>0</v>
      </c>
    </row>
    <row r="43" spans="1:10" ht="14.25" customHeight="1" x14ac:dyDescent="0.2">
      <c r="A43" s="45">
        <v>10</v>
      </c>
      <c r="B43" s="59" t="s">
        <v>79</v>
      </c>
      <c r="C43" s="45"/>
      <c r="D43" s="45"/>
      <c r="E43" s="45"/>
      <c r="F43" s="109">
        <v>15000</v>
      </c>
      <c r="G43" s="52">
        <f>7750+3400</f>
        <v>11150</v>
      </c>
      <c r="H43" s="52">
        <f>7750+3400</f>
        <v>11150</v>
      </c>
      <c r="I43" s="52">
        <f t="shared" si="10"/>
        <v>0</v>
      </c>
      <c r="J43" s="52">
        <f t="shared" si="11"/>
        <v>3850</v>
      </c>
    </row>
    <row r="44" spans="1:10" ht="14.25" customHeight="1" x14ac:dyDescent="0.2">
      <c r="A44" s="45">
        <v>11</v>
      </c>
      <c r="B44" s="59" t="s">
        <v>74</v>
      </c>
      <c r="C44" s="45"/>
      <c r="D44" s="45"/>
      <c r="E44" s="45"/>
      <c r="F44" s="109">
        <f>25000+1474</f>
        <v>26474</v>
      </c>
      <c r="G44" s="52">
        <v>26474</v>
      </c>
      <c r="H44" s="52">
        <f>8479+8479</f>
        <v>16958</v>
      </c>
      <c r="I44" s="52">
        <f t="shared" si="7"/>
        <v>9516</v>
      </c>
      <c r="J44" s="52">
        <f t="shared" si="8"/>
        <v>0</v>
      </c>
    </row>
    <row r="45" spans="1:10" ht="14.25" customHeight="1" x14ac:dyDescent="0.2">
      <c r="A45" s="45">
        <v>12</v>
      </c>
      <c r="B45" s="59" t="s">
        <v>77</v>
      </c>
      <c r="C45" s="45"/>
      <c r="D45" s="45"/>
      <c r="E45" s="45"/>
      <c r="F45" s="109">
        <v>15000</v>
      </c>
      <c r="G45" s="52">
        <v>15000</v>
      </c>
      <c r="H45" s="52">
        <v>15000</v>
      </c>
      <c r="I45" s="52">
        <f t="shared" si="7"/>
        <v>0</v>
      </c>
      <c r="J45" s="52">
        <f t="shared" si="8"/>
        <v>0</v>
      </c>
    </row>
    <row r="46" spans="1:10" ht="14.25" customHeight="1" x14ac:dyDescent="0.2">
      <c r="A46" s="45">
        <v>13</v>
      </c>
      <c r="B46" s="59" t="s">
        <v>244</v>
      </c>
      <c r="C46" s="45"/>
      <c r="D46" s="45"/>
      <c r="E46" s="45"/>
      <c r="F46" s="109">
        <f>98000-2000</f>
        <v>96000</v>
      </c>
      <c r="G46" s="52">
        <v>96000</v>
      </c>
      <c r="H46" s="52">
        <f>8000+8000+8000+8000+8000+8000+8000+8000</f>
        <v>64000</v>
      </c>
      <c r="I46" s="52">
        <f t="shared" si="7"/>
        <v>32000</v>
      </c>
      <c r="J46" s="52">
        <f t="shared" si="8"/>
        <v>0</v>
      </c>
    </row>
    <row r="47" spans="1:10" ht="25.5" x14ac:dyDescent="0.2">
      <c r="A47" s="45">
        <v>14</v>
      </c>
      <c r="B47" s="59" t="s">
        <v>243</v>
      </c>
      <c r="C47" s="45"/>
      <c r="D47" s="45"/>
      <c r="E47" s="45"/>
      <c r="F47" s="109">
        <v>30000</v>
      </c>
      <c r="G47" s="52">
        <v>30000</v>
      </c>
      <c r="H47" s="52">
        <f>2500+2500+2500+2500+2500+2500+2500+2500</f>
        <v>20000</v>
      </c>
      <c r="I47" s="52">
        <f t="shared" si="7"/>
        <v>10000</v>
      </c>
      <c r="J47" s="52">
        <f t="shared" si="8"/>
        <v>0</v>
      </c>
    </row>
    <row r="48" spans="1:10" ht="25.5" x14ac:dyDescent="0.2">
      <c r="A48" s="45">
        <v>15</v>
      </c>
      <c r="B48" s="59" t="s">
        <v>245</v>
      </c>
      <c r="C48" s="45"/>
      <c r="D48" s="45"/>
      <c r="E48" s="45"/>
      <c r="F48" s="109">
        <v>54000</v>
      </c>
      <c r="G48" s="52">
        <v>54000</v>
      </c>
      <c r="H48" s="52">
        <f>4500+4500+4500+4500+4500+4500+4500+4500</f>
        <v>36000</v>
      </c>
      <c r="I48" s="52">
        <f t="shared" si="7"/>
        <v>18000</v>
      </c>
      <c r="J48" s="52">
        <f t="shared" ref="J48:J53" si="12">F48-G48</f>
        <v>0</v>
      </c>
    </row>
    <row r="49" spans="1:10" ht="25.5" x14ac:dyDescent="0.2">
      <c r="A49" s="45">
        <v>16</v>
      </c>
      <c r="B49" s="59" t="s">
        <v>76</v>
      </c>
      <c r="C49" s="45"/>
      <c r="D49" s="45"/>
      <c r="E49" s="45"/>
      <c r="F49" s="109">
        <f>56000-2141.88-1474-784.12</f>
        <v>51600</v>
      </c>
      <c r="G49" s="52">
        <v>51600</v>
      </c>
      <c r="H49" s="52">
        <f>4300+4300+4300+4300+4300+4300+4300+4300</f>
        <v>34400</v>
      </c>
      <c r="I49" s="52">
        <f t="shared" si="7"/>
        <v>17200</v>
      </c>
      <c r="J49" s="52">
        <f t="shared" si="12"/>
        <v>0</v>
      </c>
    </row>
    <row r="50" spans="1:10" x14ac:dyDescent="0.2">
      <c r="A50" s="45">
        <v>17</v>
      </c>
      <c r="B50" s="59" t="s">
        <v>310</v>
      </c>
      <c r="C50" s="45"/>
      <c r="D50" s="45"/>
      <c r="E50" s="45"/>
      <c r="F50" s="109">
        <f>8216.4+1146.36</f>
        <v>9362.76</v>
      </c>
      <c r="G50" s="52">
        <v>9362.76</v>
      </c>
      <c r="H50" s="52">
        <f>780.23+780.23+780.23+780.23+780.23+780.23+780.23</f>
        <v>5461.6100000000006</v>
      </c>
      <c r="I50" s="52">
        <f t="shared" si="7"/>
        <v>3901.1499999999996</v>
      </c>
      <c r="J50" s="52">
        <f t="shared" si="12"/>
        <v>0</v>
      </c>
    </row>
    <row r="51" spans="1:10" ht="14.25" customHeight="1" x14ac:dyDescent="0.2">
      <c r="A51" s="45">
        <v>18</v>
      </c>
      <c r="B51" s="59" t="s">
        <v>247</v>
      </c>
      <c r="C51" s="45"/>
      <c r="D51" s="45"/>
      <c r="E51" s="45"/>
      <c r="F51" s="109"/>
      <c r="G51" s="52"/>
      <c r="H51" s="52"/>
      <c r="I51" s="52">
        <f t="shared" si="7"/>
        <v>0</v>
      </c>
      <c r="J51" s="52">
        <f t="shared" si="12"/>
        <v>0</v>
      </c>
    </row>
    <row r="52" spans="1:10" ht="14.25" customHeight="1" x14ac:dyDescent="0.2">
      <c r="A52" s="45">
        <v>19</v>
      </c>
      <c r="B52" s="59" t="s">
        <v>370</v>
      </c>
      <c r="C52" s="45"/>
      <c r="D52" s="45"/>
      <c r="E52" s="45"/>
      <c r="F52" s="109">
        <v>28000</v>
      </c>
      <c r="G52" s="52">
        <v>28000</v>
      </c>
      <c r="H52" s="52">
        <v>28000</v>
      </c>
      <c r="I52" s="52">
        <f t="shared" ref="I52" si="13">G52-H52</f>
        <v>0</v>
      </c>
      <c r="J52" s="52">
        <f t="shared" ref="J52" si="14">F52-G52</f>
        <v>0</v>
      </c>
    </row>
    <row r="53" spans="1:10" ht="14.25" customHeight="1" x14ac:dyDescent="0.2">
      <c r="A53" s="45">
        <v>20</v>
      </c>
      <c r="B53" s="45"/>
      <c r="C53" s="45"/>
      <c r="D53" s="45"/>
      <c r="E53" s="45"/>
      <c r="F53" s="109"/>
      <c r="G53" s="52"/>
      <c r="H53" s="52"/>
      <c r="I53" s="52">
        <f t="shared" si="7"/>
        <v>0</v>
      </c>
      <c r="J53" s="52">
        <f t="shared" si="12"/>
        <v>0</v>
      </c>
    </row>
    <row r="54" spans="1:10" x14ac:dyDescent="0.2">
      <c r="A54" s="46"/>
      <c r="B54" s="47" t="s">
        <v>43</v>
      </c>
      <c r="C54" s="46"/>
      <c r="D54" s="46"/>
      <c r="E54" s="53"/>
      <c r="F54" s="110">
        <f>SUM(F34:F53)</f>
        <v>767639.71</v>
      </c>
      <c r="G54" s="38">
        <f>SUM(G34:G53)</f>
        <v>763789.71</v>
      </c>
      <c r="H54" s="38">
        <f>SUM(H34:H53)</f>
        <v>626703.98</v>
      </c>
      <c r="I54" s="38">
        <f>SUM(I34:I53)</f>
        <v>137085.73000000001</v>
      </c>
      <c r="J54" s="38">
        <f>SUM(J34:J53)</f>
        <v>3850</v>
      </c>
    </row>
    <row r="56" spans="1:10" ht="15.75" x14ac:dyDescent="0.25">
      <c r="A56" s="41" t="s">
        <v>248</v>
      </c>
    </row>
    <row r="58" spans="1:10" ht="25.5" x14ac:dyDescent="0.2">
      <c r="A58" s="43" t="s">
        <v>163</v>
      </c>
      <c r="B58" s="43" t="s">
        <v>46</v>
      </c>
      <c r="C58" s="43"/>
      <c r="D58" s="43" t="s">
        <v>73</v>
      </c>
      <c r="E58" s="43" t="s">
        <v>240</v>
      </c>
      <c r="F58" s="51" t="s">
        <v>241</v>
      </c>
      <c r="G58" s="54" t="s">
        <v>48</v>
      </c>
      <c r="H58" s="54" t="s">
        <v>49</v>
      </c>
      <c r="I58" s="54" t="s">
        <v>344</v>
      </c>
      <c r="J58" s="54" t="s">
        <v>51</v>
      </c>
    </row>
    <row r="59" spans="1:10" ht="14.25" customHeight="1" x14ac:dyDescent="0.2">
      <c r="A59" s="45">
        <v>1</v>
      </c>
      <c r="B59" s="59" t="s">
        <v>255</v>
      </c>
      <c r="C59" s="45"/>
      <c r="D59" s="45"/>
      <c r="E59" s="45"/>
      <c r="F59" s="109">
        <f>78000-16060-26312.64-28000-1755.88-5871.48</f>
        <v>0</v>
      </c>
      <c r="G59" s="52"/>
      <c r="H59" s="52"/>
      <c r="I59" s="52">
        <f t="shared" ref="I59:I78" si="15">G59-H59</f>
        <v>0</v>
      </c>
      <c r="J59" s="52">
        <f>F59-G59</f>
        <v>0</v>
      </c>
    </row>
    <row r="60" spans="1:10" ht="14.25" customHeight="1" x14ac:dyDescent="0.2">
      <c r="A60" s="45">
        <v>2</v>
      </c>
      <c r="B60" s="59" t="s">
        <v>341</v>
      </c>
      <c r="C60" s="45"/>
      <c r="D60" s="45"/>
      <c r="E60" s="45"/>
      <c r="F60" s="109">
        <f>2064.56+3535.44</f>
        <v>5600</v>
      </c>
      <c r="G60" s="52">
        <v>5600</v>
      </c>
      <c r="H60" s="52">
        <v>5600</v>
      </c>
      <c r="I60" s="52">
        <f t="shared" si="15"/>
        <v>0</v>
      </c>
      <c r="J60" s="52">
        <f t="shared" ref="J60:J70" si="16">F60-G60</f>
        <v>0</v>
      </c>
    </row>
    <row r="61" spans="1:10" ht="14.25" customHeight="1" x14ac:dyDescent="0.2">
      <c r="A61" s="45">
        <v>3</v>
      </c>
      <c r="B61" s="59" t="s">
        <v>358</v>
      </c>
      <c r="C61" s="45"/>
      <c r="D61" s="45"/>
      <c r="E61" s="45"/>
      <c r="F61" s="109">
        <v>2500</v>
      </c>
      <c r="G61" s="52">
        <v>2500</v>
      </c>
      <c r="H61" s="52">
        <v>2500</v>
      </c>
      <c r="I61" s="52">
        <f t="shared" ref="I61" si="17">G61-H61</f>
        <v>0</v>
      </c>
      <c r="J61" s="52">
        <f t="shared" si="16"/>
        <v>0</v>
      </c>
    </row>
    <row r="62" spans="1:10" ht="14.25" customHeight="1" x14ac:dyDescent="0.2">
      <c r="A62" s="45">
        <v>4</v>
      </c>
      <c r="B62" s="59" t="s">
        <v>83</v>
      </c>
      <c r="C62" s="45"/>
      <c r="D62" s="45"/>
      <c r="E62" s="45"/>
      <c r="F62" s="109">
        <f>96000-3535.44-9676.78-11198-15289.78</f>
        <v>56300</v>
      </c>
      <c r="G62" s="52">
        <v>56300</v>
      </c>
      <c r="H62" s="52">
        <v>56300</v>
      </c>
      <c r="I62" s="52">
        <f t="shared" si="15"/>
        <v>0</v>
      </c>
      <c r="J62" s="52">
        <f t="shared" si="16"/>
        <v>0</v>
      </c>
    </row>
    <row r="63" spans="1:10" ht="14.25" customHeight="1" x14ac:dyDescent="0.2">
      <c r="A63" s="45">
        <v>5</v>
      </c>
      <c r="B63" s="59" t="s">
        <v>81</v>
      </c>
      <c r="C63" s="45"/>
      <c r="D63" s="45"/>
      <c r="E63" s="45"/>
      <c r="F63" s="109">
        <f>19800-19375.29</f>
        <v>424.70999999999913</v>
      </c>
      <c r="G63" s="52"/>
      <c r="H63" s="52"/>
      <c r="I63" s="52">
        <f t="shared" si="15"/>
        <v>0</v>
      </c>
      <c r="J63" s="52">
        <f t="shared" si="16"/>
        <v>424.70999999999913</v>
      </c>
    </row>
    <row r="64" spans="1:10" ht="14.25" customHeight="1" x14ac:dyDescent="0.2">
      <c r="A64" s="45">
        <v>6</v>
      </c>
      <c r="B64" s="59" t="s">
        <v>350</v>
      </c>
      <c r="C64" s="45"/>
      <c r="D64" s="45"/>
      <c r="E64" s="45"/>
      <c r="F64" s="109">
        <v>10000</v>
      </c>
      <c r="G64" s="52">
        <v>10000</v>
      </c>
      <c r="H64" s="52">
        <v>10000</v>
      </c>
      <c r="I64" s="52">
        <f t="shared" ref="I64" si="18">G64-H64</f>
        <v>0</v>
      </c>
      <c r="J64" s="52">
        <f t="shared" si="16"/>
        <v>0</v>
      </c>
    </row>
    <row r="65" spans="1:12" ht="14.25" customHeight="1" x14ac:dyDescent="0.2">
      <c r="A65" s="45">
        <v>7</v>
      </c>
      <c r="B65" s="111" t="s">
        <v>250</v>
      </c>
      <c r="C65" s="45"/>
      <c r="D65" s="45"/>
      <c r="E65" s="45"/>
      <c r="F65" s="112">
        <f>1483127+1080000</f>
        <v>2563127</v>
      </c>
      <c r="G65" s="52">
        <f>226285+256679+584500+14696+186539</f>
        <v>1268699</v>
      </c>
      <c r="H65" s="52">
        <f>226285+256679+248496+14696+275884+60120+186539</f>
        <v>1268699</v>
      </c>
      <c r="I65" s="52">
        <f t="shared" si="15"/>
        <v>0</v>
      </c>
      <c r="J65" s="52">
        <f t="shared" si="16"/>
        <v>1294428</v>
      </c>
      <c r="K65" s="38">
        <v>3600000</v>
      </c>
      <c r="L65" s="40">
        <v>1080000</v>
      </c>
    </row>
    <row r="66" spans="1:12" ht="14.25" customHeight="1" x14ac:dyDescent="0.2">
      <c r="A66" s="45">
        <v>8</v>
      </c>
      <c r="B66" s="111" t="s">
        <v>252</v>
      </c>
      <c r="C66" s="45"/>
      <c r="D66" s="45"/>
      <c r="E66" s="45"/>
      <c r="F66" s="112">
        <f>1446685+1080000</f>
        <v>2526685</v>
      </c>
      <c r="G66" s="52">
        <f>245019.04+263084.96+617487.5+16372.24+187151.64</f>
        <v>1329115.3799999999</v>
      </c>
      <c r="H66" s="52">
        <f>245019.04+263084.96+254334.28+16372.24+297523.12+65630.1+187151.64</f>
        <v>1329115.3800000004</v>
      </c>
      <c r="I66" s="52">
        <f t="shared" si="15"/>
        <v>0</v>
      </c>
      <c r="J66" s="52">
        <f t="shared" si="16"/>
        <v>1197569.6200000001</v>
      </c>
      <c r="L66" s="40">
        <v>1080000</v>
      </c>
    </row>
    <row r="67" spans="1:12" ht="14.25" customHeight="1" x14ac:dyDescent="0.2">
      <c r="A67" s="45">
        <v>9</v>
      </c>
      <c r="B67" s="111" t="s">
        <v>251</v>
      </c>
      <c r="C67" s="45"/>
      <c r="D67" s="45"/>
      <c r="E67" s="45"/>
      <c r="F67" s="112">
        <f>1992190+1440000</f>
        <v>3432190</v>
      </c>
      <c r="G67" s="52">
        <f>336825.88+362675.76+850325+22545.76+256360.84</f>
        <v>1828733.2400000002</v>
      </c>
      <c r="H67" s="52">
        <f>336825.88+362675.76+350431.08+22545.76+409710.88+90183.04+256360.84</f>
        <v>1828733.24</v>
      </c>
      <c r="I67" s="52">
        <f t="shared" si="15"/>
        <v>0</v>
      </c>
      <c r="J67" s="52">
        <f t="shared" si="16"/>
        <v>1603456.7599999998</v>
      </c>
      <c r="L67" s="40">
        <v>1440000</v>
      </c>
    </row>
    <row r="68" spans="1:12" ht="14.25" customHeight="1" x14ac:dyDescent="0.2">
      <c r="A68" s="45">
        <v>10</v>
      </c>
      <c r="B68" s="59" t="s">
        <v>80</v>
      </c>
      <c r="C68" s="45"/>
      <c r="D68" s="45"/>
      <c r="E68" s="45"/>
      <c r="F68" s="109">
        <f>25000-13000</f>
        <v>12000</v>
      </c>
      <c r="G68" s="52">
        <f>6000+6000</f>
        <v>12000</v>
      </c>
      <c r="H68" s="52">
        <f>6000+6000</f>
        <v>12000</v>
      </c>
      <c r="I68" s="52">
        <f t="shared" si="15"/>
        <v>0</v>
      </c>
      <c r="J68" s="52">
        <f t="shared" si="16"/>
        <v>0</v>
      </c>
    </row>
    <row r="69" spans="1:12" ht="14.25" customHeight="1" x14ac:dyDescent="0.2">
      <c r="A69" s="45">
        <v>11</v>
      </c>
      <c r="B69" s="59" t="s">
        <v>133</v>
      </c>
      <c r="C69" s="45"/>
      <c r="D69" s="45"/>
      <c r="E69" s="45"/>
      <c r="F69" s="109">
        <f>26312.64-1127.69</f>
        <v>25184.95</v>
      </c>
      <c r="G69" s="52"/>
      <c r="H69" s="52"/>
      <c r="I69" s="52">
        <f t="shared" si="15"/>
        <v>0</v>
      </c>
      <c r="J69" s="52">
        <f t="shared" si="16"/>
        <v>25184.95</v>
      </c>
    </row>
    <row r="70" spans="1:12" ht="14.25" customHeight="1" x14ac:dyDescent="0.2">
      <c r="A70" s="45">
        <v>12</v>
      </c>
      <c r="B70" s="59" t="s">
        <v>311</v>
      </c>
      <c r="C70" s="45"/>
      <c r="D70" s="45"/>
      <c r="E70" s="45"/>
      <c r="F70" s="109">
        <f>25628.96-2064.56</f>
        <v>23564.399999999998</v>
      </c>
      <c r="G70" s="52">
        <v>23564.400000000001</v>
      </c>
      <c r="H70" s="52">
        <f>1963.7+1963.7+1963.7+1963.7+1963.7+1963.7+1963.7+1963.7</f>
        <v>15709.600000000002</v>
      </c>
      <c r="I70" s="52">
        <f t="shared" si="15"/>
        <v>7854.7999999999993</v>
      </c>
      <c r="J70" s="52">
        <f t="shared" si="16"/>
        <v>0</v>
      </c>
    </row>
    <row r="71" spans="1:12" ht="14.25" customHeight="1" x14ac:dyDescent="0.2">
      <c r="A71" s="45">
        <v>13</v>
      </c>
      <c r="B71" s="59" t="s">
        <v>254</v>
      </c>
      <c r="C71" s="45"/>
      <c r="D71" s="45"/>
      <c r="E71" s="45"/>
      <c r="F71" s="109"/>
      <c r="G71" s="52"/>
      <c r="H71" s="52"/>
      <c r="I71" s="52">
        <f t="shared" si="15"/>
        <v>0</v>
      </c>
      <c r="J71" s="52">
        <f t="shared" ref="J71:J77" si="19">F71-G71</f>
        <v>0</v>
      </c>
    </row>
    <row r="72" spans="1:12" ht="14.25" customHeight="1" x14ac:dyDescent="0.2">
      <c r="A72" s="45">
        <v>14</v>
      </c>
      <c r="B72" s="59" t="s">
        <v>82</v>
      </c>
      <c r="C72" s="45"/>
      <c r="D72" s="45"/>
      <c r="E72" s="45"/>
      <c r="F72" s="109">
        <f>30000-2840+4540</f>
        <v>31700</v>
      </c>
      <c r="G72" s="52">
        <f>11700+8000+12000</f>
        <v>31700</v>
      </c>
      <c r="H72" s="52">
        <f>11700+8000+12000</f>
        <v>31700</v>
      </c>
      <c r="I72" s="52">
        <f t="shared" si="15"/>
        <v>0</v>
      </c>
      <c r="J72" s="52">
        <f t="shared" si="19"/>
        <v>0</v>
      </c>
    </row>
    <row r="73" spans="1:12" ht="14.25" customHeight="1" x14ac:dyDescent="0.2">
      <c r="A73" s="45">
        <v>15</v>
      </c>
      <c r="B73" s="59" t="s">
        <v>249</v>
      </c>
      <c r="C73" s="45"/>
      <c r="D73" s="45"/>
      <c r="E73" s="45"/>
      <c r="F73" s="109">
        <f>210045+128364.85+124117.5-227.35+360125</f>
        <v>822425</v>
      </c>
      <c r="G73" s="52">
        <f>177550+284750</f>
        <v>462300</v>
      </c>
      <c r="H73" s="52">
        <f>50250+63650+63650+70350+60300</f>
        <v>308200</v>
      </c>
      <c r="I73" s="52">
        <f t="shared" si="15"/>
        <v>154100</v>
      </c>
      <c r="J73" s="52">
        <f t="shared" si="19"/>
        <v>360125</v>
      </c>
      <c r="K73" s="38">
        <v>360125</v>
      </c>
    </row>
    <row r="74" spans="1:12" ht="14.25" customHeight="1" x14ac:dyDescent="0.2">
      <c r="A74" s="45">
        <v>16</v>
      </c>
      <c r="B74" s="59" t="s">
        <v>253</v>
      </c>
      <c r="C74" s="45"/>
      <c r="D74" s="45"/>
      <c r="E74" s="45"/>
      <c r="F74" s="109"/>
      <c r="G74" s="52"/>
      <c r="H74" s="52"/>
      <c r="I74" s="52">
        <f t="shared" si="15"/>
        <v>0</v>
      </c>
      <c r="J74" s="52">
        <f t="shared" si="19"/>
        <v>0</v>
      </c>
    </row>
    <row r="75" spans="1:12" ht="14.25" customHeight="1" x14ac:dyDescent="0.2">
      <c r="A75" s="45">
        <v>17</v>
      </c>
      <c r="B75" s="59" t="s">
        <v>347</v>
      </c>
      <c r="C75" s="45"/>
      <c r="D75" s="45"/>
      <c r="E75" s="45"/>
      <c r="F75" s="109">
        <v>43200</v>
      </c>
      <c r="G75" s="52">
        <v>43200</v>
      </c>
      <c r="H75" s="52">
        <f>3600+3600+3600+3600+3600+3600+3600+3600</f>
        <v>28800</v>
      </c>
      <c r="I75" s="52">
        <f>G75-H75</f>
        <v>14400</v>
      </c>
      <c r="J75" s="52">
        <f>F75-G75</f>
        <v>0</v>
      </c>
    </row>
    <row r="76" spans="1:12" ht="14.25" customHeight="1" x14ac:dyDescent="0.2">
      <c r="A76" s="45">
        <v>18</v>
      </c>
      <c r="B76" s="59" t="s">
        <v>151</v>
      </c>
      <c r="C76" s="45"/>
      <c r="D76" s="45"/>
      <c r="E76" s="45"/>
      <c r="F76" s="109">
        <v>168000</v>
      </c>
      <c r="G76" s="52">
        <v>168000</v>
      </c>
      <c r="H76" s="52">
        <f>14000+14000+14000+14000+14000+14000+14000+14000</f>
        <v>112000</v>
      </c>
      <c r="I76" s="52">
        <f t="shared" si="15"/>
        <v>56000</v>
      </c>
      <c r="J76" s="52">
        <f t="shared" si="19"/>
        <v>0</v>
      </c>
    </row>
    <row r="77" spans="1:12" ht="14.25" customHeight="1" x14ac:dyDescent="0.2">
      <c r="A77" s="45">
        <v>19</v>
      </c>
      <c r="B77" s="59"/>
      <c r="C77" s="45"/>
      <c r="D77" s="45"/>
      <c r="E77" s="45"/>
      <c r="F77" s="109"/>
      <c r="G77" s="52"/>
      <c r="H77" s="52"/>
      <c r="I77" s="52">
        <f t="shared" si="15"/>
        <v>0</v>
      </c>
      <c r="J77" s="52">
        <f t="shared" si="19"/>
        <v>0</v>
      </c>
    </row>
    <row r="78" spans="1:12" ht="25.5" x14ac:dyDescent="0.2">
      <c r="A78" s="45">
        <v>20</v>
      </c>
      <c r="B78" s="60" t="s">
        <v>256</v>
      </c>
      <c r="C78" s="45"/>
      <c r="D78" s="45"/>
      <c r="E78" s="45"/>
      <c r="F78" s="109">
        <v>14400</v>
      </c>
      <c r="G78" s="52">
        <v>14400</v>
      </c>
      <c r="H78" s="52">
        <f>3600+3600</f>
        <v>7200</v>
      </c>
      <c r="I78" s="52">
        <f t="shared" si="15"/>
        <v>7200</v>
      </c>
      <c r="J78" s="52">
        <f t="shared" ref="J78" si="20">F78-G78</f>
        <v>0</v>
      </c>
    </row>
    <row r="79" spans="1:12" x14ac:dyDescent="0.2">
      <c r="A79" s="46"/>
      <c r="B79" s="47" t="s">
        <v>87</v>
      </c>
      <c r="C79" s="46"/>
      <c r="D79" s="46"/>
      <c r="E79" s="53"/>
      <c r="F79" s="110">
        <f>SUM(F59:F77)</f>
        <v>9722901.0600000005</v>
      </c>
      <c r="G79" s="38">
        <f>SUM(G59:G78)</f>
        <v>5256112.0200000005</v>
      </c>
      <c r="H79" s="38">
        <f>SUM(H59:H77)</f>
        <v>5009357.22</v>
      </c>
      <c r="I79" s="38">
        <f>SUM(I59:I77)</f>
        <v>232354.8</v>
      </c>
      <c r="J79" s="38">
        <f>SUM(J59:J77)</f>
        <v>4481189.04</v>
      </c>
    </row>
    <row r="80" spans="1:12" x14ac:dyDescent="0.2">
      <c r="A80" s="46"/>
      <c r="B80" s="47" t="s">
        <v>88</v>
      </c>
      <c r="C80" s="46"/>
      <c r="D80" s="46"/>
      <c r="E80" s="53"/>
      <c r="F80" s="110">
        <f>F78</f>
        <v>14400</v>
      </c>
      <c r="G80" s="38">
        <f>G78</f>
        <v>14400</v>
      </c>
      <c r="H80" s="38">
        <f t="shared" ref="H80:J80" si="21">H78</f>
        <v>7200</v>
      </c>
      <c r="I80" s="38">
        <f t="shared" si="21"/>
        <v>7200</v>
      </c>
      <c r="J80" s="38">
        <f t="shared" si="21"/>
        <v>0</v>
      </c>
    </row>
    <row r="82" spans="1:10" ht="15.75" x14ac:dyDescent="0.25">
      <c r="A82" s="41" t="s">
        <v>257</v>
      </c>
    </row>
    <row r="84" spans="1:10" ht="25.5" x14ac:dyDescent="0.2">
      <c r="A84" s="43" t="s">
        <v>163</v>
      </c>
      <c r="B84" s="43" t="s">
        <v>46</v>
      </c>
      <c r="C84" s="43"/>
      <c r="D84" s="43"/>
      <c r="E84" s="43"/>
      <c r="F84" s="51" t="s">
        <v>258</v>
      </c>
      <c r="G84" s="54" t="s">
        <v>48</v>
      </c>
      <c r="H84" s="54" t="s">
        <v>49</v>
      </c>
      <c r="I84" s="54" t="s">
        <v>344</v>
      </c>
      <c r="J84" s="54" t="s">
        <v>51</v>
      </c>
    </row>
    <row r="85" spans="1:10" x14ac:dyDescent="0.2">
      <c r="A85" s="45">
        <v>1</v>
      </c>
      <c r="B85" s="59" t="s">
        <v>259</v>
      </c>
      <c r="C85" s="45"/>
      <c r="D85" s="45"/>
      <c r="E85" s="45"/>
      <c r="F85" s="109"/>
      <c r="G85" s="52"/>
      <c r="H85" s="52"/>
      <c r="I85" s="52">
        <f t="shared" ref="I85:I89" si="22">G85-H85</f>
        <v>0</v>
      </c>
      <c r="J85" s="52">
        <f>F85-G85</f>
        <v>0</v>
      </c>
    </row>
    <row r="86" spans="1:10" x14ac:dyDescent="0.2">
      <c r="A86" s="45">
        <v>2</v>
      </c>
      <c r="B86" s="59" t="s">
        <v>85</v>
      </c>
      <c r="C86" s="45"/>
      <c r="D86" s="45"/>
      <c r="E86" s="45"/>
      <c r="F86" s="109"/>
      <c r="G86" s="52"/>
      <c r="H86" s="52"/>
      <c r="I86" s="52">
        <f>G86-H86</f>
        <v>0</v>
      </c>
      <c r="J86" s="52">
        <f t="shared" ref="J86:J89" si="23">F86-G86</f>
        <v>0</v>
      </c>
    </row>
    <row r="87" spans="1:10" x14ac:dyDescent="0.2">
      <c r="A87" s="45">
        <v>3</v>
      </c>
      <c r="B87" s="59" t="s">
        <v>84</v>
      </c>
      <c r="C87" s="45"/>
      <c r="D87" s="45"/>
      <c r="E87" s="45"/>
      <c r="F87" s="109"/>
      <c r="G87" s="52"/>
      <c r="H87" s="52"/>
      <c r="I87" s="52">
        <f t="shared" si="22"/>
        <v>0</v>
      </c>
      <c r="J87" s="52">
        <f t="shared" si="23"/>
        <v>0</v>
      </c>
    </row>
    <row r="88" spans="1:10" x14ac:dyDescent="0.2">
      <c r="A88" s="45">
        <v>4</v>
      </c>
      <c r="B88" s="59" t="s">
        <v>86</v>
      </c>
      <c r="C88" s="45"/>
      <c r="D88" s="45"/>
      <c r="E88" s="45"/>
      <c r="F88" s="109"/>
      <c r="G88" s="52"/>
      <c r="H88" s="52"/>
      <c r="I88" s="52">
        <f t="shared" si="22"/>
        <v>0</v>
      </c>
      <c r="J88" s="52">
        <f t="shared" si="23"/>
        <v>0</v>
      </c>
    </row>
    <row r="89" spans="1:10" x14ac:dyDescent="0.2">
      <c r="A89" s="45">
        <v>5</v>
      </c>
      <c r="B89" s="45" t="s">
        <v>260</v>
      </c>
      <c r="C89" s="45"/>
      <c r="D89" s="45"/>
      <c r="E89" s="45"/>
      <c r="F89" s="109"/>
      <c r="G89" s="52"/>
      <c r="H89" s="52"/>
      <c r="I89" s="52">
        <f t="shared" si="22"/>
        <v>0</v>
      </c>
      <c r="J89" s="52">
        <f t="shared" si="23"/>
        <v>0</v>
      </c>
    </row>
    <row r="90" spans="1:10" x14ac:dyDescent="0.2">
      <c r="A90" s="46"/>
      <c r="B90" s="47" t="s">
        <v>43</v>
      </c>
      <c r="C90" s="46"/>
      <c r="D90" s="46"/>
      <c r="E90" s="53"/>
      <c r="F90" s="110">
        <f>SUM(F85:F89)</f>
        <v>0</v>
      </c>
      <c r="G90" s="38">
        <f>SUM(G85:G89)</f>
        <v>0</v>
      </c>
      <c r="H90" s="38">
        <f>SUM(H85:H89)</f>
        <v>0</v>
      </c>
      <c r="I90" s="38">
        <f>SUM(I85:I89)</f>
        <v>0</v>
      </c>
      <c r="J90" s="38">
        <f>SUM(J85:J89)</f>
        <v>0</v>
      </c>
    </row>
  </sheetData>
  <sortState ref="B34:F53">
    <sortCondition ref="B62:B79"/>
  </sortState>
  <conditionalFormatting sqref="J85:J89 J59:J60 J65:J75 J62:J63">
    <cfRule type="cellIs" dxfId="58" priority="10" operator="lessThan">
      <formula>0</formula>
    </cfRule>
    <cfRule type="cellIs" dxfId="57" priority="11" operator="greaterThan">
      <formula>0</formula>
    </cfRule>
    <cfRule type="cellIs" dxfId="56" priority="12" operator="greaterThan">
      <formula>0</formula>
    </cfRule>
  </conditionalFormatting>
  <conditionalFormatting sqref="J9:J11">
    <cfRule type="cellIs" dxfId="55" priority="25" operator="lessThan">
      <formula>0</formula>
    </cfRule>
    <cfRule type="cellIs" dxfId="54" priority="26" operator="greaterThan">
      <formula>0</formula>
    </cfRule>
    <cfRule type="cellIs" dxfId="53" priority="27" operator="greaterThan">
      <formula>0</formula>
    </cfRule>
  </conditionalFormatting>
  <conditionalFormatting sqref="J20:J21">
    <cfRule type="cellIs" dxfId="52" priority="22" operator="lessThan">
      <formula>0</formula>
    </cfRule>
    <cfRule type="cellIs" dxfId="51" priority="23" operator="greaterThan">
      <formula>0</formula>
    </cfRule>
    <cfRule type="cellIs" dxfId="50" priority="24" operator="greaterThan">
      <formula>0</formula>
    </cfRule>
  </conditionalFormatting>
  <conditionalFormatting sqref="J27:J28">
    <cfRule type="cellIs" dxfId="49" priority="19" operator="lessThan">
      <formula>0</formula>
    </cfRule>
    <cfRule type="cellIs" dxfId="48" priority="20" operator="greaterThan">
      <formula>0</formula>
    </cfRule>
    <cfRule type="cellIs" dxfId="47" priority="21" operator="greaterThan">
      <formula>0</formula>
    </cfRule>
  </conditionalFormatting>
  <conditionalFormatting sqref="J34:J36 J38:J53">
    <cfRule type="cellIs" dxfId="46" priority="16" operator="lessThan">
      <formula>0</formula>
    </cfRule>
    <cfRule type="cellIs" dxfId="45" priority="17" operator="greaterThan">
      <formula>0</formula>
    </cfRule>
    <cfRule type="cellIs" dxfId="44" priority="18" operator="greaterThan">
      <formula>0</formula>
    </cfRule>
  </conditionalFormatting>
  <conditionalFormatting sqref="J76:J78">
    <cfRule type="cellIs" dxfId="43" priority="13" operator="lessThan">
      <formula>0</formula>
    </cfRule>
    <cfRule type="cellIs" dxfId="42" priority="14" operator="greaterThan">
      <formula>0</formula>
    </cfRule>
    <cfRule type="cellIs" dxfId="41" priority="15" operator="greaterThan">
      <formula>0</formula>
    </cfRule>
  </conditionalFormatting>
  <conditionalFormatting sqref="J64">
    <cfRule type="cellIs" dxfId="40" priority="7" operator="lessThan">
      <formula>0</formula>
    </cfRule>
    <cfRule type="cellIs" dxfId="39" priority="8" operator="greaterThan">
      <formula>0</formula>
    </cfRule>
    <cfRule type="cellIs" dxfId="38" priority="9" operator="greaterThan">
      <formula>0</formula>
    </cfRule>
  </conditionalFormatting>
  <conditionalFormatting sqref="J37">
    <cfRule type="cellIs" dxfId="37" priority="4" operator="lessThan">
      <formula>0</formula>
    </cfRule>
    <cfRule type="cellIs" dxfId="36" priority="5" operator="greaterThan">
      <formula>0</formula>
    </cfRule>
    <cfRule type="cellIs" dxfId="35" priority="6" operator="greaterThan">
      <formula>0</formula>
    </cfRule>
  </conditionalFormatting>
  <conditionalFormatting sqref="J61">
    <cfRule type="cellIs" dxfId="34" priority="1" operator="lessThan">
      <formula>0</formula>
    </cfRule>
    <cfRule type="cellIs" dxfId="33" priority="2" operator="greaterThan">
      <formula>0</formula>
    </cfRule>
    <cfRule type="cellIs" dxfId="32" priority="3" operator="greaterThan">
      <formula>0</formula>
    </cfRule>
  </conditionalFormatting>
  <pageMargins left="0.7" right="0.7" top="0.75" bottom="0.75" header="0.3" footer="0.3"/>
  <pageSetup paperSize="9" scale="79" orientation="portrait" verticalDpi="0" r:id="rId1"/>
  <rowBreaks count="1" manualBreakCount="1">
    <brk id="55" max="5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8"/>
  </sheetPr>
  <dimension ref="A2:I87"/>
  <sheetViews>
    <sheetView tabSelected="1" view="pageBreakPreview" topLeftCell="A61" zoomScaleNormal="100" zoomScaleSheetLayoutView="100" workbookViewId="0">
      <selection activeCell="D88" sqref="D88"/>
    </sheetView>
  </sheetViews>
  <sheetFormatPr defaultRowHeight="12.75" x14ac:dyDescent="0.2"/>
  <cols>
    <col min="1" max="1" width="5.5703125" style="40" customWidth="1"/>
    <col min="2" max="2" width="54.28515625" style="40" customWidth="1"/>
    <col min="3" max="3" width="12.7109375" style="40" customWidth="1"/>
    <col min="4" max="4" width="13.7109375" style="40" customWidth="1"/>
    <col min="5" max="5" width="20.7109375" style="40" customWidth="1"/>
    <col min="6" max="9" width="21.140625" style="40" customWidth="1"/>
    <col min="10" max="16384" width="9.140625" style="40"/>
  </cols>
  <sheetData>
    <row r="2" spans="1:9" ht="15.75" x14ac:dyDescent="0.25">
      <c r="A2" s="41" t="s">
        <v>261</v>
      </c>
    </row>
    <row r="3" spans="1:9" ht="7.5" customHeight="1" x14ac:dyDescent="0.2"/>
    <row r="4" spans="1:9" ht="25.5" x14ac:dyDescent="0.2">
      <c r="A4" s="43" t="s">
        <v>163</v>
      </c>
      <c r="B4" s="43" t="s">
        <v>46</v>
      </c>
      <c r="C4" s="43" t="s">
        <v>47</v>
      </c>
      <c r="D4" s="43" t="s">
        <v>266</v>
      </c>
      <c r="E4" s="51" t="s">
        <v>267</v>
      </c>
      <c r="F4" s="54" t="s">
        <v>48</v>
      </c>
      <c r="G4" s="54" t="s">
        <v>49</v>
      </c>
      <c r="H4" s="54" t="s">
        <v>60</v>
      </c>
      <c r="I4" s="54" t="s">
        <v>51</v>
      </c>
    </row>
    <row r="5" spans="1:9" ht="14.25" customHeight="1" x14ac:dyDescent="0.2">
      <c r="A5" s="45">
        <v>1</v>
      </c>
      <c r="B5" s="56" t="s">
        <v>263</v>
      </c>
      <c r="C5" s="45"/>
      <c r="D5" s="45"/>
      <c r="E5" s="52">
        <f>1354000-84292.57-11500-14400-61803.5-61598-7700</f>
        <v>1112705.93</v>
      </c>
      <c r="F5" s="52">
        <f>7840.8+885552.25</f>
        <v>893393.05</v>
      </c>
      <c r="G5" s="52">
        <f>7840.8+885552.25</f>
        <v>893393.05</v>
      </c>
      <c r="H5" s="52">
        <f>F5-G5</f>
        <v>0</v>
      </c>
      <c r="I5" s="52">
        <f>E5-F5</f>
        <v>219312.87999999989</v>
      </c>
    </row>
    <row r="6" spans="1:9" ht="14.25" customHeight="1" x14ac:dyDescent="0.2">
      <c r="A6" s="45">
        <v>2</v>
      </c>
      <c r="B6" s="56" t="s">
        <v>339</v>
      </c>
      <c r="C6" s="45"/>
      <c r="D6" s="45"/>
      <c r="E6" s="52">
        <f>52607.43+84292.57+7900</f>
        <v>144800</v>
      </c>
      <c r="F6" s="52">
        <v>144800</v>
      </c>
      <c r="G6" s="52">
        <v>144800</v>
      </c>
      <c r="H6" s="52">
        <f t="shared" ref="H6:H10" si="0">F6-G6</f>
        <v>0</v>
      </c>
      <c r="I6" s="52">
        <f t="shared" ref="I6:I10" si="1">E6-F6</f>
        <v>0</v>
      </c>
    </row>
    <row r="7" spans="1:9" ht="14.25" customHeight="1" x14ac:dyDescent="0.2">
      <c r="A7" s="45">
        <v>3</v>
      </c>
      <c r="B7" s="56" t="s">
        <v>368</v>
      </c>
      <c r="C7" s="45"/>
      <c r="D7" s="45"/>
      <c r="E7" s="52">
        <v>61598</v>
      </c>
      <c r="F7" s="52">
        <v>61598</v>
      </c>
      <c r="G7" s="52">
        <v>61598</v>
      </c>
      <c r="H7" s="52">
        <f t="shared" ref="H7" si="2">F7-G7</f>
        <v>0</v>
      </c>
      <c r="I7" s="52">
        <f t="shared" ref="I7" si="3">E7-F7</f>
        <v>0</v>
      </c>
    </row>
    <row r="8" spans="1:9" ht="14.25" customHeight="1" x14ac:dyDescent="0.2">
      <c r="A8" s="45">
        <v>4</v>
      </c>
      <c r="B8" s="56" t="s">
        <v>373</v>
      </c>
      <c r="C8" s="45"/>
      <c r="D8" s="45"/>
      <c r="E8" s="52">
        <v>7700</v>
      </c>
      <c r="F8" s="52">
        <v>7700</v>
      </c>
      <c r="G8" s="52">
        <v>7700</v>
      </c>
      <c r="H8" s="52">
        <f t="shared" ref="H8:H9" si="4">F8-G8</f>
        <v>0</v>
      </c>
      <c r="I8" s="52">
        <f t="shared" ref="I8:I9" si="5">E8-F8</f>
        <v>0</v>
      </c>
    </row>
    <row r="9" spans="1:9" ht="14.25" customHeight="1" x14ac:dyDescent="0.2">
      <c r="A9" s="45">
        <v>5</v>
      </c>
      <c r="B9" s="45" t="s">
        <v>367</v>
      </c>
      <c r="C9" s="45"/>
      <c r="D9" s="45"/>
      <c r="E9" s="52">
        <v>16060</v>
      </c>
      <c r="F9" s="52">
        <v>16060</v>
      </c>
      <c r="G9" s="52">
        <v>16060</v>
      </c>
      <c r="H9" s="52">
        <f t="shared" si="4"/>
        <v>0</v>
      </c>
      <c r="I9" s="52">
        <f t="shared" si="5"/>
        <v>0</v>
      </c>
    </row>
    <row r="10" spans="1:9" ht="14.25" customHeight="1" x14ac:dyDescent="0.2">
      <c r="A10" s="45"/>
      <c r="B10" s="45"/>
      <c r="C10" s="45"/>
      <c r="D10" s="45"/>
      <c r="E10" s="52"/>
      <c r="F10" s="52"/>
      <c r="G10" s="52"/>
      <c r="H10" s="52">
        <f t="shared" si="0"/>
        <v>0</v>
      </c>
      <c r="I10" s="52">
        <f t="shared" si="1"/>
        <v>0</v>
      </c>
    </row>
    <row r="11" spans="1:9" x14ac:dyDescent="0.2">
      <c r="A11" s="46"/>
      <c r="B11" s="47" t="s">
        <v>87</v>
      </c>
      <c r="C11" s="46"/>
      <c r="D11" s="46"/>
      <c r="E11" s="53">
        <f>SUM(E9:E10)</f>
        <v>16060</v>
      </c>
      <c r="F11" s="38">
        <f>SUM(F9:F10)</f>
        <v>16060</v>
      </c>
      <c r="G11" s="38">
        <f>SUM(G9:G10)</f>
        <v>16060</v>
      </c>
      <c r="H11" s="38">
        <f>SUM(H9:H10)</f>
        <v>0</v>
      </c>
      <c r="I11" s="38">
        <f>SUM(I9:I10)</f>
        <v>0</v>
      </c>
    </row>
    <row r="12" spans="1:9" x14ac:dyDescent="0.2">
      <c r="A12" s="46"/>
      <c r="B12" s="47" t="s">
        <v>88</v>
      </c>
      <c r="C12" s="46"/>
      <c r="D12" s="46"/>
      <c r="E12" s="53">
        <f>SUM(E5:E8)</f>
        <v>1326803.93</v>
      </c>
      <c r="F12" s="38">
        <f>SUM(F5:F7)</f>
        <v>1099791.05</v>
      </c>
      <c r="G12" s="38">
        <f t="shared" ref="G12:I12" si="6">SUM(G5:G7)</f>
        <v>1099791.05</v>
      </c>
      <c r="H12" s="38">
        <f t="shared" si="6"/>
        <v>0</v>
      </c>
      <c r="I12" s="38">
        <f t="shared" si="6"/>
        <v>219312.87999999989</v>
      </c>
    </row>
    <row r="14" spans="1:9" ht="15.75" x14ac:dyDescent="0.25">
      <c r="A14" s="41" t="s">
        <v>264</v>
      </c>
    </row>
    <row r="15" spans="1:9" ht="15.75" x14ac:dyDescent="0.25">
      <c r="A15" s="41" t="s">
        <v>360</v>
      </c>
      <c r="F15" s="17">
        <v>341</v>
      </c>
    </row>
    <row r="16" spans="1:9" ht="7.5" customHeight="1" x14ac:dyDescent="0.2"/>
    <row r="17" spans="1:9" ht="25.5" x14ac:dyDescent="0.2">
      <c r="A17" s="43" t="s">
        <v>163</v>
      </c>
      <c r="B17" s="43" t="s">
        <v>46</v>
      </c>
      <c r="C17" s="43" t="s">
        <v>47</v>
      </c>
      <c r="D17" s="43" t="s">
        <v>266</v>
      </c>
      <c r="E17" s="51" t="s">
        <v>267</v>
      </c>
      <c r="F17" s="54" t="s">
        <v>48</v>
      </c>
      <c r="G17" s="54" t="s">
        <v>49</v>
      </c>
      <c r="H17" s="54" t="s">
        <v>60</v>
      </c>
      <c r="I17" s="54" t="s">
        <v>51</v>
      </c>
    </row>
    <row r="18" spans="1:9" ht="14.25" customHeight="1" x14ac:dyDescent="0.2">
      <c r="A18" s="45">
        <v>1</v>
      </c>
      <c r="B18" s="45" t="s">
        <v>265</v>
      </c>
      <c r="C18" s="45"/>
      <c r="D18" s="45"/>
      <c r="E18" s="52"/>
      <c r="F18" s="52"/>
      <c r="G18" s="52"/>
      <c r="H18" s="52">
        <f t="shared" ref="H18:H19" si="7">F18-G18</f>
        <v>0</v>
      </c>
      <c r="I18" s="52">
        <f>E18-F18</f>
        <v>0</v>
      </c>
    </row>
    <row r="19" spans="1:9" ht="14.25" customHeight="1" x14ac:dyDescent="0.2">
      <c r="A19" s="45"/>
      <c r="B19" s="45"/>
      <c r="C19" s="45"/>
      <c r="D19" s="45"/>
      <c r="E19" s="52"/>
      <c r="F19" s="52"/>
      <c r="G19" s="52"/>
      <c r="H19" s="52">
        <f t="shared" si="7"/>
        <v>0</v>
      </c>
      <c r="I19" s="52">
        <f>E19-F19</f>
        <v>0</v>
      </c>
    </row>
    <row r="20" spans="1:9" x14ac:dyDescent="0.2">
      <c r="A20" s="46"/>
      <c r="B20" s="47" t="s">
        <v>87</v>
      </c>
      <c r="C20" s="46"/>
      <c r="D20" s="46"/>
      <c r="E20" s="53">
        <f>SUM(E18:E19)</f>
        <v>0</v>
      </c>
      <c r="F20" s="38">
        <f>SUM(F18:F19)</f>
        <v>0</v>
      </c>
      <c r="G20" s="38">
        <f t="shared" ref="G20:I20" si="8">SUM(G18:G19)</f>
        <v>0</v>
      </c>
      <c r="H20" s="38">
        <f t="shared" si="8"/>
        <v>0</v>
      </c>
      <c r="I20" s="38">
        <f t="shared" si="8"/>
        <v>0</v>
      </c>
    </row>
    <row r="22" spans="1:9" ht="15.75" x14ac:dyDescent="0.25">
      <c r="A22" s="41" t="s">
        <v>361</v>
      </c>
      <c r="F22" s="17">
        <v>342</v>
      </c>
    </row>
    <row r="23" spans="1:9" ht="7.5" customHeight="1" x14ac:dyDescent="0.2"/>
    <row r="24" spans="1:9" ht="25.5" x14ac:dyDescent="0.2">
      <c r="A24" s="43" t="s">
        <v>163</v>
      </c>
      <c r="B24" s="43" t="s">
        <v>46</v>
      </c>
      <c r="C24" s="43" t="s">
        <v>47</v>
      </c>
      <c r="D24" s="43" t="s">
        <v>266</v>
      </c>
      <c r="E24" s="51" t="s">
        <v>267</v>
      </c>
      <c r="F24" s="54" t="s">
        <v>48</v>
      </c>
      <c r="G24" s="54" t="s">
        <v>49</v>
      </c>
      <c r="H24" s="54" t="s">
        <v>60</v>
      </c>
      <c r="I24" s="54" t="s">
        <v>51</v>
      </c>
    </row>
    <row r="25" spans="1:9" ht="14.25" customHeight="1" x14ac:dyDescent="0.2">
      <c r="A25" s="45">
        <v>1</v>
      </c>
      <c r="B25" s="45" t="s">
        <v>268</v>
      </c>
      <c r="C25" s="45"/>
      <c r="D25" s="45"/>
      <c r="E25" s="52"/>
      <c r="F25" s="52"/>
      <c r="G25" s="52"/>
      <c r="H25" s="52">
        <f t="shared" ref="H25:H26" si="9">F25-G25</f>
        <v>0</v>
      </c>
      <c r="I25" s="52">
        <f>E25-F25</f>
        <v>0</v>
      </c>
    </row>
    <row r="26" spans="1:9" ht="14.25" customHeight="1" x14ac:dyDescent="0.2">
      <c r="A26" s="45"/>
      <c r="B26" s="45"/>
      <c r="C26" s="45"/>
      <c r="D26" s="45"/>
      <c r="E26" s="52"/>
      <c r="F26" s="52"/>
      <c r="G26" s="52"/>
      <c r="H26" s="52">
        <f t="shared" si="9"/>
        <v>0</v>
      </c>
      <c r="I26" s="52">
        <f>E26-F26</f>
        <v>0</v>
      </c>
    </row>
    <row r="27" spans="1:9" x14ac:dyDescent="0.2">
      <c r="A27" s="46"/>
      <c r="B27" s="47" t="s">
        <v>87</v>
      </c>
      <c r="C27" s="46"/>
      <c r="D27" s="46"/>
      <c r="E27" s="53">
        <f>SUM(E25:E26)</f>
        <v>0</v>
      </c>
      <c r="F27" s="38">
        <f>SUM(F25:F26)</f>
        <v>0</v>
      </c>
      <c r="G27" s="38">
        <f t="shared" ref="G27" si="10">SUM(G25:G26)</f>
        <v>0</v>
      </c>
      <c r="H27" s="38">
        <f t="shared" ref="H27" si="11">SUM(H25:H26)</f>
        <v>0</v>
      </c>
      <c r="I27" s="38">
        <f t="shared" ref="I27" si="12">SUM(I25:I26)</f>
        <v>0</v>
      </c>
    </row>
    <row r="29" spans="1:9" ht="15.75" x14ac:dyDescent="0.25">
      <c r="A29" s="41" t="s">
        <v>362</v>
      </c>
      <c r="F29" s="17">
        <v>343</v>
      </c>
    </row>
    <row r="30" spans="1:9" ht="7.5" customHeight="1" x14ac:dyDescent="0.2"/>
    <row r="31" spans="1:9" ht="25.5" x14ac:dyDescent="0.2">
      <c r="A31" s="43" t="s">
        <v>163</v>
      </c>
      <c r="B31" s="43" t="s">
        <v>46</v>
      </c>
      <c r="C31" s="43" t="s">
        <v>47</v>
      </c>
      <c r="D31" s="43" t="s">
        <v>266</v>
      </c>
      <c r="E31" s="51" t="s">
        <v>267</v>
      </c>
      <c r="F31" s="54" t="s">
        <v>48</v>
      </c>
      <c r="G31" s="54" t="s">
        <v>49</v>
      </c>
      <c r="H31" s="54" t="s">
        <v>60</v>
      </c>
      <c r="I31" s="54" t="s">
        <v>51</v>
      </c>
    </row>
    <row r="32" spans="1:9" ht="14.25" customHeight="1" x14ac:dyDescent="0.2">
      <c r="A32" s="45">
        <v>1</v>
      </c>
      <c r="B32" s="45" t="s">
        <v>149</v>
      </c>
      <c r="C32" s="45"/>
      <c r="D32" s="45"/>
      <c r="E32" s="52"/>
      <c r="F32" s="52"/>
      <c r="G32" s="52"/>
      <c r="H32" s="52">
        <f t="shared" ref="H32:H34" si="13">F32-G32</f>
        <v>0</v>
      </c>
      <c r="I32" s="52">
        <f>E32-F32</f>
        <v>0</v>
      </c>
    </row>
    <row r="33" spans="1:9" ht="14.25" customHeight="1" x14ac:dyDescent="0.2">
      <c r="A33" s="45">
        <v>2</v>
      </c>
      <c r="B33" s="45" t="s">
        <v>152</v>
      </c>
      <c r="C33" s="45"/>
      <c r="D33" s="45"/>
      <c r="E33" s="52">
        <f>14300-2500-11800</f>
        <v>0</v>
      </c>
      <c r="F33" s="52"/>
      <c r="G33" s="52"/>
      <c r="H33" s="52">
        <f t="shared" si="13"/>
        <v>0</v>
      </c>
      <c r="I33" s="52">
        <f t="shared" ref="I33:I34" si="14">E33-F33</f>
        <v>0</v>
      </c>
    </row>
    <row r="34" spans="1:9" ht="14.25" customHeight="1" x14ac:dyDescent="0.2">
      <c r="A34" s="45">
        <v>3</v>
      </c>
      <c r="B34" s="45" t="s">
        <v>89</v>
      </c>
      <c r="C34" s="45"/>
      <c r="D34" s="45"/>
      <c r="E34" s="52"/>
      <c r="F34" s="52"/>
      <c r="G34" s="52"/>
      <c r="H34" s="52">
        <f t="shared" si="13"/>
        <v>0</v>
      </c>
      <c r="I34" s="52">
        <f t="shared" si="14"/>
        <v>0</v>
      </c>
    </row>
    <row r="35" spans="1:9" x14ac:dyDescent="0.2">
      <c r="A35" s="46"/>
      <c r="B35" s="47" t="s">
        <v>87</v>
      </c>
      <c r="C35" s="46"/>
      <c r="D35" s="46"/>
      <c r="E35" s="53">
        <f>SUM(E32:E34)</f>
        <v>0</v>
      </c>
      <c r="F35" s="38">
        <f>SUM(F32:F34)</f>
        <v>0</v>
      </c>
      <c r="G35" s="38">
        <f>SUM(G32:G34)</f>
        <v>0</v>
      </c>
      <c r="H35" s="38">
        <f>SUM(H32:H34)</f>
        <v>0</v>
      </c>
      <c r="I35" s="38">
        <f>SUM(I32:I34)</f>
        <v>0</v>
      </c>
    </row>
    <row r="37" spans="1:9" ht="15.75" x14ac:dyDescent="0.25">
      <c r="A37" s="41" t="s">
        <v>364</v>
      </c>
      <c r="F37" s="40">
        <v>344</v>
      </c>
    </row>
    <row r="38" spans="1:9" ht="7.5" customHeight="1" x14ac:dyDescent="0.2"/>
    <row r="39" spans="1:9" ht="25.5" x14ac:dyDescent="0.2">
      <c r="A39" s="43" t="s">
        <v>163</v>
      </c>
      <c r="B39" s="43" t="s">
        <v>46</v>
      </c>
      <c r="C39" s="43" t="s">
        <v>47</v>
      </c>
      <c r="D39" s="43" t="s">
        <v>266</v>
      </c>
      <c r="E39" s="51" t="s">
        <v>267</v>
      </c>
      <c r="F39" s="54" t="s">
        <v>48</v>
      </c>
      <c r="G39" s="54" t="s">
        <v>49</v>
      </c>
      <c r="H39" s="54" t="s">
        <v>60</v>
      </c>
      <c r="I39" s="54" t="s">
        <v>51</v>
      </c>
    </row>
    <row r="40" spans="1:9" x14ac:dyDescent="0.2">
      <c r="A40" s="45">
        <v>1</v>
      </c>
      <c r="B40" s="45" t="s">
        <v>90</v>
      </c>
      <c r="C40" s="45"/>
      <c r="D40" s="45"/>
      <c r="E40" s="52">
        <f>97236-1146.36+110195.71+19375.29</f>
        <v>225660.64</v>
      </c>
      <c r="F40" s="52">
        <f>37600+58489.64+67801+61770</f>
        <v>225660.64</v>
      </c>
      <c r="G40" s="52">
        <f>37600+58489.64+67801+61770</f>
        <v>225660.64</v>
      </c>
      <c r="H40" s="52">
        <f t="shared" ref="H40" si="15">F40-G40</f>
        <v>0</v>
      </c>
      <c r="I40" s="52">
        <f>E40-F40</f>
        <v>0</v>
      </c>
    </row>
    <row r="41" spans="1:9" x14ac:dyDescent="0.2">
      <c r="A41" s="45"/>
      <c r="B41" s="45"/>
      <c r="C41" s="45"/>
      <c r="D41" s="45"/>
      <c r="E41" s="52"/>
      <c r="F41" s="52"/>
      <c r="G41" s="52"/>
      <c r="H41" s="52">
        <f t="shared" ref="H41:H43" si="16">F41-G41</f>
        <v>0</v>
      </c>
      <c r="I41" s="52">
        <f t="shared" ref="I41:I43" si="17">E41-F41</f>
        <v>0</v>
      </c>
    </row>
    <row r="42" spans="1:9" x14ac:dyDescent="0.2">
      <c r="A42" s="45"/>
      <c r="B42" s="45"/>
      <c r="C42" s="45"/>
      <c r="D42" s="45"/>
      <c r="E42" s="52"/>
      <c r="F42" s="52"/>
      <c r="G42" s="52"/>
      <c r="H42" s="52">
        <f t="shared" si="16"/>
        <v>0</v>
      </c>
      <c r="I42" s="52">
        <f t="shared" si="17"/>
        <v>0</v>
      </c>
    </row>
    <row r="43" spans="1:9" x14ac:dyDescent="0.2">
      <c r="A43" s="45"/>
      <c r="B43" s="56" t="s">
        <v>340</v>
      </c>
      <c r="C43" s="45"/>
      <c r="D43" s="45"/>
      <c r="E43" s="52">
        <v>3600</v>
      </c>
      <c r="F43" s="52">
        <v>3600</v>
      </c>
      <c r="G43" s="52">
        <v>3600</v>
      </c>
      <c r="H43" s="52">
        <f t="shared" si="16"/>
        <v>0</v>
      </c>
      <c r="I43" s="52">
        <f t="shared" si="17"/>
        <v>0</v>
      </c>
    </row>
    <row r="44" spans="1:9" x14ac:dyDescent="0.2">
      <c r="A44" s="46"/>
      <c r="B44" s="47" t="s">
        <v>87</v>
      </c>
      <c r="C44" s="46"/>
      <c r="D44" s="46"/>
      <c r="E44" s="53">
        <f>SUM(E40:E41)</f>
        <v>225660.64</v>
      </c>
      <c r="F44" s="38">
        <f>SUM(F40:F41)</f>
        <v>225660.64</v>
      </c>
      <c r="G44" s="38">
        <f t="shared" ref="G44:I44" si="18">SUM(G40:G41)</f>
        <v>225660.64</v>
      </c>
      <c r="H44" s="38">
        <f t="shared" si="18"/>
        <v>0</v>
      </c>
      <c r="I44" s="38">
        <f t="shared" si="18"/>
        <v>0</v>
      </c>
    </row>
    <row r="45" spans="1:9" x14ac:dyDescent="0.2">
      <c r="A45" s="46"/>
      <c r="B45" s="47" t="s">
        <v>88</v>
      </c>
      <c r="C45" s="46"/>
      <c r="D45" s="46"/>
      <c r="E45" s="53">
        <f>E43</f>
        <v>3600</v>
      </c>
      <c r="F45" s="38">
        <f>SUM(F43)</f>
        <v>3600</v>
      </c>
      <c r="G45" s="38">
        <f t="shared" ref="G45:I45" si="19">SUM(G43)</f>
        <v>3600</v>
      </c>
      <c r="H45" s="38">
        <f t="shared" si="19"/>
        <v>0</v>
      </c>
      <c r="I45" s="38">
        <f t="shared" si="19"/>
        <v>0</v>
      </c>
    </row>
    <row r="47" spans="1:9" ht="15.75" x14ac:dyDescent="0.25">
      <c r="A47" s="41" t="s">
        <v>363</v>
      </c>
      <c r="F47" s="17">
        <v>345</v>
      </c>
    </row>
    <row r="48" spans="1:9" ht="7.5" customHeight="1" x14ac:dyDescent="0.2"/>
    <row r="49" spans="1:9" ht="25.5" x14ac:dyDescent="0.2">
      <c r="A49" s="43" t="s">
        <v>163</v>
      </c>
      <c r="B49" s="43" t="s">
        <v>46</v>
      </c>
      <c r="C49" s="43" t="s">
        <v>47</v>
      </c>
      <c r="D49" s="43" t="s">
        <v>266</v>
      </c>
      <c r="E49" s="51" t="s">
        <v>267</v>
      </c>
      <c r="F49" s="54" t="s">
        <v>48</v>
      </c>
      <c r="G49" s="54" t="s">
        <v>49</v>
      </c>
      <c r="H49" s="54" t="s">
        <v>60</v>
      </c>
      <c r="I49" s="54" t="s">
        <v>51</v>
      </c>
    </row>
    <row r="50" spans="1:9" x14ac:dyDescent="0.2">
      <c r="A50" s="45">
        <v>1</v>
      </c>
      <c r="B50" s="45" t="s">
        <v>269</v>
      </c>
      <c r="C50" s="45"/>
      <c r="D50" s="45"/>
      <c r="E50" s="52"/>
      <c r="F50" s="52"/>
      <c r="G50" s="52"/>
      <c r="H50" s="52">
        <f t="shared" ref="H50:H51" si="20">F50-G50</f>
        <v>0</v>
      </c>
      <c r="I50" s="52">
        <f>E50-F50</f>
        <v>0</v>
      </c>
    </row>
    <row r="51" spans="1:9" x14ac:dyDescent="0.2">
      <c r="A51" s="45"/>
      <c r="B51" s="45"/>
      <c r="C51" s="45"/>
      <c r="D51" s="45"/>
      <c r="E51" s="52"/>
      <c r="F51" s="52"/>
      <c r="G51" s="52"/>
      <c r="H51" s="52">
        <f t="shared" si="20"/>
        <v>0</v>
      </c>
      <c r="I51" s="52">
        <f t="shared" ref="I51" si="21">E51-F51</f>
        <v>0</v>
      </c>
    </row>
    <row r="52" spans="1:9" x14ac:dyDescent="0.2">
      <c r="A52" s="46"/>
      <c r="B52" s="47" t="s">
        <v>87</v>
      </c>
      <c r="C52" s="46"/>
      <c r="D52" s="46"/>
      <c r="E52" s="53">
        <f>SUM(E50:E51)</f>
        <v>0</v>
      </c>
      <c r="F52" s="38">
        <f>SUM(F50:F51)</f>
        <v>0</v>
      </c>
      <c r="G52" s="38">
        <f>SUM(G50:G51)</f>
        <v>0</v>
      </c>
      <c r="H52" s="38">
        <f>SUM(H50:H51)</f>
        <v>0</v>
      </c>
      <c r="I52" s="38">
        <f>SUM(I50:I51)</f>
        <v>0</v>
      </c>
    </row>
    <row r="54" spans="1:9" ht="15.75" x14ac:dyDescent="0.25">
      <c r="A54" s="41" t="s">
        <v>332</v>
      </c>
    </row>
    <row r="55" spans="1:9" ht="15.75" x14ac:dyDescent="0.25">
      <c r="A55" s="41" t="s">
        <v>365</v>
      </c>
      <c r="F55" s="17">
        <v>346</v>
      </c>
    </row>
    <row r="56" spans="1:9" ht="7.5" customHeight="1" x14ac:dyDescent="0.2"/>
    <row r="57" spans="1:9" ht="25.5" x14ac:dyDescent="0.2">
      <c r="A57" s="43" t="s">
        <v>163</v>
      </c>
      <c r="B57" s="43" t="s">
        <v>46</v>
      </c>
      <c r="C57" s="43" t="s">
        <v>47</v>
      </c>
      <c r="D57" s="43" t="s">
        <v>266</v>
      </c>
      <c r="E57" s="51" t="s">
        <v>267</v>
      </c>
      <c r="F57" s="54" t="s">
        <v>48</v>
      </c>
      <c r="G57" s="54" t="s">
        <v>49</v>
      </c>
      <c r="H57" s="54" t="s">
        <v>60</v>
      </c>
      <c r="I57" s="54" t="s">
        <v>51</v>
      </c>
    </row>
    <row r="58" spans="1:9" ht="14.25" customHeight="1" x14ac:dyDescent="0.2">
      <c r="A58" s="45">
        <v>1</v>
      </c>
      <c r="B58" s="45" t="s">
        <v>312</v>
      </c>
      <c r="C58" s="45"/>
      <c r="D58" s="45"/>
      <c r="E58" s="52">
        <f>48450+39000</f>
        <v>87450</v>
      </c>
      <c r="F58" s="52">
        <f>48450+39000</f>
        <v>87450</v>
      </c>
      <c r="G58" s="52">
        <f>48450+39000</f>
        <v>87450</v>
      </c>
      <c r="H58" s="52">
        <f t="shared" ref="H58:H61" si="22">F58-G58</f>
        <v>0</v>
      </c>
      <c r="I58" s="52">
        <f>E58-F58</f>
        <v>0</v>
      </c>
    </row>
    <row r="59" spans="1:9" ht="14.25" customHeight="1" x14ac:dyDescent="0.2">
      <c r="A59" s="45">
        <v>2</v>
      </c>
      <c r="B59" s="45" t="s">
        <v>369</v>
      </c>
      <c r="C59" s="45"/>
      <c r="D59" s="45"/>
      <c r="E59" s="52">
        <v>11198</v>
      </c>
      <c r="F59" s="52">
        <v>11198</v>
      </c>
      <c r="G59" s="52">
        <v>11198</v>
      </c>
      <c r="H59" s="52">
        <f t="shared" ref="H59:H60" si="23">F59-G59</f>
        <v>0</v>
      </c>
      <c r="I59" s="52">
        <f t="shared" ref="I59:I60" si="24">E59-F59</f>
        <v>0</v>
      </c>
    </row>
    <row r="60" spans="1:9" ht="14.25" customHeight="1" x14ac:dyDescent="0.2">
      <c r="A60" s="45">
        <v>3</v>
      </c>
      <c r="B60" s="45" t="s">
        <v>270</v>
      </c>
      <c r="C60" s="45"/>
      <c r="D60" s="45"/>
      <c r="E60" s="52">
        <f>61600-33523.22</f>
        <v>28076.78</v>
      </c>
      <c r="F60" s="52">
        <v>28076.78</v>
      </c>
      <c r="G60" s="52">
        <v>28076.78</v>
      </c>
      <c r="H60" s="52">
        <f t="shared" si="23"/>
        <v>0</v>
      </c>
      <c r="I60" s="52">
        <f t="shared" si="24"/>
        <v>0</v>
      </c>
    </row>
    <row r="61" spans="1:9" ht="14.25" customHeight="1" x14ac:dyDescent="0.2">
      <c r="A61" s="45">
        <v>4</v>
      </c>
      <c r="B61" s="45" t="s">
        <v>313</v>
      </c>
      <c r="C61" s="45"/>
      <c r="D61" s="45"/>
      <c r="E61" s="52"/>
      <c r="F61" s="52"/>
      <c r="G61" s="52"/>
      <c r="H61" s="52">
        <f t="shared" si="22"/>
        <v>0</v>
      </c>
      <c r="I61" s="52">
        <f t="shared" ref="I61" si="25">E61-F61</f>
        <v>0</v>
      </c>
    </row>
    <row r="62" spans="1:9" ht="14.25" customHeight="1" x14ac:dyDescent="0.2">
      <c r="A62" s="45"/>
      <c r="B62" s="45"/>
      <c r="C62" s="45"/>
      <c r="D62" s="45"/>
      <c r="E62" s="52"/>
      <c r="F62" s="38"/>
      <c r="G62" s="38"/>
      <c r="H62" s="38"/>
      <c r="I62" s="38"/>
    </row>
    <row r="63" spans="1:9" x14ac:dyDescent="0.2">
      <c r="A63" s="46"/>
      <c r="B63" s="47" t="s">
        <v>87</v>
      </c>
      <c r="C63" s="46"/>
      <c r="D63" s="46"/>
      <c r="E63" s="53">
        <f>SUM(E58:E62)</f>
        <v>126724.78</v>
      </c>
      <c r="F63" s="38">
        <f>SUM(F58:F62)</f>
        <v>126724.78</v>
      </c>
      <c r="G63" s="38">
        <f>SUM(G58:G62)</f>
        <v>126724.78</v>
      </c>
      <c r="H63" s="38">
        <f>SUM(H58:H62)</f>
        <v>0</v>
      </c>
      <c r="I63" s="38">
        <f>SUM(I58:I62)</f>
        <v>0</v>
      </c>
    </row>
    <row r="65" spans="1:9" ht="15.75" x14ac:dyDescent="0.25">
      <c r="A65" s="41" t="s">
        <v>271</v>
      </c>
    </row>
    <row r="66" spans="1:9" ht="15.75" x14ac:dyDescent="0.25">
      <c r="A66" s="41" t="s">
        <v>366</v>
      </c>
      <c r="F66" s="17">
        <v>349</v>
      </c>
    </row>
    <row r="68" spans="1:9" ht="25.5" x14ac:dyDescent="0.2">
      <c r="A68" s="43" t="s">
        <v>163</v>
      </c>
      <c r="B68" s="43" t="s">
        <v>46</v>
      </c>
      <c r="C68" s="43" t="s">
        <v>47</v>
      </c>
      <c r="D68" s="43" t="s">
        <v>266</v>
      </c>
      <c r="E68" s="51" t="s">
        <v>267</v>
      </c>
      <c r="F68" s="54" t="s">
        <v>48</v>
      </c>
      <c r="G68" s="54" t="s">
        <v>49</v>
      </c>
      <c r="H68" s="54" t="s">
        <v>60</v>
      </c>
      <c r="I68" s="54" t="s">
        <v>51</v>
      </c>
    </row>
    <row r="69" spans="1:9" x14ac:dyDescent="0.2">
      <c r="A69" s="45">
        <v>1</v>
      </c>
      <c r="B69" s="45" t="s">
        <v>273</v>
      </c>
      <c r="C69" s="45"/>
      <c r="D69" s="45"/>
      <c r="E69" s="52"/>
      <c r="F69" s="52"/>
      <c r="G69" s="52"/>
      <c r="H69" s="52">
        <f t="shared" ref="H69:H73" si="26">F69-G69</f>
        <v>0</v>
      </c>
      <c r="I69" s="52">
        <f>E69-F69</f>
        <v>0</v>
      </c>
    </row>
    <row r="70" spans="1:9" x14ac:dyDescent="0.2">
      <c r="A70" s="45">
        <v>2</v>
      </c>
      <c r="B70" s="45" t="s">
        <v>274</v>
      </c>
      <c r="C70" s="45"/>
      <c r="D70" s="45"/>
      <c r="E70" s="52"/>
      <c r="F70" s="52"/>
      <c r="G70" s="52"/>
      <c r="H70" s="52">
        <f t="shared" si="26"/>
        <v>0</v>
      </c>
      <c r="I70" s="52">
        <f t="shared" ref="I70:I73" si="27">E70-F70</f>
        <v>0</v>
      </c>
    </row>
    <row r="71" spans="1:9" x14ac:dyDescent="0.2">
      <c r="A71" s="45">
        <v>3</v>
      </c>
      <c r="B71" s="45" t="s">
        <v>272</v>
      </c>
      <c r="C71" s="45"/>
      <c r="D71" s="45"/>
      <c r="E71" s="52">
        <v>15840</v>
      </c>
      <c r="F71" s="52">
        <v>15840</v>
      </c>
      <c r="G71" s="52">
        <v>15840</v>
      </c>
      <c r="H71" s="52">
        <f t="shared" si="26"/>
        <v>0</v>
      </c>
      <c r="I71" s="52">
        <f t="shared" si="27"/>
        <v>0</v>
      </c>
    </row>
    <row r="72" spans="1:9" x14ac:dyDescent="0.2">
      <c r="A72" s="45">
        <v>4</v>
      </c>
      <c r="B72" s="56" t="s">
        <v>275</v>
      </c>
      <c r="C72" s="45"/>
      <c r="D72" s="45"/>
      <c r="E72" s="52">
        <v>61803.5</v>
      </c>
      <c r="F72" s="52">
        <v>61803.5</v>
      </c>
      <c r="G72" s="52">
        <v>61803.5</v>
      </c>
      <c r="H72" s="52">
        <f t="shared" si="26"/>
        <v>0</v>
      </c>
      <c r="I72" s="52">
        <f t="shared" si="27"/>
        <v>0</v>
      </c>
    </row>
    <row r="73" spans="1:9" x14ac:dyDescent="0.2">
      <c r="A73" s="45">
        <v>5</v>
      </c>
      <c r="B73" s="56" t="s">
        <v>276</v>
      </c>
      <c r="C73" s="45"/>
      <c r="D73" s="45"/>
      <c r="E73" s="52"/>
      <c r="F73" s="52"/>
      <c r="G73" s="52"/>
      <c r="H73" s="52">
        <f t="shared" si="26"/>
        <v>0</v>
      </c>
      <c r="I73" s="52">
        <f t="shared" si="27"/>
        <v>0</v>
      </c>
    </row>
    <row r="74" spans="1:9" x14ac:dyDescent="0.2">
      <c r="A74" s="46"/>
      <c r="B74" s="47" t="s">
        <v>87</v>
      </c>
      <c r="C74" s="46"/>
      <c r="D74" s="46"/>
      <c r="E74" s="53">
        <f>SUM(E69:E71)</f>
        <v>15840</v>
      </c>
      <c r="F74" s="38">
        <f>SUM(F69:F71)</f>
        <v>15840</v>
      </c>
      <c r="G74" s="38">
        <f t="shared" ref="G74:I74" si="28">SUM(G69:G71)</f>
        <v>15840</v>
      </c>
      <c r="H74" s="38">
        <f t="shared" si="28"/>
        <v>0</v>
      </c>
      <c r="I74" s="38">
        <f t="shared" si="28"/>
        <v>0</v>
      </c>
    </row>
    <row r="75" spans="1:9" ht="13.5" thickBot="1" x14ac:dyDescent="0.25">
      <c r="A75" s="61"/>
      <c r="B75" s="62" t="s">
        <v>88</v>
      </c>
      <c r="C75" s="61"/>
      <c r="D75" s="61"/>
      <c r="E75" s="63">
        <f>SUM(E72:E73)</f>
        <v>61803.5</v>
      </c>
      <c r="F75" s="38">
        <f>SUM(F72:F73)</f>
        <v>61803.5</v>
      </c>
      <c r="G75" s="38">
        <f>SUM(G72:G73)</f>
        <v>61803.5</v>
      </c>
      <c r="H75" s="38">
        <f t="shared" ref="H75:I75" si="29">SUM(H72:H73)</f>
        <v>0</v>
      </c>
      <c r="I75" s="38">
        <f t="shared" si="29"/>
        <v>0</v>
      </c>
    </row>
    <row r="76" spans="1:9" ht="18" customHeight="1" x14ac:dyDescent="0.2">
      <c r="A76" s="64"/>
      <c r="B76" s="69" t="s">
        <v>91</v>
      </c>
      <c r="C76" s="65"/>
      <c r="D76" s="65"/>
      <c r="E76" s="76">
        <f>E77+E78</f>
        <v>74154857.38000001</v>
      </c>
    </row>
    <row r="77" spans="1:9" ht="18" customHeight="1" x14ac:dyDescent="0.2">
      <c r="A77" s="66"/>
      <c r="B77" s="45" t="s">
        <v>92</v>
      </c>
      <c r="C77" s="45"/>
      <c r="D77" s="45"/>
      <c r="E77" s="73">
        <f>Лист1!DF44+Лист2!F62+Лист4!F80+E12+E75+E45</f>
        <v>59139678.220000006</v>
      </c>
    </row>
    <row r="78" spans="1:9" ht="18" customHeight="1" x14ac:dyDescent="0.2">
      <c r="A78" s="66"/>
      <c r="B78" s="45" t="s">
        <v>93</v>
      </c>
      <c r="C78" s="45"/>
      <c r="D78" s="45"/>
      <c r="E78" s="73">
        <f>Лист2!F11+Лист3!E10+Лист3!E21+Лист3!E33+Лист4!F12+Лист4!F22+Лист4!F29+Лист4!F54+Лист4!F79+Лист4!F90+E11+E20+E27+E35+E44+E52+E63+E74</f>
        <v>15015179.16</v>
      </c>
    </row>
    <row r="79" spans="1:9" ht="18" customHeight="1" x14ac:dyDescent="0.2">
      <c r="A79" s="66"/>
      <c r="B79" s="58" t="s">
        <v>277</v>
      </c>
      <c r="C79" s="45"/>
      <c r="D79" s="45"/>
      <c r="E79" s="75">
        <f>Лист2!F21+Лист2!F39+Лист3!E42+Лист3!E69+Лист3!E55</f>
        <v>15341681.809999999</v>
      </c>
    </row>
    <row r="80" spans="1:9" ht="18" customHeight="1" x14ac:dyDescent="0.2">
      <c r="A80" s="66"/>
      <c r="B80" s="58" t="s">
        <v>356</v>
      </c>
      <c r="C80" s="45"/>
      <c r="D80" s="45"/>
      <c r="E80" s="75">
        <f>Лист3!E89</f>
        <v>150000</v>
      </c>
    </row>
    <row r="81" spans="1:7" ht="18" customHeight="1" x14ac:dyDescent="0.2">
      <c r="A81" s="66"/>
      <c r="B81" s="58" t="s">
        <v>278</v>
      </c>
      <c r="C81" s="45"/>
      <c r="D81" s="45"/>
      <c r="E81" s="75">
        <f>Лист3!E96+Лист3!E107</f>
        <v>731088.19000000006</v>
      </c>
    </row>
    <row r="82" spans="1:7" ht="18" customHeight="1" thickBot="1" x14ac:dyDescent="0.25">
      <c r="A82" s="67"/>
      <c r="B82" s="70" t="s">
        <v>94</v>
      </c>
      <c r="C82" s="68"/>
      <c r="D82" s="68"/>
      <c r="E82" s="74">
        <f>E76+E79+E81+E80</f>
        <v>90377627.38000001</v>
      </c>
      <c r="F82" s="38">
        <f>E74+E63+E52+E44+E35+E27+E20</f>
        <v>368225.42000000004</v>
      </c>
      <c r="G82" s="40">
        <v>340</v>
      </c>
    </row>
    <row r="85" spans="1:7" ht="14.25" x14ac:dyDescent="0.2">
      <c r="B85" s="71" t="s">
        <v>134</v>
      </c>
      <c r="D85" s="71" t="s">
        <v>316</v>
      </c>
    </row>
    <row r="87" spans="1:7" x14ac:dyDescent="0.2">
      <c r="D87" s="72">
        <v>46265</v>
      </c>
    </row>
  </sheetData>
  <sortState ref="B64:B66">
    <sortCondition ref="B64:B66"/>
  </sortState>
  <conditionalFormatting sqref="I69:I73">
    <cfRule type="cellIs" dxfId="31" priority="22" operator="lessThan">
      <formula>0</formula>
    </cfRule>
    <cfRule type="cellIs" dxfId="30" priority="23" operator="greaterThan">
      <formula>0</formula>
    </cfRule>
    <cfRule type="cellIs" dxfId="29" priority="24" operator="greaterThan">
      <formula>0</formula>
    </cfRule>
  </conditionalFormatting>
  <conditionalFormatting sqref="I58:I61">
    <cfRule type="cellIs" dxfId="28" priority="19" operator="lessThan">
      <formula>0</formula>
    </cfRule>
    <cfRule type="cellIs" dxfId="27" priority="20" operator="greaterThan">
      <formula>0</formula>
    </cfRule>
    <cfRule type="cellIs" dxfId="26" priority="21" operator="greaterThan">
      <formula>0</formula>
    </cfRule>
  </conditionalFormatting>
  <conditionalFormatting sqref="I50:I51">
    <cfRule type="cellIs" dxfId="25" priority="16" operator="lessThan">
      <formula>0</formula>
    </cfRule>
    <cfRule type="cellIs" dxfId="24" priority="17" operator="greaterThan">
      <formula>0</formula>
    </cfRule>
    <cfRule type="cellIs" dxfId="23" priority="18" operator="greaterThan">
      <formula>0</formula>
    </cfRule>
  </conditionalFormatting>
  <conditionalFormatting sqref="I5:I10">
    <cfRule type="cellIs" dxfId="22" priority="1" operator="lessThan">
      <formula>0</formula>
    </cfRule>
    <cfRule type="cellIs" dxfId="21" priority="2" operator="greaterThan">
      <formula>0</formula>
    </cfRule>
    <cfRule type="cellIs" dxfId="20" priority="3" operator="greaterThan">
      <formula>0</formula>
    </cfRule>
  </conditionalFormatting>
  <conditionalFormatting sqref="I40:I43">
    <cfRule type="cellIs" dxfId="19" priority="13" operator="lessThan">
      <formula>0</formula>
    </cfRule>
    <cfRule type="cellIs" dxfId="18" priority="14" operator="greaterThan">
      <formula>0</formula>
    </cfRule>
    <cfRule type="cellIs" dxfId="17" priority="15" operator="greaterThan">
      <formula>0</formula>
    </cfRule>
  </conditionalFormatting>
  <conditionalFormatting sqref="I32:I34">
    <cfRule type="cellIs" dxfId="16" priority="10" operator="lessThan">
      <formula>0</formula>
    </cfRule>
    <cfRule type="cellIs" dxfId="15" priority="11" operator="greaterThan">
      <formula>0</formula>
    </cfRule>
    <cfRule type="cellIs" dxfId="14" priority="12" operator="greaterThan">
      <formula>0</formula>
    </cfRule>
  </conditionalFormatting>
  <conditionalFormatting sqref="I25:I26">
    <cfRule type="cellIs" dxfId="13" priority="7" operator="lessThan">
      <formula>0</formula>
    </cfRule>
    <cfRule type="cellIs" dxfId="12" priority="8" operator="greaterThan">
      <formula>0</formula>
    </cfRule>
    <cfRule type="cellIs" dxfId="11" priority="9" operator="greaterThan">
      <formula>0</formula>
    </cfRule>
  </conditionalFormatting>
  <conditionalFormatting sqref="I18:I19">
    <cfRule type="cellIs" dxfId="10" priority="4" operator="lessThan">
      <formula>0</formula>
    </cfRule>
    <cfRule type="cellIs" dxfId="9" priority="5" operator="greaterThan">
      <formula>0</formula>
    </cfRule>
    <cfRule type="cellIs" dxfId="8" priority="6" operator="greaterThan">
      <formula>0</formula>
    </cfRule>
  </conditionalFormatting>
  <pageMargins left="0.7" right="0.7" top="0.75" bottom="0.75" header="0.3" footer="0.3"/>
  <pageSetup paperSize="9" scale="58" orientation="portrait" verticalDpi="0" r:id="rId1"/>
  <colBreaks count="1" manualBreakCount="1">
    <brk id="5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Z38"/>
  <sheetViews>
    <sheetView zoomScale="85" zoomScaleNormal="85" workbookViewId="0">
      <selection activeCell="S12" sqref="S12"/>
    </sheetView>
  </sheetViews>
  <sheetFormatPr defaultRowHeight="14.25" x14ac:dyDescent="0.25"/>
  <cols>
    <col min="1" max="1" width="3.140625" style="91" customWidth="1"/>
    <col min="2" max="2" width="9.140625" style="91"/>
    <col min="3" max="3" width="8.85546875" style="91" customWidth="1"/>
    <col min="4" max="4" width="9.140625" style="91"/>
    <col min="5" max="7" width="10.7109375" style="93" customWidth="1"/>
    <col min="8" max="8" width="7.7109375" style="91" customWidth="1"/>
    <col min="9" max="11" width="9.140625" style="91"/>
    <col min="12" max="14" width="11.5703125" style="93" customWidth="1"/>
    <col min="15" max="15" width="7" style="91" customWidth="1"/>
    <col min="16" max="17" width="9.140625" style="91"/>
    <col min="18" max="18" width="8" style="91" customWidth="1"/>
    <col min="19" max="20" width="9.5703125" style="91" customWidth="1"/>
    <col min="21" max="21" width="9.7109375" style="91" customWidth="1"/>
    <col min="22" max="22" width="9.7109375" style="93" customWidth="1"/>
    <col min="23" max="24" width="10.7109375" style="93" customWidth="1"/>
    <col min="25" max="25" width="12.5703125" style="91" bestFit="1" customWidth="1"/>
    <col min="26" max="26" width="11" style="91" bestFit="1" customWidth="1"/>
    <col min="27" max="16384" width="9.140625" style="91"/>
  </cols>
  <sheetData>
    <row r="2" spans="2:26" ht="16.5" x14ac:dyDescent="0.3">
      <c r="B2" s="92" t="s">
        <v>306</v>
      </c>
      <c r="C2" s="93"/>
      <c r="D2" s="93"/>
      <c r="I2" s="92" t="s">
        <v>307</v>
      </c>
      <c r="M2" s="94"/>
      <c r="N2" s="94"/>
      <c r="P2" s="92" t="s">
        <v>308</v>
      </c>
      <c r="Q2" s="93"/>
      <c r="R2" s="93"/>
      <c r="S2" s="93"/>
      <c r="T2" s="93"/>
      <c r="U2" s="93"/>
    </row>
    <row r="3" spans="2:26" x14ac:dyDescent="0.25">
      <c r="B3" s="93"/>
      <c r="C3" s="93"/>
      <c r="D3" s="93"/>
      <c r="M3" s="94"/>
      <c r="N3" s="94"/>
      <c r="P3" s="93"/>
      <c r="Q3" s="93"/>
      <c r="R3" s="93"/>
      <c r="S3" s="93"/>
      <c r="T3" s="93"/>
      <c r="U3" s="93"/>
    </row>
    <row r="4" spans="2:26" ht="63" customHeight="1" x14ac:dyDescent="0.25">
      <c r="B4" s="95" t="s">
        <v>105</v>
      </c>
      <c r="C4" s="95" t="s">
        <v>106</v>
      </c>
      <c r="D4" s="95" t="s">
        <v>107</v>
      </c>
      <c r="E4" s="95" t="s">
        <v>108</v>
      </c>
      <c r="F4" s="95" t="s">
        <v>109</v>
      </c>
      <c r="G4" s="95" t="s">
        <v>110</v>
      </c>
      <c r="I4" s="96" t="s">
        <v>105</v>
      </c>
      <c r="J4" s="96" t="s">
        <v>106</v>
      </c>
      <c r="K4" s="96" t="s">
        <v>111</v>
      </c>
      <c r="L4" s="97" t="s">
        <v>108</v>
      </c>
      <c r="M4" s="97" t="s">
        <v>112</v>
      </c>
      <c r="N4" s="97" t="s">
        <v>113</v>
      </c>
      <c r="P4" s="97" t="s">
        <v>105</v>
      </c>
      <c r="Q4" s="97" t="s">
        <v>106</v>
      </c>
      <c r="R4" s="97" t="s">
        <v>114</v>
      </c>
      <c r="S4" s="97" t="s">
        <v>280</v>
      </c>
      <c r="T4" s="97" t="s">
        <v>281</v>
      </c>
      <c r="U4" s="97" t="s">
        <v>279</v>
      </c>
      <c r="V4" s="97" t="s">
        <v>112</v>
      </c>
      <c r="W4" s="97" t="s">
        <v>108</v>
      </c>
      <c r="X4" s="97" t="s">
        <v>113</v>
      </c>
    </row>
    <row r="5" spans="2:26" x14ac:dyDescent="0.25">
      <c r="B5" s="98" t="s">
        <v>115</v>
      </c>
      <c r="C5" s="119">
        <v>8.7283500000000007</v>
      </c>
      <c r="D5" s="99">
        <v>11825</v>
      </c>
      <c r="E5" s="99">
        <f t="shared" ref="E5:E10" si="0">C5*D5</f>
        <v>103212.73875</v>
      </c>
      <c r="F5" s="99">
        <f>E5*22%</f>
        <v>22706.802525000003</v>
      </c>
      <c r="G5" s="99">
        <f>E5+F5</f>
        <v>125919.54127500001</v>
      </c>
      <c r="I5" s="100" t="s">
        <v>115</v>
      </c>
      <c r="J5" s="101">
        <v>3239.95</v>
      </c>
      <c r="K5" s="101">
        <v>61.249000000000002</v>
      </c>
      <c r="L5" s="89">
        <f t="shared" ref="L5:L16" si="1">K5*J5</f>
        <v>198443.69754999998</v>
      </c>
      <c r="M5" s="89">
        <f>L5*22%</f>
        <v>43657.613460999994</v>
      </c>
      <c r="N5" s="89">
        <f>L5+M5</f>
        <v>242101.31101099998</v>
      </c>
      <c r="P5" s="89" t="s">
        <v>115</v>
      </c>
      <c r="Q5" s="89">
        <f>54.83+47.89</f>
        <v>102.72</v>
      </c>
      <c r="R5" s="89">
        <v>222</v>
      </c>
      <c r="S5" s="89">
        <v>104</v>
      </c>
      <c r="T5" s="89">
        <f>S5*47.89</f>
        <v>4980.5600000000004</v>
      </c>
      <c r="U5" s="89">
        <f>R5/2*47.89</f>
        <v>5315.79</v>
      </c>
      <c r="V5" s="89">
        <f>W5*22%+U5*22%+T5*22%</f>
        <v>7282.0418</v>
      </c>
      <c r="W5" s="89">
        <f>Q5*R5</f>
        <v>22803.84</v>
      </c>
      <c r="X5" s="89">
        <f>V5+W5+U5+T5</f>
        <v>40382.231799999994</v>
      </c>
    </row>
    <row r="6" spans="2:26" x14ac:dyDescent="0.25">
      <c r="B6" s="98" t="s">
        <v>116</v>
      </c>
      <c r="C6" s="119">
        <v>8.8743599999999994</v>
      </c>
      <c r="D6" s="99">
        <v>13876</v>
      </c>
      <c r="E6" s="99">
        <f t="shared" si="0"/>
        <v>123140.61936</v>
      </c>
      <c r="F6" s="99">
        <f t="shared" ref="F6:F16" si="2">E6*22%</f>
        <v>27090.9362592</v>
      </c>
      <c r="G6" s="99">
        <f t="shared" ref="G6:G16" si="3">E6+F6</f>
        <v>150231.55561919999</v>
      </c>
      <c r="I6" s="100" t="s">
        <v>116</v>
      </c>
      <c r="J6" s="101">
        <v>3239.95</v>
      </c>
      <c r="K6" s="101">
        <v>62.953000000000003</v>
      </c>
      <c r="L6" s="89">
        <f>K6*J6</f>
        <v>203964.57235</v>
      </c>
      <c r="M6" s="89">
        <f t="shared" ref="M6:M16" si="4">L6*22%</f>
        <v>44872.205916999999</v>
      </c>
      <c r="N6" s="89">
        <f t="shared" ref="N6:N16" si="5">L6+M6</f>
        <v>248836.77826699999</v>
      </c>
      <c r="P6" s="89" t="s">
        <v>116</v>
      </c>
      <c r="Q6" s="89">
        <f t="shared" ref="Q6:Q16" si="6">54.83+47.89</f>
        <v>102.72</v>
      </c>
      <c r="R6" s="89">
        <v>250</v>
      </c>
      <c r="S6" s="89">
        <v>172</v>
      </c>
      <c r="T6" s="89">
        <f t="shared" ref="T6:T16" si="7">S6*47.89</f>
        <v>8237.08</v>
      </c>
      <c r="U6" s="89">
        <f t="shared" ref="U6:U16" si="8">R6/2*47.89</f>
        <v>5986.25</v>
      </c>
      <c r="V6" s="89">
        <f>W6*22%+U6*22%+T6*22%</f>
        <v>8778.7326000000012</v>
      </c>
      <c r="W6" s="89">
        <f>Q6*R6</f>
        <v>25680</v>
      </c>
      <c r="X6" s="89">
        <f>V6+W6+U6+T6+0.01</f>
        <v>48682.072600000007</v>
      </c>
    </row>
    <row r="7" spans="2:26" x14ac:dyDescent="0.25">
      <c r="B7" s="98" t="s">
        <v>117</v>
      </c>
      <c r="C7" s="119">
        <v>8.8088099999999994</v>
      </c>
      <c r="D7" s="99">
        <v>11825</v>
      </c>
      <c r="E7" s="99">
        <f t="shared" si="0"/>
        <v>104164.17825</v>
      </c>
      <c r="F7" s="99">
        <f t="shared" si="2"/>
        <v>22916.119214999999</v>
      </c>
      <c r="G7" s="99">
        <f t="shared" si="3"/>
        <v>127080.297465</v>
      </c>
      <c r="I7" s="100" t="s">
        <v>117</v>
      </c>
      <c r="J7" s="101">
        <v>3239.95</v>
      </c>
      <c r="K7" s="101">
        <v>58.316000000000003</v>
      </c>
      <c r="L7" s="89">
        <f t="shared" si="1"/>
        <v>188940.92420000001</v>
      </c>
      <c r="M7" s="89">
        <f t="shared" si="4"/>
        <v>41567.003324000005</v>
      </c>
      <c r="N7" s="89">
        <f>L7+M7-0.01</f>
        <v>230507.91752399999</v>
      </c>
      <c r="P7" s="89" t="s">
        <v>117</v>
      </c>
      <c r="Q7" s="89">
        <f t="shared" si="6"/>
        <v>102.72</v>
      </c>
      <c r="R7" s="89">
        <v>184</v>
      </c>
      <c r="S7" s="89">
        <v>116</v>
      </c>
      <c r="T7" s="89">
        <f>S7*47.89</f>
        <v>5555.24</v>
      </c>
      <c r="U7" s="89">
        <f>R7/2*47.89</f>
        <v>4405.88</v>
      </c>
      <c r="V7" s="89">
        <f>W7*22%+U7*22%+T7*22%</f>
        <v>6349.5519999999997</v>
      </c>
      <c r="W7" s="89">
        <f t="shared" ref="W7:W16" si="9">Q7*R7</f>
        <v>18900.48</v>
      </c>
      <c r="X7" s="89">
        <f>V7+W7+U7+T7</f>
        <v>35211.152000000002</v>
      </c>
      <c r="Y7" s="122"/>
      <c r="Z7" s="123"/>
    </row>
    <row r="8" spans="2:26" x14ac:dyDescent="0.25">
      <c r="B8" s="98" t="s">
        <v>118</v>
      </c>
      <c r="C8" s="119">
        <v>8.7218699999999991</v>
      </c>
      <c r="D8" s="99">
        <v>11625</v>
      </c>
      <c r="E8" s="99">
        <f t="shared" si="0"/>
        <v>101391.73874999999</v>
      </c>
      <c r="F8" s="99">
        <f t="shared" si="2"/>
        <v>22306.182524999997</v>
      </c>
      <c r="G8" s="99">
        <f>E8+F8-0.01</f>
        <v>123697.91127499999</v>
      </c>
      <c r="I8" s="100" t="s">
        <v>118</v>
      </c>
      <c r="J8" s="101">
        <v>3239.95</v>
      </c>
      <c r="K8" s="101">
        <v>44.621000000000002</v>
      </c>
      <c r="L8" s="89">
        <f t="shared" si="1"/>
        <v>144569.80895000001</v>
      </c>
      <c r="M8" s="89">
        <f t="shared" si="4"/>
        <v>31805.357969000001</v>
      </c>
      <c r="N8" s="89">
        <f t="shared" si="5"/>
        <v>176375.16691900001</v>
      </c>
      <c r="P8" s="89" t="s">
        <v>118</v>
      </c>
      <c r="Q8" s="89">
        <f t="shared" si="6"/>
        <v>102.72</v>
      </c>
      <c r="R8" s="89">
        <v>183</v>
      </c>
      <c r="S8" s="89">
        <v>100</v>
      </c>
      <c r="T8" s="89">
        <f t="shared" si="7"/>
        <v>4789</v>
      </c>
      <c r="U8" s="89">
        <f t="shared" si="8"/>
        <v>4381.9350000000004</v>
      </c>
      <c r="V8" s="89">
        <f t="shared" ref="V8:V16" si="10">W8*22%+U8*22%+T8*22%</f>
        <v>6153.1129000000001</v>
      </c>
      <c r="W8" s="89">
        <f t="shared" si="9"/>
        <v>18797.759999999998</v>
      </c>
      <c r="X8" s="89">
        <f>V8+W8+U8+T8+0.01</f>
        <v>34121.817900000002</v>
      </c>
    </row>
    <row r="9" spans="2:26" x14ac:dyDescent="0.25">
      <c r="B9" s="98" t="s">
        <v>119</v>
      </c>
      <c r="C9" s="119">
        <v>8.0742999999999991</v>
      </c>
      <c r="D9" s="99">
        <v>12019</v>
      </c>
      <c r="E9" s="99">
        <f t="shared" si="0"/>
        <v>97045.011699999988</v>
      </c>
      <c r="F9" s="99">
        <f t="shared" si="2"/>
        <v>21349.902573999996</v>
      </c>
      <c r="G9" s="99">
        <f>E9+F9</f>
        <v>118394.91427399998</v>
      </c>
      <c r="I9" s="100" t="s">
        <v>119</v>
      </c>
      <c r="J9" s="101">
        <v>3239.95</v>
      </c>
      <c r="K9" s="101"/>
      <c r="L9" s="89">
        <f t="shared" si="1"/>
        <v>0</v>
      </c>
      <c r="M9" s="89">
        <f t="shared" si="4"/>
        <v>0</v>
      </c>
      <c r="N9" s="89">
        <f t="shared" si="5"/>
        <v>0</v>
      </c>
      <c r="P9" s="89" t="s">
        <v>119</v>
      </c>
      <c r="Q9" s="89">
        <f t="shared" si="6"/>
        <v>102.72</v>
      </c>
      <c r="R9" s="89">
        <v>207</v>
      </c>
      <c r="S9" s="89">
        <v>134</v>
      </c>
      <c r="T9" s="89">
        <f t="shared" si="7"/>
        <v>6417.26</v>
      </c>
      <c r="U9" s="89">
        <f t="shared" si="8"/>
        <v>4956.6149999999998</v>
      </c>
      <c r="V9" s="89">
        <f t="shared" si="10"/>
        <v>7180.1212999999998</v>
      </c>
      <c r="W9" s="89">
        <f t="shared" si="9"/>
        <v>21263.040000000001</v>
      </c>
      <c r="X9" s="89">
        <f>V9+W9+U9+T9+0.01</f>
        <v>39817.046300000002</v>
      </c>
    </row>
    <row r="10" spans="2:26" x14ac:dyDescent="0.25">
      <c r="B10" s="98" t="s">
        <v>120</v>
      </c>
      <c r="C10" s="119">
        <v>8.4824099999999998</v>
      </c>
      <c r="D10" s="99">
        <v>7583</v>
      </c>
      <c r="E10" s="99">
        <f t="shared" si="0"/>
        <v>64322.115030000001</v>
      </c>
      <c r="F10" s="99">
        <f t="shared" si="2"/>
        <v>14150.865306600001</v>
      </c>
      <c r="G10" s="99">
        <f>E10+F10+0.01</f>
        <v>78472.990336599993</v>
      </c>
      <c r="I10" s="100" t="s">
        <v>120</v>
      </c>
      <c r="J10" s="101">
        <v>3239.95</v>
      </c>
      <c r="K10" s="101"/>
      <c r="L10" s="89">
        <f t="shared" si="1"/>
        <v>0</v>
      </c>
      <c r="M10" s="89">
        <f t="shared" si="4"/>
        <v>0</v>
      </c>
      <c r="N10" s="89">
        <f t="shared" si="5"/>
        <v>0</v>
      </c>
      <c r="P10" s="89" t="s">
        <v>120</v>
      </c>
      <c r="Q10" s="89">
        <f t="shared" si="6"/>
        <v>102.72</v>
      </c>
      <c r="R10" s="89">
        <v>176</v>
      </c>
      <c r="S10" s="89">
        <v>96</v>
      </c>
      <c r="T10" s="89">
        <f t="shared" si="7"/>
        <v>4597.4400000000005</v>
      </c>
      <c r="U10" s="89">
        <f t="shared" si="8"/>
        <v>4214.32</v>
      </c>
      <c r="V10" s="89">
        <f t="shared" si="10"/>
        <v>5915.905600000001</v>
      </c>
      <c r="W10" s="89">
        <f t="shared" si="9"/>
        <v>18078.72</v>
      </c>
      <c r="X10" s="89">
        <f t="shared" ref="X10:X16" si="11">V10+W10+U10+T10</f>
        <v>32806.385600000001</v>
      </c>
    </row>
    <row r="11" spans="2:26" x14ac:dyDescent="0.25">
      <c r="B11" s="98" t="s">
        <v>121</v>
      </c>
      <c r="C11" s="119"/>
      <c r="D11" s="99"/>
      <c r="E11" s="99">
        <f t="shared" ref="E11:E16" si="12">C11*D11</f>
        <v>0</v>
      </c>
      <c r="F11" s="99">
        <f t="shared" si="2"/>
        <v>0</v>
      </c>
      <c r="G11" s="99">
        <f>E11+F11</f>
        <v>0</v>
      </c>
      <c r="I11" s="100" t="s">
        <v>121</v>
      </c>
      <c r="J11" s="101">
        <v>3239.95</v>
      </c>
      <c r="K11" s="101"/>
      <c r="L11" s="89">
        <f t="shared" si="1"/>
        <v>0</v>
      </c>
      <c r="M11" s="89">
        <f t="shared" si="4"/>
        <v>0</v>
      </c>
      <c r="N11" s="89">
        <f t="shared" si="5"/>
        <v>0</v>
      </c>
      <c r="P11" s="89" t="s">
        <v>121</v>
      </c>
      <c r="Q11" s="89">
        <f t="shared" si="6"/>
        <v>102.72</v>
      </c>
      <c r="R11" s="89">
        <v>59</v>
      </c>
      <c r="S11" s="89">
        <v>52</v>
      </c>
      <c r="T11" s="89">
        <f t="shared" si="7"/>
        <v>2490.2800000000002</v>
      </c>
      <c r="U11" s="89">
        <f t="shared" si="8"/>
        <v>1412.7550000000001</v>
      </c>
      <c r="V11" s="89">
        <f t="shared" si="10"/>
        <v>2191.9733000000001</v>
      </c>
      <c r="W11" s="89">
        <f t="shared" si="9"/>
        <v>6060.48</v>
      </c>
      <c r="X11" s="89">
        <f t="shared" si="11"/>
        <v>12155.488299999999</v>
      </c>
    </row>
    <row r="12" spans="2:26" x14ac:dyDescent="0.25">
      <c r="B12" s="98" t="s">
        <v>122</v>
      </c>
      <c r="C12" s="119"/>
      <c r="D12" s="99"/>
      <c r="E12" s="99">
        <f t="shared" si="12"/>
        <v>0</v>
      </c>
      <c r="F12" s="99">
        <f t="shared" si="2"/>
        <v>0</v>
      </c>
      <c r="G12" s="99">
        <f t="shared" si="3"/>
        <v>0</v>
      </c>
      <c r="I12" s="100" t="s">
        <v>122</v>
      </c>
      <c r="J12" s="101">
        <v>3239.95</v>
      </c>
      <c r="K12" s="101"/>
      <c r="L12" s="89">
        <f t="shared" si="1"/>
        <v>0</v>
      </c>
      <c r="M12" s="89">
        <f t="shared" si="4"/>
        <v>0</v>
      </c>
      <c r="N12" s="89">
        <f t="shared" si="5"/>
        <v>0</v>
      </c>
      <c r="P12" s="89" t="s">
        <v>122</v>
      </c>
      <c r="Q12" s="89">
        <f t="shared" si="6"/>
        <v>102.72</v>
      </c>
      <c r="R12" s="89"/>
      <c r="S12" s="89"/>
      <c r="T12" s="89">
        <f t="shared" si="7"/>
        <v>0</v>
      </c>
      <c r="U12" s="89">
        <f t="shared" si="8"/>
        <v>0</v>
      </c>
      <c r="V12" s="89">
        <f t="shared" si="10"/>
        <v>0</v>
      </c>
      <c r="W12" s="89">
        <f t="shared" si="9"/>
        <v>0</v>
      </c>
      <c r="X12" s="89">
        <f t="shared" si="11"/>
        <v>0</v>
      </c>
    </row>
    <row r="13" spans="2:26" x14ac:dyDescent="0.25">
      <c r="B13" s="98" t="s">
        <v>123</v>
      </c>
      <c r="C13" s="119"/>
      <c r="D13" s="99"/>
      <c r="E13" s="99">
        <f t="shared" si="12"/>
        <v>0</v>
      </c>
      <c r="F13" s="99">
        <f t="shared" si="2"/>
        <v>0</v>
      </c>
      <c r="G13" s="99">
        <f t="shared" si="3"/>
        <v>0</v>
      </c>
      <c r="I13" s="100" t="s">
        <v>123</v>
      </c>
      <c r="J13" s="101">
        <v>3239.95</v>
      </c>
      <c r="K13" s="101"/>
      <c r="L13" s="89">
        <f t="shared" si="1"/>
        <v>0</v>
      </c>
      <c r="M13" s="89">
        <f t="shared" si="4"/>
        <v>0</v>
      </c>
      <c r="N13" s="89">
        <f t="shared" si="5"/>
        <v>0</v>
      </c>
      <c r="P13" s="89" t="s">
        <v>123</v>
      </c>
      <c r="Q13" s="89">
        <f t="shared" si="6"/>
        <v>102.72</v>
      </c>
      <c r="R13" s="89"/>
      <c r="S13" s="89"/>
      <c r="T13" s="89">
        <f t="shared" si="7"/>
        <v>0</v>
      </c>
      <c r="U13" s="89">
        <f t="shared" si="8"/>
        <v>0</v>
      </c>
      <c r="V13" s="89">
        <f t="shared" si="10"/>
        <v>0</v>
      </c>
      <c r="W13" s="89">
        <f t="shared" si="9"/>
        <v>0</v>
      </c>
      <c r="X13" s="89">
        <f t="shared" si="11"/>
        <v>0</v>
      </c>
    </row>
    <row r="14" spans="2:26" x14ac:dyDescent="0.25">
      <c r="B14" s="98" t="s">
        <v>124</v>
      </c>
      <c r="C14" s="119"/>
      <c r="D14" s="99"/>
      <c r="E14" s="99">
        <f t="shared" si="12"/>
        <v>0</v>
      </c>
      <c r="F14" s="99">
        <f t="shared" si="2"/>
        <v>0</v>
      </c>
      <c r="G14" s="99">
        <f t="shared" si="3"/>
        <v>0</v>
      </c>
      <c r="I14" s="100" t="s">
        <v>124</v>
      </c>
      <c r="J14" s="101">
        <v>3239.95</v>
      </c>
      <c r="K14" s="101"/>
      <c r="L14" s="89">
        <f t="shared" si="1"/>
        <v>0</v>
      </c>
      <c r="M14" s="89">
        <f t="shared" si="4"/>
        <v>0</v>
      </c>
      <c r="N14" s="89">
        <f t="shared" si="5"/>
        <v>0</v>
      </c>
      <c r="P14" s="89" t="s">
        <v>124</v>
      </c>
      <c r="Q14" s="89">
        <f t="shared" si="6"/>
        <v>102.72</v>
      </c>
      <c r="R14" s="89"/>
      <c r="S14" s="89"/>
      <c r="T14" s="89">
        <f t="shared" si="7"/>
        <v>0</v>
      </c>
      <c r="U14" s="89">
        <f t="shared" si="8"/>
        <v>0</v>
      </c>
      <c r="V14" s="89">
        <f t="shared" si="10"/>
        <v>0</v>
      </c>
      <c r="W14" s="89">
        <f t="shared" si="9"/>
        <v>0</v>
      </c>
      <c r="X14" s="89">
        <f t="shared" si="11"/>
        <v>0</v>
      </c>
    </row>
    <row r="15" spans="2:26" x14ac:dyDescent="0.25">
      <c r="B15" s="98" t="s">
        <v>125</v>
      </c>
      <c r="C15" s="119"/>
      <c r="D15" s="99"/>
      <c r="E15" s="99">
        <f t="shared" si="12"/>
        <v>0</v>
      </c>
      <c r="F15" s="99">
        <f t="shared" si="2"/>
        <v>0</v>
      </c>
      <c r="G15" s="99">
        <f t="shared" si="3"/>
        <v>0</v>
      </c>
      <c r="I15" s="100" t="s">
        <v>125</v>
      </c>
      <c r="J15" s="101">
        <v>3239.95</v>
      </c>
      <c r="K15" s="101"/>
      <c r="L15" s="89">
        <f t="shared" si="1"/>
        <v>0</v>
      </c>
      <c r="M15" s="89">
        <f t="shared" si="4"/>
        <v>0</v>
      </c>
      <c r="N15" s="89">
        <f t="shared" si="5"/>
        <v>0</v>
      </c>
      <c r="P15" s="89" t="s">
        <v>125</v>
      </c>
      <c r="Q15" s="89">
        <f t="shared" si="6"/>
        <v>102.72</v>
      </c>
      <c r="R15" s="89"/>
      <c r="S15" s="89"/>
      <c r="T15" s="89">
        <f t="shared" si="7"/>
        <v>0</v>
      </c>
      <c r="U15" s="89">
        <f t="shared" si="8"/>
        <v>0</v>
      </c>
      <c r="V15" s="89">
        <f t="shared" si="10"/>
        <v>0</v>
      </c>
      <c r="W15" s="89">
        <f t="shared" si="9"/>
        <v>0</v>
      </c>
      <c r="X15" s="89">
        <f t="shared" si="11"/>
        <v>0</v>
      </c>
    </row>
    <row r="16" spans="2:26" x14ac:dyDescent="0.25">
      <c r="B16" s="102" t="s">
        <v>126</v>
      </c>
      <c r="C16" s="119"/>
      <c r="D16" s="99"/>
      <c r="E16" s="99">
        <f t="shared" si="12"/>
        <v>0</v>
      </c>
      <c r="F16" s="99">
        <f t="shared" si="2"/>
        <v>0</v>
      </c>
      <c r="G16" s="99">
        <f t="shared" si="3"/>
        <v>0</v>
      </c>
      <c r="I16" s="100" t="s">
        <v>126</v>
      </c>
      <c r="J16" s="101">
        <v>3239.95</v>
      </c>
      <c r="K16" s="101"/>
      <c r="L16" s="89">
        <f t="shared" si="1"/>
        <v>0</v>
      </c>
      <c r="M16" s="89">
        <f t="shared" si="4"/>
        <v>0</v>
      </c>
      <c r="N16" s="89">
        <f t="shared" si="5"/>
        <v>0</v>
      </c>
      <c r="P16" s="89" t="s">
        <v>126</v>
      </c>
      <c r="Q16" s="89">
        <f t="shared" si="6"/>
        <v>102.72</v>
      </c>
      <c r="R16" s="89"/>
      <c r="S16" s="89"/>
      <c r="T16" s="89">
        <f t="shared" si="7"/>
        <v>0</v>
      </c>
      <c r="U16" s="89">
        <f t="shared" si="8"/>
        <v>0</v>
      </c>
      <c r="V16" s="89">
        <f t="shared" si="10"/>
        <v>0</v>
      </c>
      <c r="W16" s="89">
        <f t="shared" si="9"/>
        <v>0</v>
      </c>
      <c r="X16" s="89">
        <f t="shared" si="11"/>
        <v>0</v>
      </c>
    </row>
    <row r="17" spans="2:24" x14ac:dyDescent="0.25">
      <c r="B17" s="103"/>
      <c r="C17" s="93"/>
      <c r="D17" s="93"/>
      <c r="I17" s="93"/>
      <c r="J17" s="93"/>
      <c r="K17" s="93"/>
      <c r="P17" s="93"/>
      <c r="Q17" s="93"/>
      <c r="R17" s="93"/>
      <c r="S17" s="93"/>
      <c r="T17" s="93"/>
      <c r="U17" s="93"/>
    </row>
    <row r="18" spans="2:24" x14ac:dyDescent="0.25">
      <c r="B18" s="104" t="s">
        <v>43</v>
      </c>
      <c r="C18" s="104"/>
      <c r="D18" s="104">
        <f t="shared" ref="D18:G18" si="13">SUM(D5:D16)</f>
        <v>68753</v>
      </c>
      <c r="E18" s="104">
        <f t="shared" si="13"/>
        <v>593276.40184000006</v>
      </c>
      <c r="F18" s="104">
        <f t="shared" si="13"/>
        <v>130520.80840479999</v>
      </c>
      <c r="G18" s="104">
        <f t="shared" si="13"/>
        <v>723797.21024479996</v>
      </c>
      <c r="I18" s="104" t="s">
        <v>43</v>
      </c>
      <c r="J18" s="104"/>
      <c r="K18" s="104">
        <f>SUM(K5:K16)</f>
        <v>227.13900000000001</v>
      </c>
      <c r="L18" s="104">
        <f>SUM(L5:L16)</f>
        <v>735919.00304999994</v>
      </c>
      <c r="M18" s="104">
        <f>SUM(M5:M16)</f>
        <v>161902.18067099998</v>
      </c>
      <c r="N18" s="104">
        <f>SUM(N5:N16)</f>
        <v>897821.17372099985</v>
      </c>
      <c r="P18" s="104" t="s">
        <v>66</v>
      </c>
      <c r="Q18" s="104"/>
      <c r="R18" s="104">
        <f>SUM(R5:R16)</f>
        <v>1281</v>
      </c>
      <c r="S18" s="104">
        <f t="shared" ref="S18:W18" si="14">SUM(S5:S16)</f>
        <v>774</v>
      </c>
      <c r="T18" s="104">
        <f t="shared" si="14"/>
        <v>37066.86</v>
      </c>
      <c r="U18" s="104">
        <f t="shared" si="14"/>
        <v>30673.545000000002</v>
      </c>
      <c r="V18" s="104">
        <f t="shared" si="14"/>
        <v>43851.4395</v>
      </c>
      <c r="W18" s="104">
        <f t="shared" si="14"/>
        <v>131584.32000000001</v>
      </c>
      <c r="X18" s="104">
        <f>SUM(X5:X16)</f>
        <v>243176.19449999998</v>
      </c>
    </row>
    <row r="19" spans="2:24" x14ac:dyDescent="0.25">
      <c r="B19" s="91">
        <v>2025</v>
      </c>
      <c r="I19" s="91">
        <v>2025</v>
      </c>
      <c r="P19" s="91">
        <v>2025</v>
      </c>
    </row>
    <row r="21" spans="2:24" x14ac:dyDescent="0.25">
      <c r="B21" s="93" t="s">
        <v>309</v>
      </c>
      <c r="C21" s="93"/>
      <c r="D21" s="93"/>
    </row>
    <row r="22" spans="2:24" x14ac:dyDescent="0.25">
      <c r="B22" s="93"/>
      <c r="C22" s="93"/>
      <c r="D22" s="93"/>
    </row>
    <row r="23" spans="2:24" s="107" customFormat="1" ht="38.25" customHeight="1" x14ac:dyDescent="0.25">
      <c r="B23" s="105" t="s">
        <v>105</v>
      </c>
      <c r="C23" s="105" t="s">
        <v>106</v>
      </c>
      <c r="D23" s="105" t="s">
        <v>114</v>
      </c>
      <c r="E23" s="95" t="s">
        <v>108</v>
      </c>
      <c r="F23" s="106"/>
      <c r="G23" s="106"/>
      <c r="I23" s="91"/>
      <c r="J23" s="91"/>
      <c r="K23" s="91"/>
      <c r="L23" s="93"/>
      <c r="M23" s="93"/>
      <c r="N23" s="93"/>
      <c r="O23" s="91"/>
      <c r="P23" s="91"/>
      <c r="Q23" s="91"/>
      <c r="R23" s="91"/>
      <c r="S23" s="91"/>
      <c r="T23" s="91"/>
      <c r="U23" s="91"/>
      <c r="V23" s="93"/>
      <c r="W23" s="93"/>
      <c r="X23" s="93"/>
    </row>
    <row r="24" spans="2:24" x14ac:dyDescent="0.25">
      <c r="B24" s="99" t="s">
        <v>115</v>
      </c>
      <c r="C24" s="99">
        <v>742.61</v>
      </c>
      <c r="D24" s="99">
        <v>22.5</v>
      </c>
      <c r="E24" s="99">
        <f>C24*D24</f>
        <v>16708.724999999999</v>
      </c>
    </row>
    <row r="25" spans="2:24" x14ac:dyDescent="0.25">
      <c r="B25" s="99" t="s">
        <v>116</v>
      </c>
      <c r="C25" s="99">
        <v>742.61</v>
      </c>
      <c r="D25" s="99">
        <v>22.5</v>
      </c>
      <c r="E25" s="99">
        <f t="shared" ref="E25:E35" si="15">C25*D25</f>
        <v>16708.724999999999</v>
      </c>
    </row>
    <row r="26" spans="2:24" x14ac:dyDescent="0.25">
      <c r="B26" s="99" t="s">
        <v>117</v>
      </c>
      <c r="C26" s="99">
        <v>742.61</v>
      </c>
      <c r="D26" s="99">
        <v>22.5</v>
      </c>
      <c r="E26" s="99">
        <f t="shared" si="15"/>
        <v>16708.724999999999</v>
      </c>
    </row>
    <row r="27" spans="2:24" x14ac:dyDescent="0.25">
      <c r="B27" s="99" t="s">
        <v>118</v>
      </c>
      <c r="C27" s="99">
        <v>742.61</v>
      </c>
      <c r="D27" s="99">
        <v>22.5</v>
      </c>
      <c r="E27" s="99">
        <f t="shared" si="15"/>
        <v>16708.724999999999</v>
      </c>
    </row>
    <row r="28" spans="2:24" x14ac:dyDescent="0.25">
      <c r="B28" s="99" t="s">
        <v>119</v>
      </c>
      <c r="C28" s="99">
        <v>742.61</v>
      </c>
      <c r="D28" s="99">
        <v>22.5</v>
      </c>
      <c r="E28" s="99">
        <f t="shared" si="15"/>
        <v>16708.724999999999</v>
      </c>
    </row>
    <row r="29" spans="2:24" x14ac:dyDescent="0.25">
      <c r="B29" s="99" t="s">
        <v>120</v>
      </c>
      <c r="C29" s="99">
        <v>742.61</v>
      </c>
      <c r="D29" s="99">
        <v>22.55</v>
      </c>
      <c r="E29" s="99">
        <f t="shared" si="15"/>
        <v>16745.855500000001</v>
      </c>
    </row>
    <row r="30" spans="2:24" x14ac:dyDescent="0.25">
      <c r="B30" s="99" t="s">
        <v>121</v>
      </c>
      <c r="C30" s="99">
        <v>742.61</v>
      </c>
      <c r="D30" s="99"/>
      <c r="E30" s="99">
        <f t="shared" si="15"/>
        <v>0</v>
      </c>
    </row>
    <row r="31" spans="2:24" x14ac:dyDescent="0.25">
      <c r="B31" s="99" t="s">
        <v>122</v>
      </c>
      <c r="C31" s="99">
        <v>742.61</v>
      </c>
      <c r="D31" s="99"/>
      <c r="E31" s="99">
        <f>C31*D31</f>
        <v>0</v>
      </c>
    </row>
    <row r="32" spans="2:24" x14ac:dyDescent="0.25">
      <c r="B32" s="99" t="s">
        <v>123</v>
      </c>
      <c r="C32" s="99">
        <v>742.61</v>
      </c>
      <c r="D32" s="99"/>
      <c r="E32" s="99">
        <f t="shared" si="15"/>
        <v>0</v>
      </c>
    </row>
    <row r="33" spans="2:5" x14ac:dyDescent="0.25">
      <c r="B33" s="99" t="s">
        <v>124</v>
      </c>
      <c r="C33" s="99">
        <v>742.61</v>
      </c>
      <c r="D33" s="99"/>
      <c r="E33" s="99">
        <f t="shared" si="15"/>
        <v>0</v>
      </c>
    </row>
    <row r="34" spans="2:5" x14ac:dyDescent="0.25">
      <c r="B34" s="99" t="s">
        <v>125</v>
      </c>
      <c r="C34" s="99">
        <v>742.61</v>
      </c>
      <c r="D34" s="99"/>
      <c r="E34" s="99">
        <f t="shared" si="15"/>
        <v>0</v>
      </c>
    </row>
    <row r="35" spans="2:5" x14ac:dyDescent="0.25">
      <c r="B35" s="99" t="s">
        <v>126</v>
      </c>
      <c r="C35" s="99">
        <v>742.61</v>
      </c>
      <c r="D35" s="99"/>
      <c r="E35" s="99">
        <f t="shared" si="15"/>
        <v>0</v>
      </c>
    </row>
    <row r="36" spans="2:5" x14ac:dyDescent="0.25">
      <c r="B36" s="93"/>
      <c r="C36" s="93"/>
      <c r="D36" s="93"/>
    </row>
    <row r="37" spans="2:5" x14ac:dyDescent="0.25">
      <c r="B37" s="104" t="s">
        <v>66</v>
      </c>
      <c r="C37" s="104"/>
      <c r="D37" s="104">
        <f>SUM(D24:D35)</f>
        <v>135.05000000000001</v>
      </c>
      <c r="E37" s="104">
        <f>SUM(E24:E35)</f>
        <v>100289.48050000001</v>
      </c>
    </row>
    <row r="38" spans="2:5" x14ac:dyDescent="0.25">
      <c r="B38" s="91">
        <v>2025</v>
      </c>
    </row>
  </sheetData>
  <pageMargins left="0.7" right="0.7" top="0.75" bottom="0.75" header="0.3" footer="0.3"/>
  <pageSetup paperSize="9" scale="3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T25"/>
  <sheetViews>
    <sheetView zoomScale="85" zoomScaleNormal="85" workbookViewId="0">
      <pane xSplit="6" ySplit="3" topLeftCell="G4" activePane="bottomRight" state="frozen"/>
      <selection pane="topRight" activeCell="G1" sqref="G1"/>
      <selection pane="bottomLeft" activeCell="A4" sqref="A4"/>
      <selection pane="bottomRight" activeCell="M13" sqref="M13"/>
    </sheetView>
  </sheetViews>
  <sheetFormatPr defaultRowHeight="14.25" x14ac:dyDescent="0.25"/>
  <cols>
    <col min="1" max="1" width="3.140625" style="91" customWidth="1"/>
    <col min="2" max="2" width="3.85546875" style="91" customWidth="1"/>
    <col min="3" max="3" width="47.28515625" style="91" bestFit="1" customWidth="1"/>
    <col min="4" max="4" width="14.7109375" style="91" bestFit="1" customWidth="1"/>
    <col min="5" max="5" width="13.42578125" style="91" customWidth="1"/>
    <col min="6" max="6" width="12.85546875" style="91" bestFit="1" customWidth="1"/>
    <col min="7" max="7" width="11.85546875" style="91" customWidth="1"/>
    <col min="8" max="10" width="10" style="91" bestFit="1" customWidth="1"/>
    <col min="11" max="11" width="10.28515625" style="91" bestFit="1" customWidth="1"/>
    <col min="12" max="16" width="9.42578125" style="91" bestFit="1" customWidth="1"/>
    <col min="17" max="18" width="10" style="91" bestFit="1" customWidth="1"/>
    <col min="19" max="19" width="11.7109375" style="91" bestFit="1" customWidth="1"/>
    <col min="20" max="16384" width="9.140625" style="91"/>
  </cols>
  <sheetData>
    <row r="2" spans="2:20" ht="16.5" x14ac:dyDescent="0.25">
      <c r="B2" s="77" t="s">
        <v>9</v>
      </c>
      <c r="C2" s="78" t="s">
        <v>282</v>
      </c>
      <c r="D2" s="79" t="s">
        <v>9</v>
      </c>
      <c r="E2" s="77" t="s">
        <v>283</v>
      </c>
      <c r="F2" s="77" t="s">
        <v>284</v>
      </c>
      <c r="G2" s="77" t="s">
        <v>285</v>
      </c>
      <c r="H2" s="77" t="s">
        <v>286</v>
      </c>
      <c r="I2" s="77" t="s">
        <v>287</v>
      </c>
      <c r="J2" s="77" t="s">
        <v>288</v>
      </c>
      <c r="K2" s="77" t="s">
        <v>289</v>
      </c>
      <c r="L2" s="77" t="s">
        <v>290</v>
      </c>
      <c r="M2" s="77" t="s">
        <v>291</v>
      </c>
      <c r="N2" s="77" t="s">
        <v>292</v>
      </c>
      <c r="O2" s="77" t="s">
        <v>293</v>
      </c>
      <c r="P2" s="77" t="s">
        <v>294</v>
      </c>
      <c r="Q2" s="77" t="s">
        <v>295</v>
      </c>
      <c r="R2" s="77" t="s">
        <v>296</v>
      </c>
      <c r="S2" s="77" t="s">
        <v>297</v>
      </c>
    </row>
    <row r="3" spans="2:20" ht="16.5" x14ac:dyDescent="0.3">
      <c r="B3" s="80"/>
      <c r="C3" s="81"/>
      <c r="D3" s="82"/>
      <c r="E3" s="80"/>
      <c r="F3" s="80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83"/>
      <c r="S3" s="80"/>
    </row>
    <row r="4" spans="2:20" ht="16.5" x14ac:dyDescent="0.3">
      <c r="B4" s="84">
        <v>1</v>
      </c>
      <c r="C4" s="85" t="s">
        <v>298</v>
      </c>
      <c r="D4" s="82" t="s">
        <v>328</v>
      </c>
      <c r="E4" s="86">
        <v>116961.11</v>
      </c>
      <c r="F4" s="90">
        <f>SUM(G4:R4)</f>
        <v>100289.51</v>
      </c>
      <c r="G4" s="87">
        <v>16708.73</v>
      </c>
      <c r="H4" s="87">
        <v>16708.73</v>
      </c>
      <c r="I4" s="87">
        <v>16708.73</v>
      </c>
      <c r="J4" s="87">
        <v>16708.73</v>
      </c>
      <c r="K4" s="87">
        <v>16708.73</v>
      </c>
      <c r="L4" s="87">
        <v>16745.86</v>
      </c>
      <c r="M4" s="87"/>
      <c r="N4" s="87"/>
      <c r="O4" s="87"/>
      <c r="P4" s="87"/>
      <c r="Q4" s="87"/>
      <c r="R4" s="87"/>
      <c r="S4" s="86">
        <f>E4-F4</f>
        <v>16671.600000000006</v>
      </c>
    </row>
    <row r="5" spans="2:20" ht="16.5" x14ac:dyDescent="0.3">
      <c r="B5" s="84">
        <v>2</v>
      </c>
      <c r="C5" s="85" t="s">
        <v>299</v>
      </c>
      <c r="D5" s="82" t="s">
        <v>326</v>
      </c>
      <c r="E5" s="86">
        <v>1478521.38</v>
      </c>
      <c r="F5" s="90">
        <f t="shared" ref="F5:F25" si="0">SUM(G5:R5)</f>
        <v>897821.18</v>
      </c>
      <c r="G5" s="87">
        <v>242101.31</v>
      </c>
      <c r="H5" s="87">
        <f>79054.78+169782</f>
        <v>248836.78</v>
      </c>
      <c r="I5" s="87">
        <f>59291.09+171216.83</f>
        <v>230507.91999999998</v>
      </c>
      <c r="J5" s="87">
        <v>176375.17</v>
      </c>
      <c r="K5" s="87"/>
      <c r="L5" s="87"/>
      <c r="M5" s="87"/>
      <c r="N5" s="87"/>
      <c r="O5" s="87"/>
      <c r="P5" s="87"/>
      <c r="Q5" s="87"/>
      <c r="R5" s="87"/>
      <c r="S5" s="86">
        <f t="shared" ref="S5:S25" si="1">E5-F5</f>
        <v>580700.19999999984</v>
      </c>
    </row>
    <row r="6" spans="2:20" ht="16.5" x14ac:dyDescent="0.3">
      <c r="B6" s="84">
        <v>3</v>
      </c>
      <c r="C6" s="85" t="s">
        <v>300</v>
      </c>
      <c r="D6" s="88" t="s">
        <v>327</v>
      </c>
      <c r="E6" s="86">
        <v>444240.69</v>
      </c>
      <c r="F6" s="90">
        <f t="shared" si="0"/>
        <v>243176.2</v>
      </c>
      <c r="G6" s="87">
        <f>27820.69+6485.26+6076.28</f>
        <v>40382.229999999996</v>
      </c>
      <c r="H6" s="87">
        <f>31329.6+10049.24+7303.23</f>
        <v>48682.069999999992</v>
      </c>
      <c r="I6" s="87">
        <f>23058.59+6777.39+5375.17</f>
        <v>35211.15</v>
      </c>
      <c r="J6" s="87">
        <f>22933.27+5842.58+5345.97</f>
        <v>34121.82</v>
      </c>
      <c r="K6" s="87">
        <f>25940.91+7829.06+6047.08</f>
        <v>39817.050000000003</v>
      </c>
      <c r="L6" s="87">
        <f>22056.04+5608.88+5141.47</f>
        <v>32806.39</v>
      </c>
      <c r="M6" s="87">
        <f>7393.78+3038.14+1723.57</f>
        <v>12155.49</v>
      </c>
      <c r="N6" s="87"/>
      <c r="O6" s="87"/>
      <c r="P6" s="87"/>
      <c r="Q6" s="87"/>
      <c r="R6" s="87"/>
      <c r="S6" s="86">
        <f t="shared" si="1"/>
        <v>201064.49</v>
      </c>
    </row>
    <row r="7" spans="2:20" ht="16.5" x14ac:dyDescent="0.3">
      <c r="B7" s="84">
        <v>4</v>
      </c>
      <c r="C7" s="85" t="s">
        <v>325</v>
      </c>
      <c r="D7" s="82"/>
      <c r="E7" s="86">
        <v>168000</v>
      </c>
      <c r="F7" s="90">
        <f t="shared" si="0"/>
        <v>112000</v>
      </c>
      <c r="G7" s="87">
        <v>14000</v>
      </c>
      <c r="H7" s="87">
        <v>14000</v>
      </c>
      <c r="I7" s="87">
        <v>14000</v>
      </c>
      <c r="J7" s="87">
        <v>14000</v>
      </c>
      <c r="K7" s="87">
        <v>14000</v>
      </c>
      <c r="L7" s="87">
        <v>14000</v>
      </c>
      <c r="M7" s="87">
        <v>14000</v>
      </c>
      <c r="N7" s="87">
        <v>14000</v>
      </c>
      <c r="O7" s="87"/>
      <c r="P7" s="87"/>
      <c r="Q7" s="87"/>
      <c r="R7" s="89"/>
      <c r="S7" s="86">
        <f t="shared" si="1"/>
        <v>56000</v>
      </c>
    </row>
    <row r="8" spans="2:20" ht="16.5" x14ac:dyDescent="0.3">
      <c r="B8" s="84">
        <v>5</v>
      </c>
      <c r="C8" s="85" t="s">
        <v>334</v>
      </c>
      <c r="D8" s="82" t="s">
        <v>336</v>
      </c>
      <c r="E8" s="86">
        <v>30000</v>
      </c>
      <c r="F8" s="90">
        <f t="shared" si="0"/>
        <v>20000</v>
      </c>
      <c r="G8" s="87">
        <v>2500</v>
      </c>
      <c r="H8" s="87">
        <v>2500</v>
      </c>
      <c r="I8" s="87">
        <v>2500</v>
      </c>
      <c r="J8" s="87">
        <v>2500</v>
      </c>
      <c r="K8" s="87">
        <v>2500</v>
      </c>
      <c r="L8" s="87">
        <v>2500</v>
      </c>
      <c r="M8" s="87">
        <v>2500</v>
      </c>
      <c r="N8" s="87">
        <v>2500</v>
      </c>
      <c r="O8" s="87"/>
      <c r="P8" s="87"/>
      <c r="Q8" s="87"/>
      <c r="R8" s="89"/>
      <c r="S8" s="86">
        <f t="shared" si="1"/>
        <v>10000</v>
      </c>
    </row>
    <row r="9" spans="2:20" ht="16.5" x14ac:dyDescent="0.3">
      <c r="B9" s="84">
        <v>6</v>
      </c>
      <c r="C9" s="85" t="s">
        <v>334</v>
      </c>
      <c r="D9" s="82" t="s">
        <v>337</v>
      </c>
      <c r="E9" s="86">
        <v>96000</v>
      </c>
      <c r="F9" s="90">
        <f t="shared" si="0"/>
        <v>64000</v>
      </c>
      <c r="G9" s="87">
        <v>8000</v>
      </c>
      <c r="H9" s="87">
        <v>8000</v>
      </c>
      <c r="I9" s="87">
        <v>8000</v>
      </c>
      <c r="J9" s="87">
        <v>8000</v>
      </c>
      <c r="K9" s="87">
        <v>8000</v>
      </c>
      <c r="L9" s="87">
        <v>8000</v>
      </c>
      <c r="M9" s="87">
        <v>8000</v>
      </c>
      <c r="N9" s="87">
        <v>8000</v>
      </c>
      <c r="O9" s="87"/>
      <c r="P9" s="87"/>
      <c r="Q9" s="87"/>
      <c r="R9" s="89"/>
      <c r="S9" s="86">
        <f t="shared" si="1"/>
        <v>32000</v>
      </c>
    </row>
    <row r="10" spans="2:20" ht="16.5" x14ac:dyDescent="0.3">
      <c r="B10" s="84">
        <v>7</v>
      </c>
      <c r="C10" s="85" t="s">
        <v>334</v>
      </c>
      <c r="D10" s="82" t="s">
        <v>335</v>
      </c>
      <c r="E10" s="86">
        <v>51600</v>
      </c>
      <c r="F10" s="90">
        <f t="shared" si="0"/>
        <v>34400</v>
      </c>
      <c r="G10" s="87">
        <v>4300</v>
      </c>
      <c r="H10" s="87">
        <v>4300</v>
      </c>
      <c r="I10" s="87">
        <v>4300</v>
      </c>
      <c r="J10" s="87">
        <v>4300</v>
      </c>
      <c r="K10" s="87">
        <v>4300</v>
      </c>
      <c r="L10" s="87">
        <v>4300</v>
      </c>
      <c r="M10" s="87">
        <v>4300</v>
      </c>
      <c r="N10" s="87">
        <v>4300</v>
      </c>
      <c r="O10" s="87"/>
      <c r="P10" s="87"/>
      <c r="Q10" s="87"/>
      <c r="R10" s="89"/>
      <c r="S10" s="86">
        <f t="shared" si="1"/>
        <v>17200</v>
      </c>
    </row>
    <row r="11" spans="2:20" ht="16.5" x14ac:dyDescent="0.3">
      <c r="B11" s="84">
        <v>8</v>
      </c>
      <c r="C11" s="85" t="s">
        <v>334</v>
      </c>
      <c r="D11" s="82" t="s">
        <v>333</v>
      </c>
      <c r="E11" s="86">
        <v>54000</v>
      </c>
      <c r="F11" s="90">
        <f t="shared" si="0"/>
        <v>36000</v>
      </c>
      <c r="G11" s="87">
        <v>4500</v>
      </c>
      <c r="H11" s="87">
        <v>4500</v>
      </c>
      <c r="I11" s="87">
        <v>4500</v>
      </c>
      <c r="J11" s="87">
        <v>4500</v>
      </c>
      <c r="K11" s="87">
        <v>4500</v>
      </c>
      <c r="L11" s="87">
        <v>4500</v>
      </c>
      <c r="M11" s="87">
        <v>4500</v>
      </c>
      <c r="N11" s="87">
        <v>4500</v>
      </c>
      <c r="O11" s="87"/>
      <c r="P11" s="87"/>
      <c r="Q11" s="87"/>
      <c r="R11" s="89"/>
      <c r="S11" s="86">
        <f t="shared" si="1"/>
        <v>18000</v>
      </c>
    </row>
    <row r="12" spans="2:20" ht="16.5" x14ac:dyDescent="0.3">
      <c r="B12" s="84">
        <v>9</v>
      </c>
      <c r="C12" s="85" t="s">
        <v>348</v>
      </c>
      <c r="D12" s="82" t="s">
        <v>349</v>
      </c>
      <c r="E12" s="86">
        <v>43200</v>
      </c>
      <c r="F12" s="90">
        <f t="shared" ref="F12" si="2">SUM(G12:R12)</f>
        <v>28800</v>
      </c>
      <c r="G12" s="87">
        <v>3600</v>
      </c>
      <c r="H12" s="87">
        <v>3600</v>
      </c>
      <c r="I12" s="87">
        <v>3600</v>
      </c>
      <c r="J12" s="87">
        <v>3600</v>
      </c>
      <c r="K12" s="87">
        <v>3600</v>
      </c>
      <c r="L12" s="87">
        <v>3600</v>
      </c>
      <c r="M12" s="87">
        <v>3600</v>
      </c>
      <c r="N12" s="87">
        <v>3600</v>
      </c>
      <c r="O12" s="87"/>
      <c r="P12" s="87"/>
      <c r="Q12" s="87"/>
      <c r="R12" s="89"/>
      <c r="S12" s="86">
        <f t="shared" ref="S12" si="3">E12-F12</f>
        <v>14400</v>
      </c>
    </row>
    <row r="13" spans="2:20" ht="16.5" x14ac:dyDescent="0.3">
      <c r="B13" s="84">
        <v>10</v>
      </c>
      <c r="C13" s="85" t="s">
        <v>301</v>
      </c>
      <c r="D13" s="82" t="s">
        <v>330</v>
      </c>
      <c r="E13" s="86">
        <v>8352</v>
      </c>
      <c r="F13" s="90">
        <f t="shared" si="0"/>
        <v>4872</v>
      </c>
      <c r="G13" s="87">
        <v>696</v>
      </c>
      <c r="H13" s="87">
        <v>696</v>
      </c>
      <c r="I13" s="87">
        <v>696</v>
      </c>
      <c r="J13" s="87">
        <v>696</v>
      </c>
      <c r="K13" s="87">
        <v>696</v>
      </c>
      <c r="L13" s="87">
        <v>696</v>
      </c>
      <c r="M13" s="87">
        <v>696</v>
      </c>
      <c r="N13" s="87"/>
      <c r="O13" s="87"/>
      <c r="P13" s="87"/>
      <c r="Q13" s="87"/>
      <c r="R13" s="87"/>
      <c r="S13" s="86">
        <f t="shared" si="1"/>
        <v>3480</v>
      </c>
    </row>
    <row r="14" spans="2:20" ht="16.5" x14ac:dyDescent="0.3">
      <c r="B14" s="84">
        <v>11</v>
      </c>
      <c r="C14" s="85" t="s">
        <v>302</v>
      </c>
      <c r="D14" s="82">
        <v>3403</v>
      </c>
      <c r="E14" s="86">
        <v>800318.68</v>
      </c>
      <c r="F14" s="90">
        <f t="shared" si="0"/>
        <v>783285.61</v>
      </c>
      <c r="G14" s="87">
        <f>125919.54-1758.62</f>
        <v>124160.92</v>
      </c>
      <c r="H14" s="87">
        <f>37671.98+50367.82+62191.76</f>
        <v>150231.56</v>
      </c>
      <c r="I14" s="87">
        <f>44330.07+60088.29+22661.94</f>
        <v>127080.3</v>
      </c>
      <c r="J14" s="131">
        <f>38413.2+50822.88+34461.83</f>
        <v>123697.90999999999</v>
      </c>
      <c r="K14" s="87">
        <f>37484.66+49479.17+31431.08</f>
        <v>118394.91</v>
      </c>
      <c r="L14" s="87">
        <f>38370.29+47361.9</f>
        <v>85732.19</v>
      </c>
      <c r="M14" s="87">
        <f>31387.12</f>
        <v>31387.119999999999</v>
      </c>
      <c r="N14" s="87">
        <f>9448.22+13152.48</f>
        <v>22600.699999999997</v>
      </c>
      <c r="O14" s="87"/>
      <c r="P14" s="87"/>
      <c r="Q14" s="87"/>
      <c r="R14" s="87"/>
      <c r="S14" s="86">
        <f t="shared" si="1"/>
        <v>17033.070000000065</v>
      </c>
      <c r="T14" s="118" t="s">
        <v>345</v>
      </c>
    </row>
    <row r="15" spans="2:20" ht="16.5" x14ac:dyDescent="0.3">
      <c r="B15" s="84">
        <v>12</v>
      </c>
      <c r="C15" s="85" t="s">
        <v>303</v>
      </c>
      <c r="D15" s="82" t="s">
        <v>331</v>
      </c>
      <c r="E15" s="86">
        <v>177550</v>
      </c>
      <c r="F15" s="90">
        <f t="shared" si="0"/>
        <v>177550</v>
      </c>
      <c r="G15" s="87">
        <v>50250</v>
      </c>
      <c r="H15" s="87">
        <v>63650</v>
      </c>
      <c r="I15" s="87">
        <v>63650</v>
      </c>
      <c r="J15" s="87"/>
      <c r="K15" s="87"/>
      <c r="L15" s="87"/>
      <c r="M15" s="87"/>
      <c r="N15" s="87"/>
      <c r="O15" s="87"/>
      <c r="P15" s="87"/>
      <c r="Q15" s="87"/>
      <c r="R15" s="89"/>
      <c r="S15" s="86">
        <f t="shared" si="1"/>
        <v>0</v>
      </c>
    </row>
    <row r="16" spans="2:20" ht="16.5" x14ac:dyDescent="0.3">
      <c r="B16" s="84">
        <v>12</v>
      </c>
      <c r="C16" s="85" t="s">
        <v>303</v>
      </c>
      <c r="D16" s="82" t="s">
        <v>359</v>
      </c>
      <c r="E16" s="86">
        <v>284750</v>
      </c>
      <c r="F16" s="90">
        <f t="shared" ref="F16" si="4">SUM(G16:R16)</f>
        <v>130650</v>
      </c>
      <c r="G16" s="87"/>
      <c r="H16" s="87"/>
      <c r="I16" s="87"/>
      <c r="J16" s="87">
        <v>70350</v>
      </c>
      <c r="K16" s="87">
        <v>60300</v>
      </c>
      <c r="L16" s="87"/>
      <c r="M16" s="87"/>
      <c r="N16" s="87"/>
      <c r="O16" s="87"/>
      <c r="P16" s="87"/>
      <c r="Q16" s="87"/>
      <c r="R16" s="89"/>
      <c r="S16" s="86">
        <f t="shared" ref="S16" si="5">E16-F16</f>
        <v>154100</v>
      </c>
      <c r="T16" s="93"/>
    </row>
    <row r="17" spans="2:19" ht="16.5" x14ac:dyDescent="0.3">
      <c r="B17" s="84">
        <v>13</v>
      </c>
      <c r="C17" s="85" t="s">
        <v>353</v>
      </c>
      <c r="D17" s="82">
        <v>1</v>
      </c>
      <c r="E17" s="86">
        <v>3150</v>
      </c>
      <c r="F17" s="90">
        <f t="shared" ref="F17" si="6">SUM(G17:R17)</f>
        <v>3150</v>
      </c>
      <c r="G17" s="87">
        <v>1050</v>
      </c>
      <c r="H17" s="87">
        <v>1050</v>
      </c>
      <c r="I17" s="87">
        <v>1050</v>
      </c>
      <c r="J17" s="87"/>
      <c r="K17" s="87"/>
      <c r="L17" s="87"/>
      <c r="M17" s="87"/>
      <c r="N17" s="87"/>
      <c r="O17" s="87"/>
      <c r="P17" s="87"/>
      <c r="Q17" s="87"/>
      <c r="R17" s="89"/>
      <c r="S17" s="86">
        <f t="shared" ref="S17" si="7">E17-F17</f>
        <v>0</v>
      </c>
    </row>
    <row r="18" spans="2:19" ht="16.5" x14ac:dyDescent="0.3">
      <c r="B18" s="84">
        <v>14</v>
      </c>
      <c r="C18" s="85" t="s">
        <v>353</v>
      </c>
      <c r="D18" s="82">
        <v>2</v>
      </c>
      <c r="E18" s="86">
        <v>3150</v>
      </c>
      <c r="F18" s="90">
        <f t="shared" ref="F18" si="8">SUM(G18:R18)</f>
        <v>3150</v>
      </c>
      <c r="G18" s="87"/>
      <c r="H18" s="87"/>
      <c r="I18" s="87"/>
      <c r="J18" s="87">
        <v>1050</v>
      </c>
      <c r="K18" s="87">
        <v>1050</v>
      </c>
      <c r="L18" s="87">
        <v>1050</v>
      </c>
      <c r="M18" s="87"/>
      <c r="N18" s="87"/>
      <c r="O18" s="87"/>
      <c r="P18" s="87"/>
      <c r="Q18" s="87"/>
      <c r="R18" s="89"/>
      <c r="S18" s="86">
        <f t="shared" ref="S18" si="9">E18-F18</f>
        <v>0</v>
      </c>
    </row>
    <row r="19" spans="2:19" ht="16.5" x14ac:dyDescent="0.3">
      <c r="B19" s="84">
        <v>15</v>
      </c>
      <c r="C19" s="85" t="s">
        <v>352</v>
      </c>
      <c r="D19" s="82">
        <v>26</v>
      </c>
      <c r="E19" s="86">
        <v>26474</v>
      </c>
      <c r="F19" s="90">
        <f t="shared" ref="F19" si="10">SUM(G19:R19)</f>
        <v>16958</v>
      </c>
      <c r="G19" s="87"/>
      <c r="H19" s="87"/>
      <c r="I19" s="87">
        <v>8479</v>
      </c>
      <c r="J19" s="87"/>
      <c r="K19" s="87"/>
      <c r="L19" s="87">
        <v>8479</v>
      </c>
      <c r="M19" s="87"/>
      <c r="N19" s="87"/>
      <c r="O19" s="87"/>
      <c r="P19" s="87"/>
      <c r="Q19" s="87"/>
      <c r="R19" s="89"/>
      <c r="S19" s="86">
        <f t="shared" ref="S19" si="11">E19-F19</f>
        <v>9516</v>
      </c>
    </row>
    <row r="20" spans="2:19" ht="16.5" x14ac:dyDescent="0.3">
      <c r="B20" s="84">
        <v>16</v>
      </c>
      <c r="C20" s="85" t="s">
        <v>352</v>
      </c>
      <c r="D20" s="82">
        <v>27</v>
      </c>
      <c r="E20" s="86">
        <v>7141.88</v>
      </c>
      <c r="F20" s="90">
        <f t="shared" si="0"/>
        <v>7137</v>
      </c>
      <c r="G20" s="87"/>
      <c r="H20" s="87"/>
      <c r="I20" s="87"/>
      <c r="J20" s="87"/>
      <c r="K20" s="87"/>
      <c r="L20" s="87">
        <v>7137</v>
      </c>
      <c r="M20" s="87"/>
      <c r="N20" s="87"/>
      <c r="O20" s="87"/>
      <c r="P20" s="87"/>
      <c r="Q20" s="87"/>
      <c r="R20" s="89"/>
      <c r="S20" s="86">
        <f t="shared" si="1"/>
        <v>4.8800000000001091</v>
      </c>
    </row>
    <row r="21" spans="2:19" ht="16.5" x14ac:dyDescent="0.3">
      <c r="B21" s="84">
        <v>17</v>
      </c>
      <c r="C21" s="85" t="s">
        <v>352</v>
      </c>
      <c r="D21" s="82">
        <v>32</v>
      </c>
      <c r="E21" s="86">
        <v>54119.199999999997</v>
      </c>
      <c r="F21" s="90">
        <f t="shared" ref="F21:F22" si="12">SUM(G21:R21)</f>
        <v>14993.8</v>
      </c>
      <c r="G21" s="87"/>
      <c r="H21" s="87"/>
      <c r="I21" s="87">
        <v>14993.8</v>
      </c>
      <c r="J21" s="87"/>
      <c r="K21" s="87"/>
      <c r="L21" s="87"/>
      <c r="M21" s="87"/>
      <c r="N21" s="87"/>
      <c r="O21" s="87"/>
      <c r="P21" s="87"/>
      <c r="Q21" s="87"/>
      <c r="R21" s="89"/>
      <c r="S21" s="86">
        <f t="shared" ref="S21:S22" si="13">E21-F21</f>
        <v>39125.399999999994</v>
      </c>
    </row>
    <row r="22" spans="2:19" ht="16.5" x14ac:dyDescent="0.3">
      <c r="B22" s="84">
        <v>18</v>
      </c>
      <c r="C22" s="85" t="s">
        <v>352</v>
      </c>
      <c r="D22" s="82">
        <v>33</v>
      </c>
      <c r="E22" s="86">
        <v>14676.6</v>
      </c>
      <c r="F22" s="90">
        <f t="shared" si="12"/>
        <v>7338.3</v>
      </c>
      <c r="G22" s="87"/>
      <c r="H22" s="87"/>
      <c r="I22" s="87">
        <v>7338.3</v>
      </c>
      <c r="J22" s="87"/>
      <c r="K22" s="87"/>
      <c r="L22" s="87"/>
      <c r="M22" s="87"/>
      <c r="N22" s="87"/>
      <c r="O22" s="87"/>
      <c r="P22" s="87"/>
      <c r="Q22" s="87"/>
      <c r="R22" s="89"/>
      <c r="S22" s="86">
        <f t="shared" si="13"/>
        <v>7338.3</v>
      </c>
    </row>
    <row r="23" spans="2:19" ht="16.5" x14ac:dyDescent="0.3">
      <c r="B23" s="84">
        <v>19</v>
      </c>
      <c r="C23" s="85" t="s">
        <v>304</v>
      </c>
      <c r="D23" s="82">
        <v>83110625006</v>
      </c>
      <c r="E23" s="86">
        <v>9362.76</v>
      </c>
      <c r="F23" s="90">
        <f t="shared" si="0"/>
        <v>5461.6100000000006</v>
      </c>
      <c r="G23" s="87">
        <v>780.23</v>
      </c>
      <c r="H23" s="87">
        <v>780.23</v>
      </c>
      <c r="I23" s="87">
        <v>780.23</v>
      </c>
      <c r="J23" s="87">
        <v>780.23</v>
      </c>
      <c r="K23" s="87">
        <v>780.23</v>
      </c>
      <c r="L23" s="87">
        <v>780.23</v>
      </c>
      <c r="M23" s="87">
        <v>780.23</v>
      </c>
      <c r="N23" s="87"/>
      <c r="O23" s="87"/>
      <c r="P23" s="87"/>
      <c r="Q23" s="87"/>
      <c r="R23" s="89"/>
      <c r="S23" s="86">
        <f t="shared" si="1"/>
        <v>3901.1499999999996</v>
      </c>
    </row>
    <row r="24" spans="2:19" ht="16.5" x14ac:dyDescent="0.3">
      <c r="B24" s="84">
        <v>20</v>
      </c>
      <c r="C24" s="115" t="s">
        <v>343</v>
      </c>
      <c r="D24" s="116" t="s">
        <v>342</v>
      </c>
      <c r="E24" s="117">
        <v>14400</v>
      </c>
      <c r="F24" s="90">
        <f t="shared" ref="F24" si="14">SUM(G24:R24)</f>
        <v>7200</v>
      </c>
      <c r="G24" s="87"/>
      <c r="H24" s="87"/>
      <c r="I24" s="87">
        <v>3600</v>
      </c>
      <c r="J24" s="87"/>
      <c r="K24" s="87"/>
      <c r="L24" s="87">
        <v>3600</v>
      </c>
      <c r="M24" s="87"/>
      <c r="N24" s="87"/>
      <c r="O24" s="87"/>
      <c r="P24" s="87"/>
      <c r="Q24" s="87"/>
      <c r="R24" s="89"/>
      <c r="S24" s="86">
        <f t="shared" ref="S24" si="15">E24-F24</f>
        <v>7200</v>
      </c>
    </row>
    <row r="25" spans="2:19" ht="20.25" customHeight="1" x14ac:dyDescent="0.3">
      <c r="B25" s="84">
        <v>21</v>
      </c>
      <c r="C25" s="85" t="s">
        <v>305</v>
      </c>
      <c r="D25" s="82" t="s">
        <v>329</v>
      </c>
      <c r="E25" s="86">
        <v>23564.400000000001</v>
      </c>
      <c r="F25" s="90">
        <f t="shared" si="0"/>
        <v>15709.600000000002</v>
      </c>
      <c r="G25" s="87">
        <v>1963.7</v>
      </c>
      <c r="H25" s="87">
        <v>1963.7</v>
      </c>
      <c r="I25" s="87">
        <v>1963.7</v>
      </c>
      <c r="J25" s="87">
        <v>1963.7</v>
      </c>
      <c r="K25" s="87">
        <v>1963.7</v>
      </c>
      <c r="L25" s="87">
        <v>1963.7</v>
      </c>
      <c r="M25" s="87">
        <v>1963.7</v>
      </c>
      <c r="N25" s="87">
        <v>1963.7</v>
      </c>
      <c r="O25" s="87"/>
      <c r="P25" s="87"/>
      <c r="Q25" s="87"/>
      <c r="R25" s="87"/>
      <c r="S25" s="86">
        <f t="shared" si="1"/>
        <v>7854.7999999999993</v>
      </c>
    </row>
  </sheetData>
  <autoFilter ref="B3:S3"/>
  <conditionalFormatting sqref="S4:S11 S25 S20 S13:S15 S23">
    <cfRule type="cellIs" dxfId="7" priority="8" operator="lessThan">
      <formula>0</formula>
    </cfRule>
  </conditionalFormatting>
  <conditionalFormatting sqref="S24">
    <cfRule type="cellIs" dxfId="6" priority="7" operator="lessThan">
      <formula>0</formula>
    </cfRule>
  </conditionalFormatting>
  <conditionalFormatting sqref="S19">
    <cfRule type="cellIs" dxfId="5" priority="6" operator="lessThan">
      <formula>0</formula>
    </cfRule>
  </conditionalFormatting>
  <conditionalFormatting sqref="S12">
    <cfRule type="cellIs" dxfId="4" priority="5" operator="lessThan">
      <formula>0</formula>
    </cfRule>
  </conditionalFormatting>
  <conditionalFormatting sqref="S21:S22">
    <cfRule type="cellIs" dxfId="3" priority="4" operator="lessThan">
      <formula>0</formula>
    </cfRule>
  </conditionalFormatting>
  <conditionalFormatting sqref="S17">
    <cfRule type="cellIs" dxfId="2" priority="3" operator="lessThan">
      <formula>0</formula>
    </cfRule>
  </conditionalFormatting>
  <conditionalFormatting sqref="S16">
    <cfRule type="cellIs" dxfId="1" priority="2" operator="lessThan">
      <formula>0</formula>
    </cfRule>
  </conditionalFormatting>
  <conditionalFormatting sqref="S18">
    <cfRule type="cellIs" dxfId="0" priority="1" operator="lessThan">
      <formula>0</formula>
    </cfRule>
  </conditionalFormatting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6</vt:i4>
      </vt:variant>
    </vt:vector>
  </HeadingPairs>
  <TitlesOfParts>
    <vt:vector size="13" baseType="lpstr">
      <vt:lpstr>Лист1</vt:lpstr>
      <vt:lpstr>Лист2</vt:lpstr>
      <vt:lpstr>Лист3</vt:lpstr>
      <vt:lpstr>Лист4</vt:lpstr>
      <vt:lpstr>Лист5</vt:lpstr>
      <vt:lpstr>Коммуналка</vt:lpstr>
      <vt:lpstr>Обязательные платежи</vt:lpstr>
      <vt:lpstr>Коммуналка!Область_печати</vt:lpstr>
      <vt:lpstr>Лист1!Область_печати</vt:lpstr>
      <vt:lpstr>Лист2!Область_печати</vt:lpstr>
      <vt:lpstr>Лист3!Область_печати</vt:lpstr>
      <vt:lpstr>Лист4!Область_печати</vt:lpstr>
      <vt:lpstr>Лист5!Область_печати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Наташа</dc:creator>
  <cp:lastModifiedBy>Андрей</cp:lastModifiedBy>
  <cp:lastPrinted>2026-08-10T06:32:27Z</cp:lastPrinted>
  <dcterms:created xsi:type="dcterms:W3CDTF">2021-01-21T05:53:26Z</dcterms:created>
  <dcterms:modified xsi:type="dcterms:W3CDTF">2026-08-31T08:21:04Z</dcterms:modified>
</cp:coreProperties>
</file>