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4\бухгалтерия\экономисты\2025\ШКОЛЫ\Школа-лицей №1\Расчеты\"/>
    </mc:Choice>
  </mc:AlternateContent>
  <bookViews>
    <workbookView xWindow="0" yWindow="0" windowWidth="17010" windowHeight="12015" activeTab="3"/>
  </bookViews>
  <sheets>
    <sheet name="Лист1" sheetId="3" r:id="rId1"/>
    <sheet name="Лист2" sheetId="4" r:id="rId2"/>
    <sheet name="Лист3" sheetId="5" r:id="rId3"/>
    <sheet name="Лист4" sheetId="6" r:id="rId4"/>
    <sheet name="Лист5 " sheetId="15" r:id="rId5"/>
    <sheet name="смета" sheetId="11" r:id="rId6"/>
    <sheet name="коммуналка" sheetId="12" r:id="rId7"/>
  </sheets>
  <definedNames>
    <definedName name="_xlnm.Print_Area" localSheetId="0">Лист1!$A$1:$FE$45</definedName>
    <definedName name="_xlnm.Print_Area" localSheetId="1">Лист2!$A$1:$CB$69</definedName>
    <definedName name="_xlnm.Print_Area" localSheetId="2">Лист3!$A$1:$CB$121</definedName>
    <definedName name="_xlnm.Print_Area" localSheetId="3">Лист4!$A$1:$CB$122</definedName>
    <definedName name="_xlnm.Print_Area" localSheetId="4">'Лист5 '!$A$1:$BX$102</definedName>
  </definedNames>
  <calcPr calcId="162913"/>
</workbook>
</file>

<file path=xl/calcChain.xml><?xml version="1.0" encoding="utf-8"?>
<calcChain xmlns="http://schemas.openxmlformats.org/spreadsheetml/2006/main">
  <c r="CD98" i="6" l="1"/>
  <c r="CG96" i="6" l="1"/>
  <c r="CG97" i="6"/>
  <c r="CG95" i="6"/>
  <c r="CF95" i="6"/>
  <c r="BN97" i="5" l="1"/>
  <c r="CC6" i="15" l="1"/>
  <c r="CD102" i="5" l="1"/>
  <c r="CD29" i="6"/>
  <c r="CD91" i="6" l="1"/>
  <c r="CD52" i="15"/>
  <c r="CC52" i="15"/>
  <c r="BN99" i="6" l="1"/>
  <c r="BN52" i="15" l="1"/>
  <c r="BN71" i="15" l="1"/>
  <c r="BN74" i="15"/>
  <c r="BN72" i="15"/>
  <c r="BN108" i="6"/>
  <c r="BN93" i="6"/>
  <c r="BN102" i="6"/>
  <c r="CD6" i="15" l="1"/>
  <c r="BN6" i="15"/>
  <c r="BN95" i="6" l="1"/>
  <c r="BN96" i="6"/>
  <c r="CF107" i="6" l="1"/>
  <c r="CE107" i="6"/>
  <c r="BJ29" i="5"/>
  <c r="BN97" i="6"/>
  <c r="U10" i="12" l="1"/>
  <c r="V10" i="12"/>
  <c r="V11" i="12"/>
  <c r="V12" i="12"/>
  <c r="V13" i="12"/>
  <c r="V9" i="12"/>
  <c r="Q10" i="12"/>
  <c r="CD15" i="6"/>
  <c r="CD49" i="6" l="1"/>
  <c r="BN94" i="6" l="1"/>
  <c r="CE84" i="6" l="1"/>
  <c r="CF84" i="6"/>
  <c r="BN76" i="6" l="1"/>
  <c r="BN13" i="15" l="1"/>
  <c r="BN103" i="6" l="1"/>
  <c r="BN104" i="6"/>
  <c r="BN91" i="6"/>
  <c r="BN82" i="6"/>
  <c r="BN67" i="6"/>
  <c r="CD75" i="6"/>
  <c r="CC75" i="6"/>
  <c r="BN75" i="6"/>
  <c r="CD14" i="6" l="1"/>
  <c r="CD71" i="6" l="1"/>
  <c r="CD72" i="6"/>
  <c r="CD73" i="6"/>
  <c r="CD74" i="6"/>
  <c r="CD80" i="6" l="1"/>
  <c r="BN103" i="5" l="1"/>
  <c r="CD27" i="5" l="1"/>
  <c r="CC27" i="5"/>
  <c r="CD26" i="5"/>
  <c r="CC26" i="5"/>
  <c r="CD101" i="6" l="1"/>
  <c r="CD106" i="6" l="1"/>
  <c r="CD105" i="6"/>
  <c r="X9" i="12" l="1"/>
  <c r="W9" i="12" s="1"/>
  <c r="Y9" i="12" s="1"/>
  <c r="CD97" i="6" l="1"/>
  <c r="CD96" i="6"/>
  <c r="CD95" i="6"/>
  <c r="CD81" i="5"/>
  <c r="CD80" i="5"/>
  <c r="CD79" i="5"/>
  <c r="CD9" i="15" l="1"/>
  <c r="CC9" i="15"/>
  <c r="CD99" i="6" l="1"/>
  <c r="CC99" i="6"/>
  <c r="CD71" i="15" l="1"/>
  <c r="CC71" i="15"/>
  <c r="BN68" i="6" l="1"/>
  <c r="BN108" i="5" l="1"/>
  <c r="CE103" i="5"/>
  <c r="BJ82" i="5" l="1"/>
  <c r="CD81" i="6" l="1"/>
  <c r="CC81" i="6"/>
  <c r="BN85" i="15" l="1"/>
  <c r="BR86" i="15"/>
  <c r="BN88" i="15"/>
  <c r="CC85" i="15"/>
  <c r="BU90" i="15"/>
  <c r="BN12" i="15"/>
  <c r="BN91" i="15"/>
  <c r="CD67" i="6" l="1"/>
  <c r="CC13" i="6" l="1"/>
  <c r="BJ56" i="5" l="1"/>
  <c r="CF109" i="6" l="1"/>
  <c r="CE109" i="6"/>
  <c r="BN10" i="15"/>
  <c r="CD13" i="6" l="1"/>
  <c r="CC95" i="6" l="1"/>
  <c r="CE95" i="6" s="1"/>
  <c r="CC96" i="6"/>
  <c r="CC97" i="6"/>
  <c r="CC81" i="5"/>
  <c r="CC80" i="5"/>
  <c r="CC79" i="5"/>
  <c r="CD16" i="6" l="1"/>
  <c r="V8" i="12"/>
  <c r="X8" i="12"/>
  <c r="X10" i="12"/>
  <c r="X11" i="12"/>
  <c r="W11" i="12" s="1"/>
  <c r="Y11" i="12" s="1"/>
  <c r="X12" i="12"/>
  <c r="W12" i="12" s="1"/>
  <c r="Y12" i="12" s="1"/>
  <c r="X13" i="12"/>
  <c r="W13" i="12" s="1"/>
  <c r="Y13" i="12" s="1"/>
  <c r="V14" i="12"/>
  <c r="X14" i="12"/>
  <c r="W14" i="12" s="1"/>
  <c r="Y14" i="12" s="1"/>
  <c r="V15" i="12"/>
  <c r="X15" i="12"/>
  <c r="W15" i="12" s="1"/>
  <c r="Y15" i="12" s="1"/>
  <c r="V16" i="12"/>
  <c r="X16" i="12"/>
  <c r="W16" i="12" s="1"/>
  <c r="Y16" i="12" s="1"/>
  <c r="U8" i="12"/>
  <c r="U9" i="12"/>
  <c r="U11" i="12"/>
  <c r="U12" i="12"/>
  <c r="U13" i="12"/>
  <c r="U14" i="12"/>
  <c r="U15" i="12"/>
  <c r="U16" i="12"/>
  <c r="Y7" i="12"/>
  <c r="W7" i="12"/>
  <c r="U7" i="12"/>
  <c r="V7" i="12"/>
  <c r="V6" i="12"/>
  <c r="W8" i="12" l="1"/>
  <c r="Y8" i="12" s="1"/>
  <c r="W10" i="12"/>
  <c r="BN11" i="15"/>
  <c r="Y17" i="12" l="1"/>
  <c r="Y10" i="12"/>
  <c r="CD111" i="6"/>
  <c r="BN102" i="5" l="1"/>
  <c r="CD68" i="6" l="1"/>
  <c r="CC68" i="6"/>
  <c r="BN54" i="15" l="1"/>
  <c r="CF53" i="15"/>
  <c r="CE53" i="15"/>
  <c r="BN53" i="15"/>
  <c r="CE110" i="6" l="1"/>
  <c r="CF110" i="6"/>
  <c r="V5" i="12" l="1"/>
  <c r="CC98" i="6" l="1"/>
  <c r="BJ67" i="5" l="1"/>
  <c r="BJ66" i="5"/>
  <c r="BJ65" i="5"/>
  <c r="BR70" i="15" l="1"/>
  <c r="BN106" i="6"/>
  <c r="BN83" i="6"/>
  <c r="BN81" i="6"/>
  <c r="BN77" i="6"/>
  <c r="CD83" i="6" l="1"/>
  <c r="CC83" i="6"/>
  <c r="CE83" i="6" l="1"/>
  <c r="CF83" i="6"/>
  <c r="CC80" i="6"/>
  <c r="BN92" i="6" l="1"/>
  <c r="CD92" i="6"/>
  <c r="CC92" i="6"/>
  <c r="CC111" i="6"/>
  <c r="CC91" i="6" l="1"/>
  <c r="CC106" i="6"/>
  <c r="CD94" i="6"/>
  <c r="CC94" i="6"/>
  <c r="CC105" i="6"/>
  <c r="BP15" i="6" l="1"/>
  <c r="BP29" i="4"/>
  <c r="BP28" i="4"/>
  <c r="BJ81" i="5"/>
  <c r="BP27" i="4"/>
  <c r="BP26" i="4"/>
  <c r="BJ80" i="5"/>
  <c r="BP25" i="4"/>
  <c r="BP24" i="4"/>
  <c r="BP22" i="4"/>
  <c r="BJ79" i="5"/>
  <c r="BQ66" i="4"/>
  <c r="EO45" i="3"/>
  <c r="BP49" i="6" l="1"/>
  <c r="BP50" i="6" s="1"/>
  <c r="CC49" i="6"/>
  <c r="BN74" i="6" l="1"/>
  <c r="BN73" i="6"/>
  <c r="CC74" i="6"/>
  <c r="CF74" i="6" s="1"/>
  <c r="CE74" i="6"/>
  <c r="CC71" i="6"/>
  <c r="BN101" i="6"/>
  <c r="CC101" i="6" l="1"/>
  <c r="BN98" i="6" l="1"/>
  <c r="BP31" i="4" l="1"/>
  <c r="BP30" i="4"/>
  <c r="BP23" i="4"/>
  <c r="BN111" i="6"/>
  <c r="BN113" i="6" s="1"/>
  <c r="CC15" i="6" l="1"/>
  <c r="BP13" i="6" l="1"/>
  <c r="BJ55" i="5" l="1"/>
  <c r="BJ27" i="5" l="1"/>
  <c r="BJ26" i="5"/>
  <c r="BN79" i="6"/>
  <c r="BN69" i="6"/>
  <c r="BN70" i="6"/>
  <c r="BN78" i="6"/>
  <c r="BN105" i="6"/>
  <c r="BN114" i="6" s="1"/>
  <c r="BN80" i="6"/>
  <c r="BN71" i="6"/>
  <c r="BN72" i="6"/>
  <c r="BP29" i="6"/>
  <c r="BP14" i="6"/>
  <c r="BP16" i="6" s="1"/>
  <c r="BN85" i="6" l="1"/>
  <c r="BN77" i="15"/>
  <c r="L5" i="12" l="1"/>
  <c r="BP32" i="4" l="1"/>
  <c r="CF31" i="4"/>
  <c r="CE31" i="4"/>
  <c r="CE30" i="4"/>
  <c r="CF30" i="4"/>
  <c r="CG104" i="5" l="1"/>
  <c r="CE86" i="15" l="1"/>
  <c r="CF86" i="15"/>
  <c r="CE104" i="5" l="1"/>
  <c r="CD50" i="6" l="1"/>
  <c r="BN32" i="15" l="1"/>
  <c r="CF75" i="15" l="1"/>
  <c r="CE75" i="15"/>
  <c r="BN21" i="15" l="1"/>
  <c r="CF27" i="4" l="1"/>
  <c r="CF24" i="4"/>
  <c r="CF81" i="5"/>
  <c r="CF80" i="5"/>
  <c r="CF79" i="5"/>
  <c r="CF96" i="6"/>
  <c r="CG101" i="6"/>
  <c r="CF79" i="6"/>
  <c r="CF69" i="6"/>
  <c r="CF71" i="15"/>
  <c r="CF30" i="6"/>
  <c r="BN44" i="15"/>
  <c r="CF43" i="15"/>
  <c r="CE43" i="15"/>
  <c r="CF42" i="15"/>
  <c r="CF49" i="6"/>
  <c r="CF15" i="6"/>
  <c r="BN97" i="15"/>
  <c r="BN98" i="15" s="1"/>
  <c r="CE100" i="5"/>
  <c r="CE101" i="5"/>
  <c r="CE102" i="5"/>
  <c r="CE106" i="5"/>
  <c r="CF72" i="15"/>
  <c r="CF74" i="15"/>
  <c r="BU76" i="15"/>
  <c r="CE13" i="6"/>
  <c r="CF13" i="6"/>
  <c r="CE80" i="6"/>
  <c r="CE72" i="6"/>
  <c r="CE73" i="6"/>
  <c r="CE27" i="5"/>
  <c r="CE101" i="6"/>
  <c r="CE97" i="6"/>
  <c r="CE67" i="6"/>
  <c r="CF100" i="6"/>
  <c r="CE29" i="6"/>
  <c r="CE91" i="6"/>
  <c r="CE96" i="6"/>
  <c r="CE80" i="5"/>
  <c r="CE61" i="15"/>
  <c r="BN62" i="15"/>
  <c r="CE14" i="6"/>
  <c r="CE71" i="15"/>
  <c r="CE26" i="5"/>
  <c r="CF82" i="5"/>
  <c r="CE106" i="6"/>
  <c r="CE52" i="15"/>
  <c r="CE70" i="15"/>
  <c r="CF70" i="6"/>
  <c r="CE15" i="6"/>
  <c r="CF89" i="15"/>
  <c r="CE89" i="15"/>
  <c r="CF88" i="15"/>
  <c r="CE88" i="15"/>
  <c r="CF87" i="15"/>
  <c r="CE85" i="15"/>
  <c r="CE74" i="15"/>
  <c r="CF73" i="15"/>
  <c r="CE73" i="15"/>
  <c r="CF70" i="15"/>
  <c r="CF69" i="15"/>
  <c r="CE69" i="15"/>
  <c r="CF33" i="15"/>
  <c r="CE33" i="15"/>
  <c r="CE32" i="15"/>
  <c r="BN23" i="15"/>
  <c r="CF22" i="15"/>
  <c r="CE22" i="15"/>
  <c r="CF21" i="15"/>
  <c r="CE21" i="15"/>
  <c r="CE11" i="15"/>
  <c r="CF10" i="15"/>
  <c r="CE10" i="15"/>
  <c r="CE9" i="15"/>
  <c r="CF9" i="15"/>
  <c r="CE8" i="15"/>
  <c r="CF7" i="15"/>
  <c r="CE7" i="15"/>
  <c r="CE6" i="15"/>
  <c r="CE107" i="5"/>
  <c r="CE105" i="5"/>
  <c r="CE102" i="6"/>
  <c r="CF76" i="6"/>
  <c r="CE69" i="6"/>
  <c r="CE103" i="6"/>
  <c r="CF93" i="6"/>
  <c r="CF81" i="6"/>
  <c r="CE49" i="6"/>
  <c r="CF26" i="5"/>
  <c r="CF80" i="6"/>
  <c r="CF84" i="5"/>
  <c r="CE84" i="5"/>
  <c r="CE83" i="5"/>
  <c r="CF92" i="6"/>
  <c r="CF82" i="6"/>
  <c r="CF72" i="6"/>
  <c r="CE81" i="5"/>
  <c r="CE99" i="6"/>
  <c r="CE92" i="6"/>
  <c r="CE30" i="6"/>
  <c r="CE79" i="6"/>
  <c r="CF108" i="6"/>
  <c r="CE104" i="6"/>
  <c r="CF104" i="6"/>
  <c r="CE75" i="6"/>
  <c r="CE82" i="6"/>
  <c r="CE105" i="6"/>
  <c r="CE93" i="6"/>
  <c r="CE68" i="6"/>
  <c r="CE79" i="5"/>
  <c r="L4" i="12"/>
  <c r="BJ68" i="5"/>
  <c r="CE98" i="6"/>
  <c r="CE29" i="4"/>
  <c r="CF29" i="4"/>
  <c r="CF28" i="4"/>
  <c r="CE28" i="4"/>
  <c r="CE27" i="4"/>
  <c r="CE26" i="4"/>
  <c r="CF26" i="4"/>
  <c r="CE25" i="4"/>
  <c r="CF25" i="4"/>
  <c r="CE24" i="4"/>
  <c r="CF98" i="6"/>
  <c r="CF77" i="6"/>
  <c r="CF68" i="6"/>
  <c r="CH26" i="5"/>
  <c r="CF91" i="6"/>
  <c r="CF73" i="6"/>
  <c r="CF11" i="4"/>
  <c r="CE111" i="6"/>
  <c r="CF111" i="6"/>
  <c r="S17" i="12"/>
  <c r="CF121" i="6"/>
  <c r="BN122" i="6"/>
  <c r="CE71" i="6"/>
  <c r="Y34" i="3"/>
  <c r="CE112" i="6"/>
  <c r="CE70" i="6"/>
  <c r="CE78" i="6"/>
  <c r="G106" i="11"/>
  <c r="G99" i="11"/>
  <c r="G39" i="11"/>
  <c r="V18" i="12"/>
  <c r="AD16" i="12"/>
  <c r="AE16" i="12"/>
  <c r="L16" i="12"/>
  <c r="E16" i="12"/>
  <c r="F16" i="12" s="1"/>
  <c r="G16" i="12" s="1"/>
  <c r="AD15" i="12"/>
  <c r="AE15" i="12"/>
  <c r="L15" i="12"/>
  <c r="M15" i="12" s="1"/>
  <c r="N15" i="12" s="1"/>
  <c r="E15" i="12"/>
  <c r="F15" i="12" s="1"/>
  <c r="G15" i="12" s="1"/>
  <c r="AD14" i="12"/>
  <c r="AE14" i="12" s="1"/>
  <c r="L14" i="12"/>
  <c r="M14" i="12" s="1"/>
  <c r="N14" i="12" s="1"/>
  <c r="E14" i="12"/>
  <c r="F14" i="12" s="1"/>
  <c r="AD13" i="12"/>
  <c r="AE13" i="12" s="1"/>
  <c r="L13" i="12"/>
  <c r="M13" i="12" s="1"/>
  <c r="N13" i="12" s="1"/>
  <c r="E13" i="12"/>
  <c r="F13" i="12" s="1"/>
  <c r="AD12" i="12"/>
  <c r="AE12" i="12" s="1"/>
  <c r="L12" i="12"/>
  <c r="E12" i="12"/>
  <c r="F12" i="12" s="1"/>
  <c r="AD11" i="12"/>
  <c r="AE11" i="12" s="1"/>
  <c r="L11" i="12"/>
  <c r="M11" i="12" s="1"/>
  <c r="N11" i="12" s="1"/>
  <c r="E11" i="12"/>
  <c r="AD10" i="12"/>
  <c r="AE10" i="12" s="1"/>
  <c r="L10" i="12"/>
  <c r="E10" i="12"/>
  <c r="AD9" i="12"/>
  <c r="AE9" i="12" s="1"/>
  <c r="L9" i="12"/>
  <c r="M9" i="12" s="1"/>
  <c r="N9" i="12" s="1"/>
  <c r="E9" i="12"/>
  <c r="AD8" i="12"/>
  <c r="AE8" i="12" s="1"/>
  <c r="L8" i="12"/>
  <c r="M8" i="12" s="1"/>
  <c r="N8" i="12" s="1"/>
  <c r="E8" i="12"/>
  <c r="F8" i="12" s="1"/>
  <c r="AD7" i="12"/>
  <c r="AE7" i="12" s="1"/>
  <c r="X7" i="12"/>
  <c r="L7" i="12"/>
  <c r="M7" i="12" s="1"/>
  <c r="N7" i="12" s="1"/>
  <c r="E7" i="12"/>
  <c r="F7" i="12" s="1"/>
  <c r="G7" i="12" s="1"/>
  <c r="AD6" i="12"/>
  <c r="AE6" i="12" s="1"/>
  <c r="X6" i="12"/>
  <c r="W6" i="12" s="1"/>
  <c r="Y6" i="12" s="1"/>
  <c r="L6" i="12"/>
  <c r="E6" i="12"/>
  <c r="F6" i="12" s="1"/>
  <c r="G6" i="12" s="1"/>
  <c r="AD5" i="12"/>
  <c r="AE5" i="12" s="1"/>
  <c r="X5" i="12"/>
  <c r="W5" i="12" s="1"/>
  <c r="Y5" i="12" s="1"/>
  <c r="M5" i="12"/>
  <c r="N5" i="12" s="1"/>
  <c r="E5" i="12"/>
  <c r="F5" i="12" s="1"/>
  <c r="AD4" i="12"/>
  <c r="AE4" i="12" s="1"/>
  <c r="X4" i="12"/>
  <c r="W4" i="12" s="1"/>
  <c r="Y4" i="12" s="1"/>
  <c r="E4" i="12"/>
  <c r="CE82" i="5"/>
  <c r="CE120" i="5"/>
  <c r="CF120" i="5"/>
  <c r="G136" i="11"/>
  <c r="D133" i="11"/>
  <c r="D132" i="11"/>
  <c r="C131" i="11"/>
  <c r="D131" i="11" s="1"/>
  <c r="D129" i="11"/>
  <c r="F127" i="11"/>
  <c r="E127" i="11"/>
  <c r="D121" i="11"/>
  <c r="F120" i="11"/>
  <c r="F118" i="11"/>
  <c r="F115" i="11"/>
  <c r="E114" i="11"/>
  <c r="D113" i="11"/>
  <c r="F112" i="11"/>
  <c r="D110" i="11"/>
  <c r="D109" i="11"/>
  <c r="D108" i="11"/>
  <c r="E106" i="11"/>
  <c r="F105" i="11"/>
  <c r="E105" i="11"/>
  <c r="D105" i="11"/>
  <c r="D104" i="11"/>
  <c r="D103" i="11"/>
  <c r="F102" i="11"/>
  <c r="F99" i="11" s="1"/>
  <c r="E102" i="11"/>
  <c r="E99" i="11" s="1"/>
  <c r="D102" i="11"/>
  <c r="D100" i="11"/>
  <c r="D99" i="11"/>
  <c r="C99" i="11"/>
  <c r="G97" i="11"/>
  <c r="F96" i="11"/>
  <c r="E96" i="11"/>
  <c r="F95" i="11"/>
  <c r="F93" i="11" s="1"/>
  <c r="E95" i="11"/>
  <c r="E93" i="11"/>
  <c r="D95" i="11"/>
  <c r="D94" i="11"/>
  <c r="D93" i="11" s="1"/>
  <c r="G93" i="11"/>
  <c r="C93" i="11"/>
  <c r="D92" i="11"/>
  <c r="E88" i="11"/>
  <c r="D87" i="11"/>
  <c r="G86" i="11"/>
  <c r="F86" i="11"/>
  <c r="E86" i="11"/>
  <c r="D86" i="11"/>
  <c r="C86" i="11"/>
  <c r="F85" i="11"/>
  <c r="F84" i="11"/>
  <c r="F80" i="11"/>
  <c r="F83" i="11"/>
  <c r="F82" i="11"/>
  <c r="G80" i="11"/>
  <c r="E80" i="11"/>
  <c r="D80" i="11"/>
  <c r="C80" i="11"/>
  <c r="F79" i="11"/>
  <c r="F62" i="11"/>
  <c r="E79" i="11"/>
  <c r="D79" i="11"/>
  <c r="F78" i="11"/>
  <c r="E78" i="11"/>
  <c r="D78" i="11"/>
  <c r="F76" i="11"/>
  <c r="E76" i="11"/>
  <c r="D76" i="11"/>
  <c r="F75" i="11"/>
  <c r="F74" i="11"/>
  <c r="D72" i="11"/>
  <c r="E71" i="11"/>
  <c r="E62" i="11" s="1"/>
  <c r="D71" i="11"/>
  <c r="F70" i="11"/>
  <c r="E68" i="11"/>
  <c r="D68" i="11"/>
  <c r="F67" i="11"/>
  <c r="D65" i="11"/>
  <c r="D64" i="11"/>
  <c r="D62" i="11" s="1"/>
  <c r="F63" i="11"/>
  <c r="G62" i="11"/>
  <c r="C62" i="11"/>
  <c r="F61" i="11"/>
  <c r="D61" i="11"/>
  <c r="E58" i="11"/>
  <c r="F56" i="11"/>
  <c r="E56" i="11"/>
  <c r="D56" i="11"/>
  <c r="F55" i="11"/>
  <c r="E55" i="11"/>
  <c r="E46" i="11" s="1"/>
  <c r="D55" i="11"/>
  <c r="E54" i="11"/>
  <c r="F53" i="11"/>
  <c r="F52" i="11"/>
  <c r="E52" i="11"/>
  <c r="F50" i="11"/>
  <c r="D50" i="11"/>
  <c r="F49" i="11"/>
  <c r="E49" i="11"/>
  <c r="D49" i="11"/>
  <c r="F48" i="11"/>
  <c r="F46" i="11" s="1"/>
  <c r="D48" i="11"/>
  <c r="F47" i="11"/>
  <c r="E47" i="11"/>
  <c r="D47" i="11"/>
  <c r="D46" i="11" s="1"/>
  <c r="G46" i="11"/>
  <c r="C46" i="11"/>
  <c r="C134" i="11"/>
  <c r="D45" i="11"/>
  <c r="D44" i="11"/>
  <c r="D43" i="11"/>
  <c r="C42" i="11"/>
  <c r="D42" i="11" s="1"/>
  <c r="D41" i="11"/>
  <c r="E40" i="11"/>
  <c r="D40" i="11"/>
  <c r="E39" i="11"/>
  <c r="D39" i="11"/>
  <c r="E38" i="11"/>
  <c r="E36" i="11"/>
  <c r="D38" i="11"/>
  <c r="D37" i="11"/>
  <c r="D36" i="11"/>
  <c r="G36" i="11"/>
  <c r="F36" i="11"/>
  <c r="C36" i="11"/>
  <c r="D35" i="11"/>
  <c r="G34" i="11"/>
  <c r="F34" i="11"/>
  <c r="E34" i="11"/>
  <c r="D34" i="11"/>
  <c r="C34" i="11"/>
  <c r="D33" i="11"/>
  <c r="D32" i="11"/>
  <c r="F31" i="11"/>
  <c r="E31" i="11"/>
  <c r="D31" i="11"/>
  <c r="E30" i="11"/>
  <c r="D30" i="11"/>
  <c r="F29" i="11"/>
  <c r="F28" i="11" s="1"/>
  <c r="F26" i="11" s="1"/>
  <c r="E29" i="11"/>
  <c r="E28" i="11" s="1"/>
  <c r="E26" i="11" s="1"/>
  <c r="D29" i="11"/>
  <c r="D28" i="11" s="1"/>
  <c r="D27" i="11"/>
  <c r="D26" i="11" s="1"/>
  <c r="G26" i="11"/>
  <c r="G134" i="11" s="1"/>
  <c r="G135" i="11" s="1"/>
  <c r="C26" i="11"/>
  <c r="G24" i="11"/>
  <c r="G23" i="11"/>
  <c r="F23" i="11"/>
  <c r="C23" i="11"/>
  <c r="D22" i="11"/>
  <c r="F21" i="11"/>
  <c r="F24" i="11"/>
  <c r="E21" i="11"/>
  <c r="E24" i="11"/>
  <c r="D21" i="11"/>
  <c r="D20" i="11"/>
  <c r="D23" i="11" s="1"/>
  <c r="D19" i="11"/>
  <c r="C17" i="11"/>
  <c r="D17" i="11" s="1"/>
  <c r="D15" i="11"/>
  <c r="D24" i="11" s="1"/>
  <c r="Y38" i="3"/>
  <c r="BJ57" i="5"/>
  <c r="CF120" i="6"/>
  <c r="CE120" i="6"/>
  <c r="BJ121" i="5"/>
  <c r="BN96" i="15" s="1"/>
  <c r="CF85" i="5"/>
  <c r="CE76" i="6"/>
  <c r="Y40" i="3"/>
  <c r="Y39" i="3"/>
  <c r="Y45" i="3" s="1"/>
  <c r="CS51" i="3" s="1"/>
  <c r="Y27" i="3"/>
  <c r="CF103" i="6"/>
  <c r="CE99" i="5"/>
  <c r="CF112" i="6"/>
  <c r="CE23" i="4"/>
  <c r="CE22" i="4"/>
  <c r="CE85" i="5"/>
  <c r="CF31" i="6"/>
  <c r="CE77" i="6"/>
  <c r="CE121" i="6"/>
  <c r="CF122" i="6"/>
  <c r="CF123" i="6"/>
  <c r="CE41" i="5"/>
  <c r="CE42" i="5"/>
  <c r="CE55" i="5"/>
  <c r="CE56" i="5"/>
  <c r="CF56" i="5"/>
  <c r="CE57" i="5"/>
  <c r="BJ43" i="5"/>
  <c r="BP13" i="4"/>
  <c r="CE11" i="4"/>
  <c r="AO45" i="3"/>
  <c r="BF45" i="3"/>
  <c r="BX45" i="3"/>
  <c r="CQ45" i="3"/>
  <c r="DI45" i="3"/>
  <c r="DY45" i="3"/>
  <c r="DL51" i="3"/>
  <c r="CF23" i="4"/>
  <c r="M10" i="12"/>
  <c r="CF71" i="6"/>
  <c r="CJ26" i="5"/>
  <c r="CF67" i="6"/>
  <c r="CF99" i="6"/>
  <c r="M16" i="12"/>
  <c r="CE94" i="6"/>
  <c r="CF22" i="4"/>
  <c r="CF55" i="5"/>
  <c r="CF106" i="6"/>
  <c r="G138" i="11"/>
  <c r="CE108" i="6"/>
  <c r="CF102" i="6"/>
  <c r="CE81" i="6"/>
  <c r="CE100" i="6"/>
  <c r="CF94" i="6"/>
  <c r="CF78" i="6"/>
  <c r="CF75" i="6"/>
  <c r="M12" i="12"/>
  <c r="N12" i="12" s="1"/>
  <c r="CF105" i="6"/>
  <c r="CF101" i="6"/>
  <c r="CF52" i="15"/>
  <c r="CF83" i="5"/>
  <c r="CF61" i="15"/>
  <c r="CF32" i="15"/>
  <c r="CF85" i="15"/>
  <c r="CF8" i="15"/>
  <c r="BN34" i="15"/>
  <c r="CE87" i="15"/>
  <c r="CF11" i="15"/>
  <c r="CE72" i="15"/>
  <c r="CF97" i="6"/>
  <c r="CF27" i="5"/>
  <c r="CJ27" i="5"/>
  <c r="CH27" i="5"/>
  <c r="CE42" i="15"/>
  <c r="BP31" i="6"/>
  <c r="CF14" i="6"/>
  <c r="CF29" i="6"/>
  <c r="CE98" i="5"/>
  <c r="CF6" i="15"/>
  <c r="BN94" i="15" l="1"/>
  <c r="N16" i="12"/>
  <c r="M6" i="12"/>
  <c r="N6" i="12"/>
  <c r="M4" i="12"/>
  <c r="N4" i="12" s="1"/>
  <c r="BJ86" i="5"/>
  <c r="BN95" i="15" s="1"/>
  <c r="N10" i="12"/>
  <c r="G14" i="12"/>
  <c r="G12" i="12"/>
  <c r="F11" i="12"/>
  <c r="G11" i="12" s="1"/>
  <c r="F9" i="12"/>
  <c r="G9" i="12" s="1"/>
  <c r="G5" i="12"/>
  <c r="BN93" i="15"/>
  <c r="F134" i="11"/>
  <c r="D134" i="11"/>
  <c r="AE17" i="12"/>
  <c r="E134" i="11"/>
  <c r="D18" i="11"/>
  <c r="C24" i="11"/>
  <c r="F10" i="12"/>
  <c r="G10" i="12" s="1"/>
  <c r="F4" i="12"/>
  <c r="G4" i="12" s="1"/>
  <c r="G8" i="12"/>
  <c r="G13" i="12"/>
  <c r="BN92" i="15" l="1"/>
  <c r="BN99" i="15" s="1"/>
  <c r="CD99" i="15" s="1"/>
  <c r="N17" i="12"/>
  <c r="G17" i="12"/>
</calcChain>
</file>

<file path=xl/sharedStrings.xml><?xml version="1.0" encoding="utf-8"?>
<sst xmlns="http://schemas.openxmlformats.org/spreadsheetml/2006/main" count="970" uniqueCount="516">
  <si>
    <t>Приложение № 2</t>
  </si>
  <si>
    <t>1. Расчеты (обоснования) выплат персоналу (строка 210)</t>
  </si>
  <si>
    <t>Код видов расходов</t>
  </si>
  <si>
    <t>Источник финансового обеспечения</t>
  </si>
  <si>
    <t>1.1. Расчеты (обоснования) расходов на оплату труда</t>
  </si>
  <si>
    <t>№</t>
  </si>
  <si>
    <t>п/п</t>
  </si>
  <si>
    <t>Среднемесячный размер оплаты труда на одного работника, руб.</t>
  </si>
  <si>
    <t>всего</t>
  </si>
  <si>
    <t>в том числе:</t>
  </si>
  <si>
    <t>Итого:</t>
  </si>
  <si>
    <t>х</t>
  </si>
  <si>
    <t>1.2. Расчеты (обоснования) выплат персоналу при направлении в служебные командировки</t>
  </si>
  <si>
    <t>Наименование расходов</t>
  </si>
  <si>
    <t>Средний размер</t>
  </si>
  <si>
    <t>выплаты на одного</t>
  </si>
  <si>
    <t>работника в день,</t>
  </si>
  <si>
    <t>руб.</t>
  </si>
  <si>
    <t>Количество</t>
  </si>
  <si>
    <t>работников,</t>
  </si>
  <si>
    <t>чел.</t>
  </si>
  <si>
    <t>дней</t>
  </si>
  <si>
    <t>Сумма, руб.</t>
  </si>
  <si>
    <t>Численность</t>
  </si>
  <si>
    <t>получающих</t>
  </si>
  <si>
    <t>пособие</t>
  </si>
  <si>
    <t>выплат в год</t>
  </si>
  <si>
    <t>на одного</t>
  </si>
  <si>
    <t>работника</t>
  </si>
  <si>
    <t>Размер</t>
  </si>
  <si>
    <t>выплаты</t>
  </si>
  <si>
    <t>в месяц, руб.</t>
  </si>
  <si>
    <t>(пособия)</t>
  </si>
  <si>
    <t>1.4. Расчеты (обоснования) страховых взносов на обязательное страхование в Пенсионный</t>
  </si>
  <si>
    <t>фонд Российской Федерации, в Фонд социального страхования Российской Федерации,</t>
  </si>
  <si>
    <t>в Федеральный фонд обязательного медицинского страхования</t>
  </si>
  <si>
    <t>Наименование государственного внебюджетного фонда</t>
  </si>
  <si>
    <t>Сумма взноса,</t>
  </si>
  <si>
    <t>Размер базы</t>
  </si>
  <si>
    <t>для начисления</t>
  </si>
  <si>
    <t>страховых</t>
  </si>
  <si>
    <t>1.1.</t>
  </si>
  <si>
    <t>Страховые взносы в Пенсионный фонд Российской Федерации, всего</t>
  </si>
  <si>
    <t>по ставке 22,0 %</t>
  </si>
  <si>
    <t>по ставке 10,0 %</t>
  </si>
  <si>
    <t>1.2.</t>
  </si>
  <si>
    <t>1.3.</t>
  </si>
  <si>
    <t>с применением пониженных тарифов взносов в Пенсионный фонд</t>
  </si>
  <si>
    <t>Российской Федерации для отдельных категорий плательщиков</t>
  </si>
  <si>
    <t>Страховые взносы в Фонд социального страхования Российской</t>
  </si>
  <si>
    <t xml:space="preserve">обязательное социальное страхование на случай временной </t>
  </si>
  <si>
    <t>2.1.</t>
  </si>
  <si>
    <t>с применением ставки взносов в Фонд социального страхования</t>
  </si>
  <si>
    <t>Российской Федерации по ставке 0,0 %</t>
  </si>
  <si>
    <t>2.2.</t>
  </si>
  <si>
    <t>обязательное социальное страхование от несчастных случаев</t>
  </si>
  <si>
    <t>на производстве и профессиональных заболеваний по ставке 0,2 %</t>
  </si>
  <si>
    <t>2.3.</t>
  </si>
  <si>
    <t>2.4.</t>
  </si>
  <si>
    <t>2.5.</t>
  </si>
  <si>
    <r>
      <t>на производстве и профессиональных заболеваний по ставке 0,_ %</t>
    </r>
    <r>
      <rPr>
        <vertAlign val="superscript"/>
        <sz val="10"/>
        <rFont val="Times New Roman"/>
        <family val="1"/>
        <charset val="204"/>
      </rPr>
      <t>*</t>
    </r>
  </si>
  <si>
    <t>Страховые взносы в Федеральный фонд обязательного медицинского</t>
  </si>
  <si>
    <t>страхования, всего (по ставке 5,1 %)</t>
  </si>
  <si>
    <t>Наименование показателя</t>
  </si>
  <si>
    <t>2. Расчеты (обоснования) расходов на социальные и иные выплаты населению</t>
  </si>
  <si>
    <t>Размер одной</t>
  </si>
  <si>
    <t>выплаты, руб.</t>
  </si>
  <si>
    <t>Общая сумма</t>
  </si>
  <si>
    <t>выплат, руб.</t>
  </si>
  <si>
    <t>Налоговая</t>
  </si>
  <si>
    <t>база, руб.</t>
  </si>
  <si>
    <t>%</t>
  </si>
  <si>
    <t xml:space="preserve">Ставка </t>
  </si>
  <si>
    <t>налога, %</t>
  </si>
  <si>
    <t>Сумма исчисленного</t>
  </si>
  <si>
    <t>налога, подлежащего</t>
  </si>
  <si>
    <t>уплате, руб.</t>
  </si>
  <si>
    <t>(гр. 3×гр. 4)</t>
  </si>
  <si>
    <t>(гр. 3×гр. 4/100)</t>
  </si>
  <si>
    <t>6. Расчет (обоснование) расходов на закупку товаров, работ, услуг</t>
  </si>
  <si>
    <t>номеров</t>
  </si>
  <si>
    <t>в год</t>
  </si>
  <si>
    <t>платежей</t>
  </si>
  <si>
    <t>Стоимость</t>
  </si>
  <si>
    <t>за единицу,</t>
  </si>
  <si>
    <t>услуг</t>
  </si>
  <si>
    <t>перевозки</t>
  </si>
  <si>
    <t>Цена услуги</t>
  </si>
  <si>
    <t>(гр. 3×гр. 4×гр.5)</t>
  </si>
  <si>
    <t>6.2. Расчет (обоснование) расходов на оплату транспортных услуг</t>
  </si>
  <si>
    <t>потребления</t>
  </si>
  <si>
    <t>ресурсов</t>
  </si>
  <si>
    <t>Тариф</t>
  </si>
  <si>
    <t>(с учетом</t>
  </si>
  <si>
    <t>НДС), руб.</t>
  </si>
  <si>
    <t>Индексация,</t>
  </si>
  <si>
    <t>6.4. Расчет (обоснование) расходов на оплату аренды имущества</t>
  </si>
  <si>
    <t>Ставка</t>
  </si>
  <si>
    <t>арендной</t>
  </si>
  <si>
    <t>платы</t>
  </si>
  <si>
    <t>с учетом НДС,</t>
  </si>
  <si>
    <t>Объект</t>
  </si>
  <si>
    <t>работ</t>
  </si>
  <si>
    <t>(услуг)</t>
  </si>
  <si>
    <t>договоров</t>
  </si>
  <si>
    <t>услуги, руб.</t>
  </si>
  <si>
    <t>Средняя</t>
  </si>
  <si>
    <t>стоимость,</t>
  </si>
  <si>
    <t>взносов, руб.</t>
  </si>
  <si>
    <t>Федерации, всего</t>
  </si>
  <si>
    <t>нетрудоспособности и в связи с материнством по ставке 2,9 %</t>
  </si>
  <si>
    <t>* Указываются страховые тарифы, дифференцированные по классам профессионального риска, установленные Федеральным законом от 22 декабря 2005 г. № 179-ФЗ «О страховых тарифах на обязательное социальное страхование от несчастных случаев на производстве и профессиональных заболеваний на 2006 год» (Собрание законодательства Российской Федерации, 2005, № 52, ст. 5592; 2015, № 51, ст.7233).</t>
  </si>
  <si>
    <t>3. Расчет (обоснование) расходов на уплату налогов, сборов и иных платежей</t>
  </si>
  <si>
    <t>перевозки,</t>
  </si>
  <si>
    <t>(гр. 4×гр. 5×гр. 6)</t>
  </si>
  <si>
    <t>работ (услуг),</t>
  </si>
  <si>
    <t>(гр. 2×гр. 3)</t>
  </si>
  <si>
    <t>Абонентская и повременная оплата телефонной связи</t>
  </si>
  <si>
    <t>Расходы за использование сети Интернет</t>
  </si>
  <si>
    <t>Оплата отопления</t>
  </si>
  <si>
    <t>Оплата потребления электроэнергии</t>
  </si>
  <si>
    <t>Оплата водоснабжения и канализации</t>
  </si>
  <si>
    <t>Вывоз ТБО</t>
  </si>
  <si>
    <t>Измерение контуров заземления</t>
  </si>
  <si>
    <t>Гидравлика</t>
  </si>
  <si>
    <t>Техническое обслуживание системы видеонаблюдения</t>
  </si>
  <si>
    <t>Обслуживание тревожной кнопки</t>
  </si>
  <si>
    <t>Бумага и канцелярские принадлежности</t>
  </si>
  <si>
    <t>земельный налог</t>
  </si>
  <si>
    <t>Субсидия на выполнение муниципального задания</t>
  </si>
  <si>
    <t>851</t>
  </si>
  <si>
    <t>244</t>
  </si>
  <si>
    <t>Поступления от оказания услуг (выполнения работ) на платной основе и от иной приносящей доход деятельности</t>
  </si>
  <si>
    <t>Итого на выполнение муниципального задания:</t>
  </si>
  <si>
    <t>в том числе за счет субвенции:</t>
  </si>
  <si>
    <t>Итого субсидии на иные цели</t>
  </si>
  <si>
    <t>Итого по ПДД</t>
  </si>
  <si>
    <t>ВСЕГО</t>
  </si>
  <si>
    <t>111</t>
  </si>
  <si>
    <t>Страхование гражданской ответственности</t>
  </si>
  <si>
    <t>к Требованиям к плану финансово-хозяйственной деятельности государственного (муниципального) учреждения, утвержденным приказом Министерства финансов Российской Федерации
от 28 июля 2010 г. № 81н</t>
  </si>
  <si>
    <t>(в ред. Приказа Минфина России от 29.08.2016 № 142н)</t>
  </si>
  <si>
    <t xml:space="preserve">Источник финансового обеспечения </t>
  </si>
  <si>
    <t>№ 
п/п</t>
  </si>
  <si>
    <t>Должность, 
группа должностей</t>
  </si>
  <si>
    <t>Установленная численность, единиц</t>
  </si>
  <si>
    <t>Ежемесячная надбавка к должностному окладу, %</t>
  </si>
  <si>
    <t>Районный коэффициент</t>
  </si>
  <si>
    <t>Фонд оплаты труда в год, руб. (гр. 3 x гр. 4 x 
(1 + гр. 8 / 100) x 
гр. 9 x 12)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</si>
  <si>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</si>
  <si>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</si>
  <si>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</si>
  <si>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1</t>
  </si>
  <si>
    <t>Директор</t>
  </si>
  <si>
    <t>2</t>
  </si>
  <si>
    <t>Заместитель директора</t>
  </si>
  <si>
    <t>3</t>
  </si>
  <si>
    <t>Педагог дополнительного образования</t>
  </si>
  <si>
    <t>4</t>
  </si>
  <si>
    <t>Педагог-организатор</t>
  </si>
  <si>
    <t>5</t>
  </si>
  <si>
    <t>Воспитатель</t>
  </si>
  <si>
    <t>6</t>
  </si>
  <si>
    <t>Педагог-психолог</t>
  </si>
  <si>
    <t>7</t>
  </si>
  <si>
    <t>Учитель-логопед</t>
  </si>
  <si>
    <t>8</t>
  </si>
  <si>
    <t>Педагог-библиотекарь</t>
  </si>
  <si>
    <t>9</t>
  </si>
  <si>
    <t>Учитель</t>
  </si>
  <si>
    <t>10</t>
  </si>
  <si>
    <t>Заместитель директора по административно-хозяйственной деятельности</t>
  </si>
  <si>
    <t>11</t>
  </si>
  <si>
    <t>Сектретарь</t>
  </si>
  <si>
    <t>12</t>
  </si>
  <si>
    <t>Лаборант</t>
  </si>
  <si>
    <t>13</t>
  </si>
  <si>
    <t>Специалист по охране труда</t>
  </si>
  <si>
    <t>14</t>
  </si>
  <si>
    <t>Специалист по обслуживанию компьютерных систем</t>
  </si>
  <si>
    <t>15</t>
  </si>
  <si>
    <t>Делопроизводитель</t>
  </si>
  <si>
    <t>16</t>
  </si>
  <si>
    <t>Уборщик служебных помещений</t>
  </si>
  <si>
    <t>17</t>
  </si>
  <si>
    <t>Рабочий по комплексному обслуживанию и ремонту зданий</t>
  </si>
  <si>
    <t>18</t>
  </si>
  <si>
    <t>Дворник</t>
  </si>
  <si>
    <t>19</t>
  </si>
  <si>
    <t>20</t>
  </si>
  <si>
    <t>Сторож</t>
  </si>
  <si>
    <t xml:space="preserve">Итого: </t>
  </si>
  <si>
    <t>Электромонтер по ремонту и обслуживанию электрооборудования</t>
  </si>
  <si>
    <t>договор</t>
  </si>
  <si>
    <t>оплата</t>
  </si>
  <si>
    <t>,</t>
  </si>
  <si>
    <t>Гос. Пошлина зы выдачу свидет. На аккредитаци.</t>
  </si>
  <si>
    <t xml:space="preserve">коммунальных услуг </t>
  </si>
  <si>
    <t>КОСГУ</t>
  </si>
  <si>
    <t xml:space="preserve">Ремонт оргтехники </t>
  </si>
  <si>
    <t>Тревожная кнопка</t>
  </si>
  <si>
    <t>Юридические услуги</t>
  </si>
  <si>
    <t>852/291</t>
  </si>
  <si>
    <t>Охрана ЧОП</t>
  </si>
  <si>
    <t>система фильтрации сайтов</t>
  </si>
  <si>
    <t>Итого м/Б</t>
  </si>
  <si>
    <t>Итого Р/Б</t>
  </si>
  <si>
    <t>в том числе за счет муниципального бюджета</t>
  </si>
  <si>
    <t xml:space="preserve">2ПДД </t>
  </si>
  <si>
    <t>ПЛАН  РАСХОДОВ</t>
  </si>
  <si>
    <t>(наименование учреждения)</t>
  </si>
  <si>
    <t>Раздел, подраздел</t>
  </si>
  <si>
    <t>0702</t>
  </si>
  <si>
    <t>Целевая статья</t>
  </si>
  <si>
    <t>-</t>
  </si>
  <si>
    <t>Наименование</t>
  </si>
  <si>
    <t>план</t>
  </si>
  <si>
    <t xml:space="preserve"> рублей</t>
  </si>
  <si>
    <t>КВР 100  "Расходы на выплату персоналу"</t>
  </si>
  <si>
    <t>Заработная плата</t>
  </si>
  <si>
    <t>Заработная плата (субсидия)</t>
  </si>
  <si>
    <r>
      <t>Прочие выплаты</t>
    </r>
    <r>
      <rPr>
        <sz val="10"/>
        <rFont val="Times New Roman"/>
        <family val="1"/>
        <charset val="204"/>
      </rPr>
      <t>, всего</t>
    </r>
    <r>
      <rPr>
        <b/>
        <sz val="10"/>
        <rFont val="Times New Roman"/>
        <family val="1"/>
        <charset val="204"/>
      </rPr>
      <t xml:space="preserve"> </t>
    </r>
  </si>
  <si>
    <t>в том числе:  суточные при командировках</t>
  </si>
  <si>
    <t>другие выплаты</t>
  </si>
  <si>
    <t>Начисления на фонд оплаты труда</t>
  </si>
  <si>
    <t>оплата проезда по служебным командировкам</t>
  </si>
  <si>
    <t>найм жилых помещений при служебных командировках</t>
  </si>
  <si>
    <t>ИТОГО зарплата с начислениями (211 + 213)</t>
  </si>
  <si>
    <t>Х</t>
  </si>
  <si>
    <t>ИТОГО по КВР 110</t>
  </si>
  <si>
    <r>
      <t>Услуги связи</t>
    </r>
    <r>
      <rPr>
        <sz val="10"/>
        <rFont val="Times New Roman"/>
        <family val="1"/>
        <charset val="204"/>
      </rPr>
      <t>, всего, в том числе:</t>
    </r>
  </si>
  <si>
    <t>оплата услуг почтовой связи (в том числе оплата услуг фельдъегерской и специальной связи);</t>
  </si>
  <si>
    <t>Закупка работ и услуг в сфере информационно-коммуникационных технологий</t>
  </si>
  <si>
    <t>из них: абонентская и повременная оплата телефонной связи (местная, междугородная, международная)</t>
  </si>
  <si>
    <t>почтовые расходы</t>
  </si>
  <si>
    <t xml:space="preserve">             расходы на использование сети Интернет</t>
  </si>
  <si>
    <t xml:space="preserve">             прочее</t>
  </si>
  <si>
    <t>другое</t>
  </si>
  <si>
    <r>
      <t>Транспортные услуги</t>
    </r>
    <r>
      <rPr>
        <sz val="10"/>
        <rFont val="Times New Roman"/>
        <family val="1"/>
        <charset val="204"/>
      </rPr>
      <t>, всего</t>
    </r>
    <r>
      <rPr>
        <b/>
        <sz val="10"/>
        <rFont val="Times New Roman"/>
        <family val="1"/>
        <charset val="204"/>
      </rPr>
      <t xml:space="preserve"> </t>
    </r>
  </si>
  <si>
    <t>в том числе: найм транспортных средств</t>
  </si>
  <si>
    <r>
      <t>Коммунальные услуги</t>
    </r>
    <r>
      <rPr>
        <sz val="10"/>
        <rFont val="Times New Roman"/>
        <family val="1"/>
        <charset val="204"/>
      </rPr>
      <t>, всего</t>
    </r>
  </si>
  <si>
    <t>в том числе: оплата отопления</t>
  </si>
  <si>
    <t xml:space="preserve">оплата потребления газа </t>
  </si>
  <si>
    <t>оплата потребления электроэнергии</t>
  </si>
  <si>
    <t>оплата водоснабжения, канализации</t>
  </si>
  <si>
    <r>
      <t>Арендная плата за пользование имуществом</t>
    </r>
    <r>
      <rPr>
        <sz val="10"/>
        <rFont val="Times New Roman"/>
        <family val="1"/>
        <charset val="204"/>
      </rPr>
      <t>, всего</t>
    </r>
  </si>
  <si>
    <t>в том числе: аренда помещений</t>
  </si>
  <si>
    <t>Услуги по содержанию имущества</t>
  </si>
  <si>
    <t>профдезинфекция</t>
  </si>
  <si>
    <t>измерение контуров заземления</t>
  </si>
  <si>
    <t>гидравлика</t>
  </si>
  <si>
    <t>утилизация</t>
  </si>
  <si>
    <t>обслуживание системы видеонаблюдения</t>
  </si>
  <si>
    <t>заправка картриджа</t>
  </si>
  <si>
    <t>лабораторные исследования РосПотребнадзор</t>
  </si>
  <si>
    <t>противопожарные мероприятия ( ремонт, перезарядка огнетушителя)</t>
  </si>
  <si>
    <r>
      <t>Прочие услуги</t>
    </r>
    <r>
      <rPr>
        <sz val="10"/>
        <rFont val="Times New Roman"/>
        <family val="1"/>
        <charset val="204"/>
      </rPr>
      <t>, всего</t>
    </r>
  </si>
  <si>
    <t>тревожная кнопка</t>
  </si>
  <si>
    <t>медицинский осмотр</t>
  </si>
  <si>
    <t>питание (льготники) 5-11кл</t>
  </si>
  <si>
    <t>видеоконференцсвязь</t>
  </si>
  <si>
    <t>учеба</t>
  </si>
  <si>
    <t>страхование гражданской ответственности</t>
  </si>
  <si>
    <r>
      <t>Прочие расходы</t>
    </r>
    <r>
      <rPr>
        <sz val="10"/>
        <rFont val="Times New Roman"/>
        <family val="1"/>
        <charset val="204"/>
      </rPr>
      <t>, всего</t>
    </r>
  </si>
  <si>
    <t>из них: налог на имущество</t>
  </si>
  <si>
    <r>
      <t>Увеличение стоимости основных средств</t>
    </r>
    <r>
      <rPr>
        <sz val="10"/>
        <rFont val="Times New Roman"/>
        <family val="1"/>
        <charset val="204"/>
      </rPr>
      <t>, всего</t>
    </r>
  </si>
  <si>
    <t xml:space="preserve">в том числе:                                                                              </t>
  </si>
  <si>
    <t>остаток денежных средств 2019 года (р.б)</t>
  </si>
  <si>
    <r>
      <t>Увеличение стоимости материальных запасов</t>
    </r>
    <r>
      <rPr>
        <sz val="10"/>
        <rFont val="Times New Roman"/>
        <family val="1"/>
        <charset val="204"/>
      </rPr>
      <t>, всего</t>
    </r>
  </si>
  <si>
    <t>бензин</t>
  </si>
  <si>
    <t>343 горюче-смазочные материалы</t>
  </si>
  <si>
    <t>масло, тосол, дисцилированая вода</t>
  </si>
  <si>
    <t>запчасти</t>
  </si>
  <si>
    <t>дизтопливо</t>
  </si>
  <si>
    <t>строительные материалы</t>
  </si>
  <si>
    <t>344 строительные материалы</t>
  </si>
  <si>
    <t>окна,двери</t>
  </si>
  <si>
    <t>бутылированная вода</t>
  </si>
  <si>
    <t>345 мягкий инвентарь</t>
  </si>
  <si>
    <t>346 прочие</t>
  </si>
  <si>
    <t>канцелярские товары</t>
  </si>
  <si>
    <t>остаток денежных средств 2019 года (м.б)</t>
  </si>
  <si>
    <t>КВР 830 "Исполнение судебных актов"</t>
  </si>
  <si>
    <t>Оплата судебных исков</t>
  </si>
  <si>
    <t>КВР 850 "Уплата налогов, сборов и иных платежей"</t>
  </si>
  <si>
    <t>Налоги</t>
  </si>
  <si>
    <t>прочие налоги</t>
  </si>
  <si>
    <t>ВСЕГО РАСХОДОВ</t>
  </si>
  <si>
    <t>Возмещение ком.услуг,в т.ч.</t>
  </si>
  <si>
    <t>853/291</t>
  </si>
  <si>
    <r>
      <t xml:space="preserve">строительных материалов    </t>
    </r>
    <r>
      <rPr>
        <b/>
        <sz val="12"/>
        <color indexed="10"/>
        <rFont val="Times New Roman"/>
        <family val="1"/>
        <charset val="204"/>
      </rPr>
      <t>244/ 344</t>
    </r>
  </si>
  <si>
    <r>
      <t xml:space="preserve">прочих оборотных запасов (материалов)  </t>
    </r>
    <r>
      <rPr>
        <b/>
        <sz val="12"/>
        <color indexed="10"/>
        <rFont val="Times New Roman"/>
        <family val="1"/>
        <charset val="204"/>
      </rPr>
      <t xml:space="preserve"> 244/ 346</t>
    </r>
  </si>
  <si>
    <r>
      <t xml:space="preserve">прочих материальных запасов однократного применения  </t>
    </r>
    <r>
      <rPr>
        <b/>
        <sz val="12"/>
        <color indexed="10"/>
        <rFont val="Times New Roman"/>
        <family val="1"/>
        <charset val="204"/>
      </rPr>
      <t xml:space="preserve"> 244/ 349</t>
    </r>
  </si>
  <si>
    <t>119/213</t>
  </si>
  <si>
    <t>112/226</t>
  </si>
  <si>
    <t>возмещение коммуналки</t>
  </si>
  <si>
    <t>остаток для переброски</t>
  </si>
  <si>
    <t>оплата за вывоз ТБО</t>
  </si>
  <si>
    <t>остаток по проплатам</t>
  </si>
  <si>
    <t>Медали,удостоверения (субвенция)</t>
  </si>
  <si>
    <t>аттестаты (субвенция)</t>
  </si>
  <si>
    <t>Моющие и дезинфицирующие</t>
  </si>
  <si>
    <t>моющие и дезинфицирующие</t>
  </si>
  <si>
    <t xml:space="preserve"> </t>
  </si>
  <si>
    <t>Оплата за негативное воздействие на окружающую среду</t>
  </si>
  <si>
    <t>Налог на имущество</t>
  </si>
  <si>
    <t>Земельный налог</t>
  </si>
  <si>
    <t>Итого РБ:</t>
  </si>
  <si>
    <t>Итого МБ:</t>
  </si>
  <si>
    <t>3.1. Расчет (обоснование) расходов на уплату налогов, сборов и иных платежей</t>
  </si>
  <si>
    <t>3.2 Расчет (обоснование) расходов на уплату налогов, сборов и иных платежей</t>
  </si>
  <si>
    <t>1.3. Расчеты (обоснования) выплат персоналу</t>
  </si>
  <si>
    <t>Классное руководство ФБ 119/213</t>
  </si>
  <si>
    <t>Классное руководство ФБ 111/211</t>
  </si>
  <si>
    <t>6. Расчет (обоснование) расходов на закупку товаров, работ</t>
  </si>
  <si>
    <t>Горячее питание ФБ 244/226</t>
  </si>
  <si>
    <t>Горячее питание РБ 244/226</t>
  </si>
  <si>
    <t>Субсидии, предоставляемые в соответствии с абзацем вторым пункта 1 статьи 78.1 БК РФ</t>
  </si>
  <si>
    <t>Проезд</t>
  </si>
  <si>
    <t>247</t>
  </si>
  <si>
    <r>
      <t xml:space="preserve">6.2. Расчет (обоснование) расходов на оплату услуг связи </t>
    </r>
    <r>
      <rPr>
        <b/>
        <sz val="12"/>
        <color indexed="10"/>
        <rFont val="Times New Roman"/>
        <family val="1"/>
        <charset val="204"/>
      </rPr>
      <t>244/221</t>
    </r>
  </si>
  <si>
    <r>
      <t xml:space="preserve">6.3. Расчет (обоснование) расходов на оплату коммунальных услуг </t>
    </r>
    <r>
      <rPr>
        <b/>
        <sz val="12"/>
        <color indexed="10"/>
        <rFont val="Times New Roman"/>
        <family val="1"/>
        <charset val="204"/>
      </rPr>
      <t>244/223</t>
    </r>
  </si>
  <si>
    <r>
      <t>6.4. Расчет (обоснование) расходов на оплату работ, услуг по содержанию имущества</t>
    </r>
    <r>
      <rPr>
        <b/>
        <sz val="12"/>
        <color indexed="10"/>
        <rFont val="Times New Roman"/>
        <family val="1"/>
        <charset val="204"/>
      </rPr>
      <t xml:space="preserve"> 244/225</t>
    </r>
  </si>
  <si>
    <r>
      <t xml:space="preserve">6.5. Расчет (обоснование) расходов на оплату прочих работ, услуг </t>
    </r>
    <r>
      <rPr>
        <b/>
        <sz val="12"/>
        <color indexed="10"/>
        <rFont val="Times New Roman"/>
        <family val="1"/>
        <charset val="204"/>
      </rPr>
      <t>244/226</t>
    </r>
  </si>
  <si>
    <r>
      <t xml:space="preserve">6.6. Расчет (обоснование) расходов на оплату прочих работ, услуг(страхование)   </t>
    </r>
    <r>
      <rPr>
        <b/>
        <sz val="12"/>
        <color indexed="10"/>
        <rFont val="Times New Roman"/>
        <family val="1"/>
        <charset val="204"/>
      </rPr>
      <t>244/227</t>
    </r>
  </si>
  <si>
    <r>
      <t xml:space="preserve">6.7. Расчет (обоснование) расходов на приобретение основных средств </t>
    </r>
    <r>
      <rPr>
        <b/>
        <sz val="12"/>
        <color indexed="10"/>
        <rFont val="Times New Roman"/>
        <family val="1"/>
        <charset val="204"/>
      </rPr>
      <t>244/ 310</t>
    </r>
  </si>
  <si>
    <r>
      <t xml:space="preserve">6.1 Расчет (обоснование) расходов на оплату энергетических ресурсов </t>
    </r>
    <r>
      <rPr>
        <b/>
        <sz val="12"/>
        <color indexed="10"/>
        <rFont val="Times New Roman"/>
        <family val="1"/>
        <charset val="204"/>
      </rPr>
      <t>247/223</t>
    </r>
  </si>
  <si>
    <t>Услуги видеоконференц-связи</t>
  </si>
  <si>
    <t xml:space="preserve">6.1. Расчет (обоснование) расходов на оплату </t>
  </si>
  <si>
    <t>Директор МОУ "Школа-лицей №1"</t>
  </si>
  <si>
    <t>Заправка картриджа</t>
  </si>
  <si>
    <t>без НДС</t>
  </si>
  <si>
    <t>на год</t>
  </si>
  <si>
    <t>4 квартал</t>
  </si>
  <si>
    <t>надо еще на год</t>
  </si>
  <si>
    <t>надо на 3 квартала</t>
  </si>
  <si>
    <t>Учеба</t>
  </si>
  <si>
    <t>Подарки (612/244/349) местный бюджет</t>
  </si>
  <si>
    <t>Доходы от возмещений затрат Фондом социального страхования Российской Федерации</t>
  </si>
  <si>
    <t xml:space="preserve">Средства от возмещения работодателю денежных средств на приобретение товаров, работ, услуг для сотрудничества на предмет меры по сокаращению производственных травм и проффесиональных заболеваний </t>
  </si>
  <si>
    <t>Возмещение ФСС</t>
  </si>
  <si>
    <t>Страховка ДПД</t>
  </si>
  <si>
    <r>
      <t xml:space="preserve">   </t>
    </r>
    <r>
      <rPr>
        <b/>
        <sz val="12"/>
        <color indexed="10"/>
        <rFont val="Times New Roman"/>
        <family val="1"/>
        <charset val="204"/>
      </rPr>
      <t>244/ 345</t>
    </r>
  </si>
  <si>
    <r>
      <t xml:space="preserve"> лекарственных препаратов и материалов, применяемых в медицинских целях    </t>
    </r>
    <r>
      <rPr>
        <b/>
        <sz val="12"/>
        <color indexed="10"/>
        <rFont val="Times New Roman"/>
        <family val="1"/>
        <charset val="204"/>
      </rPr>
      <t>244/ 341</t>
    </r>
  </si>
  <si>
    <t>6.8. Расчет (обоснование) расходов на увеличение стоимости</t>
  </si>
  <si>
    <t>21</t>
  </si>
  <si>
    <t>Вахтер</t>
  </si>
  <si>
    <t>Обслуживание сайта</t>
  </si>
  <si>
    <t>ФРДО</t>
  </si>
  <si>
    <t>ПСД на монтаж автоматической пожарной сигнализации</t>
  </si>
  <si>
    <t>Спецодежда</t>
  </si>
  <si>
    <t xml:space="preserve"> на 2022 год</t>
  </si>
  <si>
    <t>Муниципальное общеобразовательное учреждение " Школа-лицей №1 " города Алушты</t>
  </si>
  <si>
    <t>Потребность на 2015 год</t>
  </si>
  <si>
    <t xml:space="preserve">Отклонение </t>
  </si>
  <si>
    <t>руб (гр.3 - гр.4)</t>
  </si>
  <si>
    <t>рублей</t>
  </si>
  <si>
    <t xml:space="preserve">Проверка вент.каналов </t>
  </si>
  <si>
    <t>обслуживание противопожарной сигнализации</t>
  </si>
  <si>
    <t xml:space="preserve">Анализы Энтеробиоз </t>
  </si>
  <si>
    <t>техническое обслуживание тревожной кнопки</t>
  </si>
  <si>
    <t>ОБСЛУЖИВАНИЕ АРИП (ЕЖЕГОДНОЕ)</t>
  </si>
  <si>
    <t>ПРОЧИСТКА КАНАЛИЗАЦИИ</t>
  </si>
  <si>
    <t xml:space="preserve">Юридические услуги </t>
  </si>
  <si>
    <t>СОУТ+ (ОПРЕДЕЛЕНИЕ ПРОФРИСКОВ)</t>
  </si>
  <si>
    <t>подготовка экологической отчетности</t>
  </si>
  <si>
    <t xml:space="preserve">обслуживание школьного сайта </t>
  </si>
  <si>
    <t>ПЕРЕНОС ТРЕВОЖНОЙ КНОПКИ В КПП</t>
  </si>
  <si>
    <t>питание (1-4кл) субвенция</t>
  </si>
  <si>
    <t xml:space="preserve">питание (льготники) </t>
  </si>
  <si>
    <t>РАСЧЕТ АРЕНДЫ СПОРТЗАЛ+ФУТБОЛЬНОЕ ПОЛЕ (ЕЖЕГОДНО)</t>
  </si>
  <si>
    <t>страхование детей во время перевозок</t>
  </si>
  <si>
    <t>страхование водителя</t>
  </si>
  <si>
    <t>страхование ДПД (ЕЖЕГОДНО)</t>
  </si>
  <si>
    <t>страхование транспортных средств</t>
  </si>
  <si>
    <t>экологический взнос</t>
  </si>
  <si>
    <t>госпошлина на лицензирование автобуса</t>
  </si>
  <si>
    <t>госпошлина за рассмотрение иска Арбитражным судом (852/291)</t>
  </si>
  <si>
    <t>подарки</t>
  </si>
  <si>
    <t>книги (субвенция)</t>
  </si>
  <si>
    <t>Увеличение стоимости продуктов питания, всего</t>
  </si>
  <si>
    <t xml:space="preserve">Вода бутылированная </t>
  </si>
  <si>
    <t>хозинвентарь</t>
  </si>
  <si>
    <t>флешносители</t>
  </si>
  <si>
    <t>ПОЖАРНЫЙ ИНВЕНТАРЬ</t>
  </si>
  <si>
    <t>спецодежда</t>
  </si>
  <si>
    <t>Журналы, бланки (республиканский бюджет)</t>
  </si>
  <si>
    <t>остаток денежных средств 2019 года</t>
  </si>
  <si>
    <t>ЖУРНАЛО-БЛАНОЧНАЯ ПРОДУКЦИЯ</t>
  </si>
  <si>
    <t xml:space="preserve">Хозтовары </t>
  </si>
  <si>
    <t>349 бланки строгой отчетности</t>
  </si>
  <si>
    <t>медали,удостоверения к медалям</t>
  </si>
  <si>
    <t>Свидетельство  об обучении (субвенции)</t>
  </si>
  <si>
    <t>243 (ПСД)</t>
  </si>
  <si>
    <t>Горячее питание МБ 244/226</t>
  </si>
  <si>
    <t>Противопожарные мероприятия</t>
  </si>
  <si>
    <t xml:space="preserve">Акарицидная обработка </t>
  </si>
  <si>
    <t>СОУТ - 21250; учеба - 9285 (от договора 9800)</t>
  </si>
  <si>
    <t>Возврат в бюджет средств субсидии</t>
  </si>
  <si>
    <t>Федеральный бюджет</t>
  </si>
  <si>
    <t>Республиканский бюджет</t>
  </si>
  <si>
    <t>Питание детей льготных категорий, посещающих лагерь дневного пребывания (М.Б.)</t>
  </si>
  <si>
    <t>22</t>
  </si>
  <si>
    <t xml:space="preserve">Медицинская сестра </t>
  </si>
  <si>
    <t>Г.А.Палий</t>
  </si>
  <si>
    <t>месяц</t>
  </si>
  <si>
    <t>тариф</t>
  </si>
  <si>
    <t>кВт</t>
  </si>
  <si>
    <t>цена,руб.</t>
  </si>
  <si>
    <t>НДС,руб</t>
  </si>
  <si>
    <t>цена с НДС,руб</t>
  </si>
  <si>
    <t>гКал</t>
  </si>
  <si>
    <t>НДС,руб.</t>
  </si>
  <si>
    <t>цена с НДС,руб.</t>
  </si>
  <si>
    <t>м3</t>
  </si>
  <si>
    <t>негативное возд-е на ЦСВ</t>
  </si>
  <si>
    <t xml:space="preserve">прием ПСВ,руб.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</si>
  <si>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</si>
  <si>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</si>
  <si>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</si>
  <si>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</si>
  <si>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</si>
  <si>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</si>
  <si>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</si>
  <si>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</si>
  <si>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</si>
  <si>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</si>
  <si>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</si>
  <si>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 40%</t>
  </si>
  <si>
    <t>декабрь</t>
  </si>
  <si>
    <t>декабрь 30%</t>
  </si>
  <si>
    <t xml:space="preserve">6.13. Расчет (обоснование) расходов на приобретение </t>
  </si>
  <si>
    <t>Вода питьевая</t>
  </si>
  <si>
    <t>Материалы для медицинского кабинета</t>
  </si>
  <si>
    <t xml:space="preserve">Советник директора </t>
  </si>
  <si>
    <t>23</t>
  </si>
  <si>
    <t>Подписка на электронные учебники (республиканский бюджет)</t>
  </si>
  <si>
    <t>(Республиканский бюджет)</t>
  </si>
  <si>
    <t>Советник директора 5 111/211 ФБ</t>
  </si>
  <si>
    <t>Советник директора 5 119/213 ФБ</t>
  </si>
  <si>
    <t>Советник директора 5 111/211 РБ</t>
  </si>
  <si>
    <t>Советник директора 5 119/213 РБ</t>
  </si>
  <si>
    <t>Советник директора 5 111/211 МБ</t>
  </si>
  <si>
    <t>Советник директора 5 119/213 МБ</t>
  </si>
  <si>
    <t>Местный бюджет</t>
  </si>
  <si>
    <t>Аренда недвижимого имущества из них</t>
  </si>
  <si>
    <t>С ндс</t>
  </si>
  <si>
    <t xml:space="preserve">Техничекое обслуживание пожарной сигнализации </t>
  </si>
  <si>
    <t>Оплата неустойки по претензии</t>
  </si>
  <si>
    <t>Услуги  по организации временного трудоустройства несовершеннолетних от 14 до 18 лет в свободное от учебы время</t>
  </si>
  <si>
    <t>Услуги по технической поддержке и консультации пользователей ГОС (республиканский бюджет)</t>
  </si>
  <si>
    <r>
      <t xml:space="preserve">6.9. Увеличение стоимости продуктов питания   </t>
    </r>
    <r>
      <rPr>
        <b/>
        <sz val="12"/>
        <color indexed="10"/>
        <rFont val="Times New Roman"/>
        <family val="1"/>
        <charset val="204"/>
      </rPr>
      <t xml:space="preserve">  244/342</t>
    </r>
  </si>
  <si>
    <t xml:space="preserve">6.11. Расчет (обоснование) расходов на приобретение </t>
  </si>
  <si>
    <t xml:space="preserve">6.12. Увеличение стоимости мягкого инвентаря  </t>
  </si>
  <si>
    <r>
      <t xml:space="preserve">6.10. Увеличение стоимости горюче-смазочных материалов   </t>
    </r>
    <r>
      <rPr>
        <b/>
        <sz val="12"/>
        <color indexed="10"/>
        <rFont val="Times New Roman"/>
        <family val="1"/>
        <charset val="204"/>
      </rPr>
      <t>244/343</t>
    </r>
  </si>
  <si>
    <t>Дизель для генератора</t>
  </si>
  <si>
    <t>Техничекое обслуживание системы экстренного оповещения</t>
  </si>
  <si>
    <t>Питание (льгота) 1-4 кл. (обеды)</t>
  </si>
  <si>
    <t>Питание (льгота) 5-11 кл. (обеды)</t>
  </si>
  <si>
    <t xml:space="preserve">Запчасти </t>
  </si>
  <si>
    <t>Лицензия на ПО "uTrust.user"</t>
  </si>
  <si>
    <t xml:space="preserve">9000 интернет </t>
  </si>
  <si>
    <t>вода с 2-кой</t>
  </si>
  <si>
    <t>свет с 2-кой</t>
  </si>
  <si>
    <t>111/211</t>
  </si>
  <si>
    <t>Личная карточка обучающегося</t>
  </si>
  <si>
    <t>Монтаж системы охранной сигнализации 5 м.б. 244/225</t>
  </si>
  <si>
    <t>Текущий ремонт санузлов 5 м.б. 244/225</t>
  </si>
  <si>
    <t>Ежемесячное денежное вознаграждение советникам директоров ФБ 111/211</t>
  </si>
  <si>
    <t>Ежемесячное денежное вознаграждение советникам директоров ФБ 119/213</t>
  </si>
  <si>
    <t xml:space="preserve">      вода в т. ч. остаток 2024 г.</t>
  </si>
  <si>
    <t xml:space="preserve">      тепло в т. ч. остаток 2024 г.</t>
  </si>
  <si>
    <t xml:space="preserve">      электроэнергия в т. ч. остаток 2024 г.</t>
  </si>
  <si>
    <t>Остаток денежных средст 2024 года (стройматериалы)</t>
  </si>
  <si>
    <t>Поверки дымовых и вент. каналов</t>
  </si>
  <si>
    <t>Питание (льгота) 5-11 кл. (завтраки)</t>
  </si>
  <si>
    <t>Расчеты (обоснования) к плану финансово-хозяйственной деятельности Муниципального общеобразовательного учреждения "Школа-лицей №1" города Алушты за 2025 год</t>
  </si>
  <si>
    <t>Техническое обслуживание автоматической системы охранной сигнализации</t>
  </si>
  <si>
    <t>Двери - в т.ч.ост.2024 г. - 19200,00</t>
  </si>
  <si>
    <t>Хозтовары - в т.ч.ост.2024 г. - 25000,00</t>
  </si>
  <si>
    <t>Москитные сетки - в т.ч.ост.2024 г. - 46000,00</t>
  </si>
  <si>
    <t>Анализы Этеробиоз - в т.ч.ост.2024 г. - 55000,00</t>
  </si>
  <si>
    <t>Система фильтрации сайтов - в т.ч.ост.2024 г. - 31800,00</t>
  </si>
  <si>
    <t>Подписка - в т.ч.ост.2024 г. - 7000,00</t>
  </si>
  <si>
    <t>Круглосуточная охрана на время проведения экзаменов - в т.ч.ост.2024 г. - 80000,00</t>
  </si>
  <si>
    <t>Медицинский осмотр сотрудников - в т.ч.ост.2024 г. - 77000,00</t>
  </si>
  <si>
    <t>Декларация об оплате за негативное воздействие  - в т.ч.ост.2024 г. - 9000,00</t>
  </si>
  <si>
    <t>Видеокамеры - в т.ч.ост.2024 г. - 30000,00</t>
  </si>
  <si>
    <t>Текущий ремонт ограждения - в т.ч.ост.2024 г. - 30740,00</t>
  </si>
  <si>
    <t>Прочистка канализации - в т.ч.ост.2024 г. - 15000,00</t>
  </si>
  <si>
    <t>Обслуживание ДГУ - в т.ч.ост.2024 г. - 30000,00</t>
  </si>
  <si>
    <t>Лабораторные исследования РосПотребнадзор  - в т.ч.ост.2024 г. - 49349,09</t>
  </si>
  <si>
    <t>Профдезинфекция  - в т.ч.ост.2024 г. - 17000,00</t>
  </si>
  <si>
    <t>Похвальные листы, грамоты  - в т.ч.ост.2024 г. - 5000,00</t>
  </si>
  <si>
    <t>Журнально-бланочная продукция - 25000,00</t>
  </si>
  <si>
    <t>Сертификат ключа проверки ЭП ФРДО в т.ч.ост.2024 г. - 3000,00</t>
  </si>
  <si>
    <t>книги, мебель (республиканский бюджет)</t>
  </si>
  <si>
    <t>Аттестаты (республиканский бюджет) - в т.ч.ост.2024 г. - 40226,12</t>
  </si>
  <si>
    <t>Перевозка отходов мебели (крупногабаритный мусор)</t>
  </si>
  <si>
    <t>Строительные материалы - в т.ч.ост.2024 г. - 3806,61</t>
  </si>
  <si>
    <t>Мячи (республиканский бюджет)</t>
  </si>
  <si>
    <t>Интернет</t>
  </si>
  <si>
    <t xml:space="preserve">Жалюзи </t>
  </si>
  <si>
    <t>превышение</t>
  </si>
  <si>
    <t xml:space="preserve">Ремонт системы видеонаблюдения </t>
  </si>
  <si>
    <t xml:space="preserve">Штраф </t>
  </si>
  <si>
    <t xml:space="preserve">Макулатура </t>
  </si>
  <si>
    <t>Флаги</t>
  </si>
  <si>
    <t>Потребление электроэнергии за 2025 год МОУ №1</t>
  </si>
  <si>
    <t>Потребление отопления за 2025 год МОУ №1</t>
  </si>
  <si>
    <t>Потребление водоснабжения и водоотведения за 2025 год МОУ №1</t>
  </si>
  <si>
    <t>Потребление ТКО за 2025 год МОУ №1</t>
  </si>
  <si>
    <t>допка к договору физ. Охрана</t>
  </si>
  <si>
    <t>Стенды</t>
  </si>
  <si>
    <t>Замена АКБ для АСПС</t>
  </si>
  <si>
    <t>Разработка организационно-распорядительной документации по защите персональных данных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</si>
</sst>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00"/>
    <numFmt numFmtId="167" formatCode="_-* #,##0.000_р_._-;\-* #,##0.000_р_._-;_-* &quot;-&quot;???_р_._-;_-@_-"/>
    <numFmt numFmtId="168" formatCode="_-* #,##0.00_р_._-;\-* #,##0.00_р_._-;_-* \-??_р_._-;_-@_-"/>
    <numFmt numFmtId="169" formatCode="_-* #,##0.00\ _₽_-;\-* #,##0.00\ _₽_-;_-* \-??\ _₽_-;_-@_-"/>
  </numFmts>
  <fonts count="46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8"/>
      <color indexed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color indexed="3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theme="3" tint="0.39997558519241921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3" tint="0.39997558519241921"/>
      <name val="Times New Roman"/>
      <family val="1"/>
      <charset val="204"/>
    </font>
    <font>
      <b/>
      <sz val="6"/>
      <color theme="3" tint="0.39997558519241921"/>
      <name val="Times New Roman"/>
      <family val="1"/>
      <charset val="204"/>
    </font>
    <font>
      <sz val="12"/>
      <color theme="3" tint="0.39997558519241921"/>
      <name val="Times New Roman"/>
      <family val="1"/>
      <charset val="204"/>
    </font>
    <font>
      <sz val="6"/>
      <color theme="3" tint="0.39997558519241921"/>
      <name val="Times New Roman"/>
      <family val="1"/>
      <charset val="204"/>
    </font>
    <font>
      <sz val="10"/>
      <color rgb="FF92D050"/>
      <name val="Times New Roman"/>
      <family val="1"/>
      <charset val="204"/>
    </font>
    <font>
      <b/>
      <sz val="10"/>
      <color theme="3" tint="0.39997558519241921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2"/>
      <color rgb="FFFFFF00"/>
      <name val="Times New Roman"/>
      <family val="1"/>
      <charset val="204"/>
    </font>
    <font>
      <b/>
      <sz val="6"/>
      <color rgb="FFFFFF00"/>
      <name val="Times New Roman"/>
      <family val="1"/>
      <charset val="204"/>
    </font>
    <font>
      <sz val="10"/>
      <color rgb="FFFFFF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6"/>
      <color rgb="FFFF0000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51"/>
      </patternFill>
    </fill>
    <fill>
      <patternFill patternType="solid">
        <fgColor indexed="13"/>
        <bgColor indexed="34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  <fill>
      <patternFill patternType="solid">
        <fgColor theme="7" tint="0.39997558519241921"/>
        <bgColor indexed="9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856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165" fontId="3" fillId="0" borderId="0" xfId="1" applyFont="1" applyAlignment="1">
      <alignment horizontal="left"/>
    </xf>
    <xf numFmtId="165" fontId="6" fillId="0" borderId="0" xfId="1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49" fontId="5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2" fontId="8" fillId="0" borderId="1" xfId="0" applyNumberFormat="1" applyFont="1" applyBorder="1" applyAlignment="1">
      <alignment horizontal="right"/>
    </xf>
    <xf numFmtId="4" fontId="10" fillId="0" borderId="5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2" fontId="10" fillId="3" borderId="6" xfId="0" applyNumberFormat="1" applyFont="1" applyFill="1" applyBorder="1" applyAlignment="1">
      <alignment horizontal="right"/>
    </xf>
    <xf numFmtId="4" fontId="10" fillId="0" borderId="6" xfId="0" applyNumberFormat="1" applyFont="1" applyFill="1" applyBorder="1" applyAlignment="1">
      <alignment horizontal="right"/>
    </xf>
    <xf numFmtId="0" fontId="11" fillId="0" borderId="0" xfId="0" applyNumberFormat="1" applyFont="1" applyBorder="1" applyAlignment="1">
      <alignment horizontal="left"/>
    </xf>
    <xf numFmtId="165" fontId="11" fillId="0" borderId="0" xfId="1" applyFont="1" applyBorder="1" applyAlignment="1">
      <alignment horizontal="left"/>
    </xf>
    <xf numFmtId="0" fontId="8" fillId="0" borderId="0" xfId="0" applyNumberFormat="1" applyFont="1" applyBorder="1" applyAlignment="1">
      <alignment horizontal="left"/>
    </xf>
    <xf numFmtId="165" fontId="8" fillId="0" borderId="0" xfId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165" fontId="4" fillId="0" borderId="0" xfId="1" applyFont="1" applyBorder="1" applyAlignment="1">
      <alignment horizontal="left"/>
    </xf>
    <xf numFmtId="0" fontId="12" fillId="0" borderId="0" xfId="0" applyNumberFormat="1" applyFont="1" applyBorder="1" applyAlignment="1">
      <alignment horizontal="left"/>
    </xf>
    <xf numFmtId="0" fontId="12" fillId="0" borderId="0" xfId="0" applyNumberFormat="1" applyFont="1" applyBorder="1" applyAlignment="1">
      <alignment horizontal="right"/>
    </xf>
    <xf numFmtId="165" fontId="12" fillId="0" borderId="0" xfId="1" applyFont="1" applyBorder="1" applyAlignment="1">
      <alignment horizontal="left"/>
    </xf>
    <xf numFmtId="165" fontId="3" fillId="0" borderId="0" xfId="1" applyFont="1" applyBorder="1" applyAlignment="1">
      <alignment horizontal="left"/>
    </xf>
    <xf numFmtId="0" fontId="3" fillId="0" borderId="0" xfId="0" applyNumberFormat="1" applyFont="1" applyBorder="1" applyAlignment="1">
      <alignment horizontal="left"/>
    </xf>
    <xf numFmtId="0" fontId="13" fillId="0" borderId="0" xfId="0" applyNumberFormat="1" applyFont="1" applyBorder="1" applyAlignment="1">
      <alignment horizontal="left"/>
    </xf>
    <xf numFmtId="165" fontId="13" fillId="0" borderId="0" xfId="1" applyFont="1" applyBorder="1" applyAlignment="1">
      <alignment horizontal="left"/>
    </xf>
    <xf numFmtId="49" fontId="13" fillId="0" borderId="0" xfId="0" applyNumberFormat="1" applyFont="1" applyBorder="1" applyAlignment="1">
      <alignment horizontal="left"/>
    </xf>
    <xf numFmtId="49" fontId="13" fillId="0" borderId="7" xfId="0" applyNumberFormat="1" applyFont="1" applyBorder="1" applyAlignment="1">
      <alignment horizontal="left"/>
    </xf>
    <xf numFmtId="165" fontId="8" fillId="0" borderId="0" xfId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1" applyFont="1" applyBorder="1" applyAlignment="1">
      <alignment horizontal="center" vertical="top"/>
    </xf>
    <xf numFmtId="0" fontId="8" fillId="0" borderId="0" xfId="0" applyNumberFormat="1" applyFont="1" applyBorder="1" applyAlignment="1">
      <alignment horizontal="center" vertical="top"/>
    </xf>
    <xf numFmtId="165" fontId="8" fillId="0" borderId="0" xfId="1" applyFont="1" applyBorder="1" applyAlignment="1">
      <alignment horizontal="left" vertical="center"/>
    </xf>
    <xf numFmtId="0" fontId="8" fillId="0" borderId="0" xfId="0" applyNumberFormat="1" applyFont="1" applyBorder="1" applyAlignment="1">
      <alignment horizontal="left" vertical="center"/>
    </xf>
    <xf numFmtId="165" fontId="5" fillId="0" borderId="8" xfId="1" applyFont="1" applyFill="1" applyBorder="1" applyAlignment="1">
      <alignment horizontal="left"/>
    </xf>
    <xf numFmtId="165" fontId="8" fillId="0" borderId="8" xfId="1" applyFont="1" applyFill="1" applyBorder="1" applyAlignment="1">
      <alignment horizontal="left"/>
    </xf>
    <xf numFmtId="165" fontId="26" fillId="0" borderId="8" xfId="1" applyFont="1" applyFill="1" applyBorder="1" applyAlignment="1">
      <alignment horizontal="left"/>
    </xf>
    <xf numFmtId="165" fontId="5" fillId="0" borderId="8" xfId="1" applyFont="1" applyBorder="1" applyAlignment="1">
      <alignment horizontal="left"/>
    </xf>
    <xf numFmtId="165" fontId="7" fillId="0" borderId="8" xfId="1" applyFont="1" applyBorder="1" applyAlignment="1">
      <alignment horizontal="left"/>
    </xf>
    <xf numFmtId="165" fontId="8" fillId="0" borderId="8" xfId="1" applyFont="1" applyBorder="1" applyAlignment="1">
      <alignment horizontal="left"/>
    </xf>
    <xf numFmtId="165" fontId="8" fillId="14" borderId="8" xfId="1" applyFont="1" applyFill="1" applyBorder="1" applyAlignment="1">
      <alignment horizontal="left"/>
    </xf>
    <xf numFmtId="0" fontId="8" fillId="14" borderId="0" xfId="0" applyFont="1" applyFill="1" applyAlignment="1">
      <alignment horizontal="left"/>
    </xf>
    <xf numFmtId="0" fontId="8" fillId="15" borderId="0" xfId="0" applyFont="1" applyFill="1" applyAlignment="1">
      <alignment horizontal="left"/>
    </xf>
    <xf numFmtId="165" fontId="5" fillId="16" borderId="8" xfId="1" applyFont="1" applyFill="1" applyBorder="1" applyAlignment="1">
      <alignment horizontal="left"/>
    </xf>
    <xf numFmtId="165" fontId="8" fillId="16" borderId="8" xfId="1" applyFont="1" applyFill="1" applyBorder="1" applyAlignment="1">
      <alignment horizontal="left"/>
    </xf>
    <xf numFmtId="165" fontId="27" fillId="17" borderId="1" xfId="1" applyFont="1" applyFill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2" fontId="8" fillId="0" borderId="2" xfId="0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2" fontId="8" fillId="0" borderId="9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8" fillId="0" borderId="10" xfId="0" applyFont="1" applyBorder="1" applyAlignment="1">
      <alignment horizontal="left"/>
    </xf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4" fontId="10" fillId="0" borderId="3" xfId="0" applyNumberFormat="1" applyFont="1" applyBorder="1" applyAlignment="1">
      <alignment horizontal="right"/>
    </xf>
    <xf numFmtId="0" fontId="4" fillId="0" borderId="0" xfId="0" applyFont="1" applyBorder="1" applyAlignment="1" applyProtection="1">
      <alignment horizontal="center" vertical="top"/>
    </xf>
    <xf numFmtId="0" fontId="3" fillId="0" borderId="0" xfId="0" applyFont="1" applyBorder="1" applyProtection="1"/>
    <xf numFmtId="0" fontId="8" fillId="0" borderId="0" xfId="0" applyFont="1" applyBorder="1" applyProtection="1"/>
    <xf numFmtId="0" fontId="8" fillId="0" borderId="0" xfId="0" applyFont="1" applyBorder="1" applyAlignment="1" applyProtection="1">
      <alignment horizontal="center"/>
    </xf>
    <xf numFmtId="0" fontId="8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8" fillId="15" borderId="12" xfId="0" applyFont="1" applyFill="1" applyBorder="1" applyAlignment="1">
      <alignment horizontal="center"/>
    </xf>
    <xf numFmtId="0" fontId="8" fillId="15" borderId="7" xfId="0" applyFont="1" applyFill="1" applyBorder="1" applyAlignment="1">
      <alignment horizontal="center"/>
    </xf>
    <xf numFmtId="0" fontId="8" fillId="15" borderId="13" xfId="0" applyFont="1" applyFill="1" applyBorder="1" applyAlignment="1">
      <alignment horizontal="center"/>
    </xf>
    <xf numFmtId="2" fontId="8" fillId="15" borderId="12" xfId="0" applyNumberFormat="1" applyFont="1" applyFill="1" applyBorder="1" applyAlignment="1">
      <alignment horizontal="right"/>
    </xf>
    <xf numFmtId="2" fontId="8" fillId="15" borderId="7" xfId="0" applyNumberFormat="1" applyFont="1" applyFill="1" applyBorder="1" applyAlignment="1">
      <alignment horizontal="right"/>
    </xf>
    <xf numFmtId="2" fontId="8" fillId="15" borderId="13" xfId="0" applyNumberFormat="1" applyFont="1" applyFill="1" applyBorder="1" applyAlignment="1">
      <alignment horizontal="right"/>
    </xf>
    <xf numFmtId="0" fontId="8" fillId="0" borderId="8" xfId="0" applyFont="1" applyBorder="1" applyAlignment="1">
      <alignment horizontal="left"/>
    </xf>
    <xf numFmtId="165" fontId="5" fillId="0" borderId="9" xfId="1" applyFont="1" applyBorder="1" applyAlignment="1">
      <alignment horizontal="left"/>
    </xf>
    <xf numFmtId="165" fontId="7" fillId="0" borderId="9" xfId="1" applyFont="1" applyBorder="1" applyAlignment="1">
      <alignment horizontal="left"/>
    </xf>
    <xf numFmtId="165" fontId="8" fillId="0" borderId="9" xfId="1" applyFont="1" applyBorder="1" applyAlignment="1">
      <alignment horizontal="left"/>
    </xf>
    <xf numFmtId="164" fontId="8" fillId="0" borderId="8" xfId="0" applyNumberFormat="1" applyFont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5" fontId="8" fillId="15" borderId="9" xfId="1" applyFont="1" applyFill="1" applyBorder="1" applyAlignment="1"/>
    <xf numFmtId="165" fontId="8" fillId="15" borderId="1" xfId="1" applyFont="1" applyFill="1" applyBorder="1" applyAlignment="1"/>
    <xf numFmtId="165" fontId="8" fillId="0" borderId="8" xfId="1" applyFont="1" applyBorder="1" applyAlignment="1">
      <alignment vertical="center"/>
    </xf>
    <xf numFmtId="0" fontId="8" fillId="0" borderId="9" xfId="0" applyFont="1" applyBorder="1" applyAlignment="1">
      <alignment horizontal="left"/>
    </xf>
    <xf numFmtId="0" fontId="28" fillId="0" borderId="8" xfId="0" applyFont="1" applyBorder="1" applyAlignment="1">
      <alignment horizontal="left"/>
    </xf>
    <xf numFmtId="165" fontId="3" fillId="0" borderId="14" xfId="1" applyFont="1" applyBorder="1" applyAlignment="1">
      <alignment horizontal="left"/>
    </xf>
    <xf numFmtId="165" fontId="3" fillId="0" borderId="12" xfId="1" applyFont="1" applyBorder="1" applyAlignment="1">
      <alignment horizontal="left"/>
    </xf>
    <xf numFmtId="165" fontId="5" fillId="0" borderId="0" xfId="1" applyFont="1" applyBorder="1" applyAlignment="1">
      <alignment horizontal="left"/>
    </xf>
    <xf numFmtId="0" fontId="28" fillId="0" borderId="0" xfId="0" applyFont="1" applyBorder="1" applyAlignment="1">
      <alignment horizontal="left"/>
    </xf>
    <xf numFmtId="165" fontId="7" fillId="0" borderId="0" xfId="1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65" fontId="10" fillId="0" borderId="0" xfId="1" applyFont="1" applyBorder="1" applyAlignment="1">
      <alignment horizontal="left"/>
    </xf>
    <xf numFmtId="164" fontId="8" fillId="0" borderId="0" xfId="0" applyNumberFormat="1" applyFont="1" applyBorder="1" applyAlignment="1">
      <alignment horizontal="left"/>
    </xf>
    <xf numFmtId="165" fontId="5" fillId="0" borderId="0" xfId="1" applyFont="1" applyFill="1" applyBorder="1" applyAlignment="1">
      <alignment horizontal="left"/>
    </xf>
    <xf numFmtId="165" fontId="7" fillId="0" borderId="0" xfId="1" applyFont="1" applyFill="1" applyBorder="1" applyAlignment="1">
      <alignment horizontal="left"/>
    </xf>
    <xf numFmtId="165" fontId="8" fillId="0" borderId="0" xfId="1" applyFont="1" applyFill="1" applyBorder="1" applyAlignment="1">
      <alignment horizontal="left"/>
    </xf>
    <xf numFmtId="165" fontId="26" fillId="0" borderId="0" xfId="1" applyFont="1" applyFill="1" applyBorder="1" applyAlignment="1">
      <alignment horizontal="left"/>
    </xf>
    <xf numFmtId="165" fontId="10" fillId="2" borderId="0" xfId="1" applyFont="1" applyFill="1" applyBorder="1" applyAlignment="1">
      <alignment horizontal="left"/>
    </xf>
    <xf numFmtId="165" fontId="26" fillId="0" borderId="0" xfId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5" fontId="29" fillId="0" borderId="0" xfId="1" applyFont="1" applyBorder="1" applyAlignment="1">
      <alignment horizontal="left"/>
    </xf>
    <xf numFmtId="165" fontId="30" fillId="0" borderId="0" xfId="1" applyFont="1" applyBorder="1" applyAlignment="1">
      <alignment horizontal="left"/>
    </xf>
    <xf numFmtId="165" fontId="31" fillId="0" borderId="0" xfId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65" fontId="5" fillId="16" borderId="0" xfId="1" applyFont="1" applyFill="1" applyBorder="1" applyAlignment="1">
      <alignment horizontal="left"/>
    </xf>
    <xf numFmtId="165" fontId="7" fillId="16" borderId="0" xfId="1" applyFont="1" applyFill="1" applyBorder="1" applyAlignment="1">
      <alignment horizontal="left"/>
    </xf>
    <xf numFmtId="165" fontId="8" fillId="16" borderId="0" xfId="1" applyFont="1" applyFill="1" applyBorder="1" applyAlignment="1">
      <alignment horizontal="left"/>
    </xf>
    <xf numFmtId="165" fontId="8" fillId="16" borderId="15" xfId="1" applyFont="1" applyFill="1" applyBorder="1" applyAlignment="1">
      <alignment horizontal="left"/>
    </xf>
    <xf numFmtId="165" fontId="8" fillId="16" borderId="0" xfId="1" applyFont="1" applyFill="1" applyBorder="1" applyAlignment="1">
      <alignment horizontal="center"/>
    </xf>
    <xf numFmtId="4" fontId="10" fillId="0" borderId="7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165" fontId="5" fillId="0" borderId="0" xfId="1" applyFont="1" applyFill="1" applyBorder="1" applyAlignment="1"/>
    <xf numFmtId="165" fontId="6" fillId="0" borderId="0" xfId="1" applyFont="1" applyFill="1" applyBorder="1" applyAlignment="1">
      <alignment horizontal="center"/>
    </xf>
    <xf numFmtId="165" fontId="3" fillId="0" borderId="0" xfId="1" applyFont="1" applyFill="1" applyBorder="1" applyAlignment="1">
      <alignment wrapText="1"/>
    </xf>
    <xf numFmtId="165" fontId="6" fillId="0" borderId="0" xfId="1" applyFont="1" applyFill="1" applyBorder="1" applyAlignment="1">
      <alignment horizontal="left"/>
    </xf>
    <xf numFmtId="165" fontId="4" fillId="0" borderId="0" xfId="1" applyFont="1" applyFill="1" applyBorder="1" applyAlignment="1">
      <alignment horizontal="left"/>
    </xf>
    <xf numFmtId="165" fontId="28" fillId="0" borderId="0" xfId="1" applyFont="1" applyFill="1" applyBorder="1" applyAlignment="1">
      <alignment horizontal="left"/>
    </xf>
    <xf numFmtId="165" fontId="29" fillId="0" borderId="0" xfId="1" applyFont="1" applyFill="1" applyBorder="1" applyAlignment="1"/>
    <xf numFmtId="165" fontId="32" fillId="0" borderId="0" xfId="1" applyFont="1" applyFill="1" applyBorder="1" applyAlignment="1">
      <alignment horizontal="center"/>
    </xf>
    <xf numFmtId="165" fontId="28" fillId="0" borderId="8" xfId="1" applyFont="1" applyFill="1" applyBorder="1" applyAlignment="1">
      <alignment horizontal="left"/>
    </xf>
    <xf numFmtId="165" fontId="8" fillId="0" borderId="15" xfId="1" applyFont="1" applyFill="1" applyBorder="1" applyAlignment="1"/>
    <xf numFmtId="165" fontId="33" fillId="0" borderId="0" xfId="1" applyFont="1" applyBorder="1" applyAlignment="1">
      <alignment horizontal="left"/>
    </xf>
    <xf numFmtId="0" fontId="33" fillId="0" borderId="0" xfId="0" applyFont="1" applyAlignment="1">
      <alignment horizontal="left"/>
    </xf>
    <xf numFmtId="165" fontId="8" fillId="17" borderId="0" xfId="1" applyFont="1" applyFill="1" applyBorder="1" applyAlignment="1">
      <alignment horizontal="left"/>
    </xf>
    <xf numFmtId="0" fontId="10" fillId="17" borderId="0" xfId="0" applyFont="1" applyFill="1" applyAlignment="1">
      <alignment horizontal="left"/>
    </xf>
    <xf numFmtId="164" fontId="8" fillId="17" borderId="0" xfId="0" applyNumberFormat="1" applyFont="1" applyFill="1" applyBorder="1" applyAlignment="1">
      <alignment horizontal="left"/>
    </xf>
    <xf numFmtId="0" fontId="8" fillId="17" borderId="0" xfId="0" applyFont="1" applyFill="1" applyAlignment="1">
      <alignment horizontal="left"/>
    </xf>
    <xf numFmtId="165" fontId="10" fillId="17" borderId="0" xfId="1" applyFont="1" applyFill="1" applyBorder="1" applyAlignment="1">
      <alignment horizontal="left"/>
    </xf>
    <xf numFmtId="0" fontId="10" fillId="17" borderId="0" xfId="0" applyFont="1" applyFill="1" applyBorder="1" applyAlignment="1">
      <alignment horizontal="left"/>
    </xf>
    <xf numFmtId="165" fontId="34" fillId="17" borderId="0" xfId="1" applyFont="1" applyFill="1" applyBorder="1" applyAlignment="1">
      <alignment horizontal="left"/>
    </xf>
    <xf numFmtId="2" fontId="8" fillId="17" borderId="9" xfId="0" applyNumberFormat="1" applyFont="1" applyFill="1" applyBorder="1" applyAlignment="1">
      <alignment horizontal="right"/>
    </xf>
    <xf numFmtId="2" fontId="8" fillId="17" borderId="1" xfId="0" applyNumberFormat="1" applyFont="1" applyFill="1" applyBorder="1" applyAlignment="1">
      <alignment horizontal="right"/>
    </xf>
    <xf numFmtId="2" fontId="8" fillId="17" borderId="10" xfId="0" applyNumberFormat="1" applyFont="1" applyFill="1" applyBorder="1" applyAlignment="1">
      <alignment horizontal="right"/>
    </xf>
    <xf numFmtId="165" fontId="8" fillId="17" borderId="1" xfId="1" applyFont="1" applyFill="1" applyBorder="1" applyAlignment="1">
      <alignment horizontal="right"/>
    </xf>
    <xf numFmtId="165" fontId="5" fillId="17" borderId="0" xfId="1" applyFont="1" applyFill="1" applyBorder="1" applyAlignment="1">
      <alignment horizontal="left"/>
    </xf>
    <xf numFmtId="0" fontId="5" fillId="17" borderId="0" xfId="0" applyFont="1" applyFill="1" applyBorder="1" applyAlignment="1">
      <alignment horizontal="left"/>
    </xf>
    <xf numFmtId="0" fontId="5" fillId="17" borderId="0" xfId="0" applyFont="1" applyFill="1" applyAlignment="1">
      <alignment horizontal="left"/>
    </xf>
    <xf numFmtId="0" fontId="35" fillId="17" borderId="12" xfId="0" applyFont="1" applyFill="1" applyBorder="1" applyAlignment="1">
      <alignment horizontal="center"/>
    </xf>
    <xf numFmtId="0" fontId="35" fillId="17" borderId="7" xfId="0" applyFont="1" applyFill="1" applyBorder="1" applyAlignment="1">
      <alignment horizontal="center"/>
    </xf>
    <xf numFmtId="0" fontId="35" fillId="17" borderId="13" xfId="0" applyFont="1" applyFill="1" applyBorder="1" applyAlignment="1">
      <alignment horizontal="center"/>
    </xf>
    <xf numFmtId="2" fontId="35" fillId="17" borderId="12" xfId="0" applyNumberFormat="1" applyFont="1" applyFill="1" applyBorder="1" applyAlignment="1">
      <alignment horizontal="right"/>
    </xf>
    <xf numFmtId="2" fontId="35" fillId="17" borderId="7" xfId="0" applyNumberFormat="1" applyFont="1" applyFill="1" applyBorder="1" applyAlignment="1">
      <alignment horizontal="right"/>
    </xf>
    <xf numFmtId="2" fontId="35" fillId="17" borderId="13" xfId="0" applyNumberFormat="1" applyFont="1" applyFill="1" applyBorder="1" applyAlignment="1">
      <alignment horizontal="right"/>
    </xf>
    <xf numFmtId="2" fontId="35" fillId="17" borderId="9" xfId="0" applyNumberFormat="1" applyFont="1" applyFill="1" applyBorder="1" applyAlignment="1">
      <alignment horizontal="right"/>
    </xf>
    <xf numFmtId="2" fontId="35" fillId="17" borderId="1" xfId="0" applyNumberFormat="1" applyFont="1" applyFill="1" applyBorder="1" applyAlignment="1">
      <alignment horizontal="right"/>
    </xf>
    <xf numFmtId="2" fontId="35" fillId="17" borderId="10" xfId="0" applyNumberFormat="1" applyFont="1" applyFill="1" applyBorder="1" applyAlignment="1">
      <alignment horizontal="right"/>
    </xf>
    <xf numFmtId="165" fontId="35" fillId="17" borderId="9" xfId="1" applyFont="1" applyFill="1" applyBorder="1" applyAlignment="1">
      <alignment horizontal="right"/>
    </xf>
    <xf numFmtId="165" fontId="35" fillId="17" borderId="1" xfId="1" applyFont="1" applyFill="1" applyBorder="1" applyAlignment="1">
      <alignment horizontal="right"/>
    </xf>
    <xf numFmtId="165" fontId="8" fillId="17" borderId="9" xfId="1" applyFont="1" applyFill="1" applyBorder="1" applyAlignment="1">
      <alignment horizontal="center"/>
    </xf>
    <xf numFmtId="165" fontId="8" fillId="17" borderId="1" xfId="1" applyFont="1" applyFill="1" applyBorder="1" applyAlignment="1">
      <alignment horizontal="center"/>
    </xf>
    <xf numFmtId="0" fontId="8" fillId="17" borderId="7" xfId="0" applyFont="1" applyFill="1" applyBorder="1" applyAlignment="1">
      <alignment horizontal="center"/>
    </xf>
    <xf numFmtId="0" fontId="8" fillId="17" borderId="12" xfId="0" applyFont="1" applyFill="1" applyBorder="1" applyAlignment="1">
      <alignment horizontal="center"/>
    </xf>
    <xf numFmtId="0" fontId="8" fillId="17" borderId="13" xfId="0" applyFont="1" applyFill="1" applyBorder="1" applyAlignment="1">
      <alignment horizontal="center"/>
    </xf>
    <xf numFmtId="165" fontId="8" fillId="17" borderId="0" xfId="1" applyFont="1" applyFill="1" applyBorder="1" applyAlignment="1">
      <alignment horizontal="left" vertical="center"/>
    </xf>
    <xf numFmtId="0" fontId="8" fillId="17" borderId="0" xfId="0" applyNumberFormat="1" applyFont="1" applyFill="1" applyBorder="1" applyAlignment="1">
      <alignment horizontal="left" vertical="center"/>
    </xf>
    <xf numFmtId="164" fontId="33" fillId="0" borderId="0" xfId="0" applyNumberFormat="1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8" fillId="0" borderId="0" xfId="0" applyNumberFormat="1" applyFont="1" applyAlignment="1">
      <alignment horizontal="left"/>
    </xf>
    <xf numFmtId="164" fontId="36" fillId="0" borderId="8" xfId="0" applyNumberFormat="1" applyFont="1" applyBorder="1" applyAlignment="1">
      <alignment horizontal="left"/>
    </xf>
    <xf numFmtId="165" fontId="12" fillId="0" borderId="8" xfId="1" applyFont="1" applyBorder="1" applyAlignment="1">
      <alignment horizontal="left"/>
    </xf>
    <xf numFmtId="164" fontId="37" fillId="0" borderId="8" xfId="0" applyNumberFormat="1" applyFont="1" applyBorder="1" applyAlignment="1">
      <alignment horizontal="left"/>
    </xf>
    <xf numFmtId="165" fontId="33" fillId="0" borderId="8" xfId="1" applyFont="1" applyBorder="1" applyAlignment="1">
      <alignment horizontal="left"/>
    </xf>
    <xf numFmtId="165" fontId="10" fillId="0" borderId="8" xfId="1" applyFont="1" applyBorder="1" applyAlignment="1">
      <alignment horizontal="left"/>
    </xf>
    <xf numFmtId="165" fontId="10" fillId="0" borderId="8" xfId="1" applyFont="1" applyFill="1" applyBorder="1" applyAlignment="1">
      <alignment horizontal="left"/>
    </xf>
    <xf numFmtId="165" fontId="8" fillId="0" borderId="2" xfId="1" applyFont="1" applyBorder="1" applyAlignment="1">
      <alignment horizontal="right"/>
    </xf>
    <xf numFmtId="165" fontId="8" fillId="0" borderId="3" xfId="1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165" fontId="8" fillId="0" borderId="4" xfId="1" applyFont="1" applyBorder="1" applyAlignment="1">
      <alignment horizontal="right"/>
    </xf>
    <xf numFmtId="10" fontId="8" fillId="0" borderId="9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0" fontId="8" fillId="0" borderId="10" xfId="0" applyNumberFormat="1" applyFont="1" applyBorder="1" applyAlignment="1">
      <alignment horizontal="right"/>
    </xf>
    <xf numFmtId="165" fontId="8" fillId="0" borderId="8" xfId="1" applyFont="1" applyBorder="1" applyAlignment="1">
      <alignment horizontal="center"/>
    </xf>
    <xf numFmtId="43" fontId="14" fillId="0" borderId="8" xfId="0" applyNumberFormat="1" applyFont="1" applyBorder="1" applyProtection="1"/>
    <xf numFmtId="165" fontId="8" fillId="0" borderId="8" xfId="1" applyFont="1" applyFill="1" applyBorder="1" applyAlignment="1"/>
    <xf numFmtId="0" fontId="17" fillId="0" borderId="0" xfId="0" applyFont="1" applyFill="1" applyBorder="1" applyAlignment="1" applyProtection="1">
      <alignment horizontal="center"/>
    </xf>
    <xf numFmtId="0" fontId="8" fillId="0" borderId="16" xfId="0" applyFont="1" applyBorder="1" applyProtection="1"/>
    <xf numFmtId="49" fontId="3" fillId="4" borderId="17" xfId="0" applyNumberFormat="1" applyFont="1" applyFill="1" applyBorder="1" applyAlignment="1" applyProtection="1">
      <alignment horizontal="center"/>
      <protection locked="0"/>
    </xf>
    <xf numFmtId="0" fontId="3" fillId="0" borderId="16" xfId="0" applyFont="1" applyBorder="1" applyProtection="1"/>
    <xf numFmtId="14" fontId="3" fillId="0" borderId="0" xfId="0" applyNumberFormat="1" applyFont="1" applyBorder="1" applyProtection="1"/>
    <xf numFmtId="0" fontId="8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vertic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21" xfId="0" applyFont="1" applyBorder="1" applyAlignment="1" applyProtection="1">
      <alignment horizontal="center" wrapText="1"/>
    </xf>
    <xf numFmtId="0" fontId="4" fillId="0" borderId="22" xfId="0" applyFont="1" applyBorder="1" applyAlignment="1" applyProtection="1">
      <alignment horizontal="center" wrapText="1"/>
    </xf>
    <xf numFmtId="0" fontId="4" fillId="0" borderId="16" xfId="0" applyFont="1" applyBorder="1" applyAlignment="1" applyProtection="1">
      <alignment horizontal="center"/>
    </xf>
    <xf numFmtId="0" fontId="19" fillId="5" borderId="16" xfId="0" applyFont="1" applyFill="1" applyBorder="1" applyAlignment="1" applyProtection="1">
      <alignment horizontal="center"/>
    </xf>
    <xf numFmtId="0" fontId="10" fillId="0" borderId="23" xfId="0" applyFont="1" applyBorder="1" applyProtection="1"/>
    <xf numFmtId="0" fontId="10" fillId="0" borderId="16" xfId="0" applyFont="1" applyBorder="1" applyAlignment="1" applyProtection="1">
      <alignment horizontal="center" vertical="center" wrapText="1"/>
    </xf>
    <xf numFmtId="2" fontId="8" fillId="4" borderId="16" xfId="0" applyNumberFormat="1" applyFont="1" applyFill="1" applyBorder="1" applyProtection="1">
      <protection locked="0"/>
    </xf>
    <xf numFmtId="2" fontId="10" fillId="6" borderId="24" xfId="0" applyNumberFormat="1" applyFont="1" applyFill="1" applyBorder="1" applyProtection="1"/>
    <xf numFmtId="165" fontId="10" fillId="0" borderId="16" xfId="1" applyFont="1" applyFill="1" applyBorder="1" applyAlignment="1" applyProtection="1"/>
    <xf numFmtId="165" fontId="38" fillId="0" borderId="16" xfId="1" applyFont="1" applyFill="1" applyBorder="1" applyAlignment="1" applyProtection="1"/>
    <xf numFmtId="0" fontId="10" fillId="0" borderId="23" xfId="0" applyFont="1" applyFill="1" applyBorder="1" applyProtection="1"/>
    <xf numFmtId="0" fontId="10" fillId="0" borderId="16" xfId="0" applyFont="1" applyFill="1" applyBorder="1" applyAlignment="1" applyProtection="1">
      <alignment horizontal="center" vertical="center" wrapText="1"/>
    </xf>
    <xf numFmtId="2" fontId="10" fillId="6" borderId="16" xfId="0" applyNumberFormat="1" applyFont="1" applyFill="1" applyBorder="1" applyProtection="1"/>
    <xf numFmtId="0" fontId="8" fillId="0" borderId="23" xfId="0" applyFont="1" applyFill="1" applyBorder="1" applyProtection="1"/>
    <xf numFmtId="0" fontId="8" fillId="0" borderId="23" xfId="0" applyFont="1" applyFill="1" applyBorder="1" applyAlignment="1" applyProtection="1">
      <alignment wrapText="1"/>
    </xf>
    <xf numFmtId="4" fontId="8" fillId="0" borderId="16" xfId="0" applyNumberFormat="1" applyFont="1" applyBorder="1" applyProtection="1"/>
    <xf numFmtId="0" fontId="8" fillId="0" borderId="23" xfId="0" applyNumberFormat="1" applyFont="1" applyBorder="1" applyAlignment="1" applyProtection="1">
      <alignment wrapText="1"/>
    </xf>
    <xf numFmtId="0" fontId="10" fillId="0" borderId="25" xfId="0" applyFont="1" applyFill="1" applyBorder="1" applyAlignment="1" applyProtection="1">
      <alignment horizontal="center" vertical="center" wrapText="1"/>
    </xf>
    <xf numFmtId="168" fontId="8" fillId="0" borderId="16" xfId="0" applyNumberFormat="1" applyFont="1" applyBorder="1" applyProtection="1"/>
    <xf numFmtId="0" fontId="10" fillId="7" borderId="23" xfId="0" applyNumberFormat="1" applyFont="1" applyFill="1" applyBorder="1" applyAlignment="1" applyProtection="1">
      <alignment wrapText="1"/>
    </xf>
    <xf numFmtId="0" fontId="10" fillId="7" borderId="16" xfId="0" applyFont="1" applyFill="1" applyBorder="1" applyAlignment="1" applyProtection="1">
      <alignment horizontal="center" vertical="center" wrapText="1"/>
    </xf>
    <xf numFmtId="2" fontId="10" fillId="7" borderId="16" xfId="0" applyNumberFormat="1" applyFont="1" applyFill="1" applyBorder="1" applyProtection="1"/>
    <xf numFmtId="2" fontId="10" fillId="7" borderId="24" xfId="0" applyNumberFormat="1" applyFont="1" applyFill="1" applyBorder="1" applyProtection="1"/>
    <xf numFmtId="168" fontId="10" fillId="0" borderId="16" xfId="0" applyNumberFormat="1" applyFont="1" applyBorder="1" applyProtection="1"/>
    <xf numFmtId="0" fontId="10" fillId="7" borderId="26" xfId="0" applyNumberFormat="1" applyFont="1" applyFill="1" applyBorder="1" applyAlignment="1" applyProtection="1">
      <alignment wrapText="1"/>
    </xf>
    <xf numFmtId="0" fontId="10" fillId="7" borderId="27" xfId="0" applyFont="1" applyFill="1" applyBorder="1" applyAlignment="1" applyProtection="1">
      <alignment horizontal="center" vertical="center" wrapText="1"/>
    </xf>
    <xf numFmtId="2" fontId="10" fillId="7" borderId="27" xfId="0" applyNumberFormat="1" applyFont="1" applyFill="1" applyBorder="1" applyProtection="1"/>
    <xf numFmtId="165" fontId="16" fillId="7" borderId="28" xfId="1" applyFont="1" applyFill="1" applyBorder="1" applyAlignment="1" applyProtection="1">
      <alignment horizontal="right"/>
    </xf>
    <xf numFmtId="165" fontId="10" fillId="7" borderId="16" xfId="1" applyFont="1" applyFill="1" applyBorder="1" applyAlignment="1" applyProtection="1">
      <alignment horizontal="right"/>
    </xf>
    <xf numFmtId="0" fontId="10" fillId="8" borderId="29" xfId="0" applyNumberFormat="1" applyFont="1" applyFill="1" applyBorder="1" applyAlignment="1" applyProtection="1">
      <alignment wrapText="1"/>
    </xf>
    <xf numFmtId="0" fontId="10" fillId="8" borderId="25" xfId="0" applyFont="1" applyFill="1" applyBorder="1" applyAlignment="1" applyProtection="1">
      <alignment horizontal="center" vertical="center" wrapText="1"/>
    </xf>
    <xf numFmtId="2" fontId="10" fillId="8" borderId="25" xfId="0" applyNumberFormat="1" applyFont="1" applyFill="1" applyBorder="1" applyProtection="1"/>
    <xf numFmtId="2" fontId="10" fillId="8" borderId="30" xfId="0" applyNumberFormat="1" applyFont="1" applyFill="1" applyBorder="1" applyProtection="1"/>
    <xf numFmtId="165" fontId="16" fillId="6" borderId="16" xfId="1" applyFont="1" applyFill="1" applyBorder="1" applyAlignment="1" applyProtection="1">
      <alignment horizontal="right"/>
    </xf>
    <xf numFmtId="165" fontId="10" fillId="6" borderId="16" xfId="1" applyFont="1" applyFill="1" applyBorder="1" applyAlignment="1" applyProtection="1">
      <alignment horizontal="right"/>
    </xf>
    <xf numFmtId="0" fontId="8" fillId="0" borderId="23" xfId="0" applyNumberFormat="1" applyFont="1" applyFill="1" applyBorder="1" applyAlignment="1" applyProtection="1">
      <alignment wrapText="1"/>
    </xf>
    <xf numFmtId="2" fontId="8" fillId="6" borderId="16" xfId="0" applyNumberFormat="1" applyFont="1" applyFill="1" applyBorder="1" applyProtection="1">
      <protection locked="0"/>
    </xf>
    <xf numFmtId="165" fontId="15" fillId="6" borderId="16" xfId="1" applyFont="1" applyFill="1" applyBorder="1" applyAlignment="1" applyProtection="1">
      <alignment horizontal="right"/>
      <protection locked="0"/>
    </xf>
    <xf numFmtId="165" fontId="8" fillId="6" borderId="16" xfId="1" applyFont="1" applyFill="1" applyBorder="1" applyAlignment="1" applyProtection="1">
      <alignment horizontal="right"/>
      <protection locked="0"/>
    </xf>
    <xf numFmtId="168" fontId="8" fillId="9" borderId="16" xfId="0" applyNumberFormat="1" applyFont="1" applyFill="1" applyBorder="1" applyProtection="1"/>
    <xf numFmtId="0" fontId="8" fillId="18" borderId="23" xfId="0" applyNumberFormat="1" applyFont="1" applyFill="1" applyBorder="1" applyAlignment="1" applyProtection="1">
      <alignment horizontal="left" wrapText="1"/>
      <protection locked="0"/>
    </xf>
    <xf numFmtId="0" fontId="15" fillId="0" borderId="23" xfId="0" applyFont="1" applyBorder="1" applyProtection="1"/>
    <xf numFmtId="2" fontId="15" fillId="4" borderId="16" xfId="0" applyNumberFormat="1" applyFont="1" applyFill="1" applyBorder="1" applyProtection="1">
      <protection locked="0"/>
    </xf>
    <xf numFmtId="2" fontId="16" fillId="6" borderId="24" xfId="0" applyNumberFormat="1" applyFont="1" applyFill="1" applyBorder="1" applyProtection="1"/>
    <xf numFmtId="0" fontId="10" fillId="10" borderId="23" xfId="0" applyFont="1" applyFill="1" applyBorder="1" applyProtection="1"/>
    <xf numFmtId="0" fontId="8" fillId="0" borderId="23" xfId="0" applyFont="1" applyBorder="1" applyProtection="1"/>
    <xf numFmtId="168" fontId="8" fillId="11" borderId="16" xfId="0" applyNumberFormat="1" applyFont="1" applyFill="1" applyBorder="1" applyProtection="1"/>
    <xf numFmtId="168" fontId="10" fillId="9" borderId="16" xfId="0" applyNumberFormat="1" applyFont="1" applyFill="1" applyBorder="1" applyProtection="1"/>
    <xf numFmtId="168" fontId="10" fillId="11" borderId="16" xfId="0" applyNumberFormat="1" applyFont="1" applyFill="1" applyBorder="1" applyProtection="1"/>
    <xf numFmtId="0" fontId="8" fillId="19" borderId="23" xfId="0" applyNumberFormat="1" applyFont="1" applyFill="1" applyBorder="1" applyAlignment="1" applyProtection="1">
      <alignment wrapText="1"/>
    </xf>
    <xf numFmtId="2" fontId="8" fillId="12" borderId="16" xfId="0" applyNumberFormat="1" applyFont="1" applyFill="1" applyBorder="1" applyProtection="1">
      <protection locked="0"/>
    </xf>
    <xf numFmtId="2" fontId="10" fillId="12" borderId="24" xfId="0" applyNumberFormat="1" applyFont="1" applyFill="1" applyBorder="1" applyProtection="1"/>
    <xf numFmtId="0" fontId="10" fillId="0" borderId="23" xfId="0" applyFont="1" applyBorder="1" applyAlignment="1" applyProtection="1">
      <alignment wrapText="1"/>
    </xf>
    <xf numFmtId="0" fontId="8" fillId="11" borderId="31" xfId="0" applyFont="1" applyFill="1" applyBorder="1" applyProtection="1"/>
    <xf numFmtId="0" fontId="8" fillId="11" borderId="23" xfId="0" applyFont="1" applyFill="1" applyBorder="1" applyAlignment="1" applyProtection="1">
      <alignment wrapText="1"/>
    </xf>
    <xf numFmtId="2" fontId="8" fillId="4" borderId="16" xfId="0" applyNumberFormat="1" applyFont="1" applyFill="1" applyBorder="1" applyAlignment="1" applyProtection="1">
      <alignment wrapText="1"/>
      <protection locked="0"/>
    </xf>
    <xf numFmtId="0" fontId="8" fillId="11" borderId="23" xfId="0" applyNumberFormat="1" applyFont="1" applyFill="1" applyBorder="1" applyAlignment="1" applyProtection="1">
      <alignment horizontal="left" wrapText="1"/>
      <protection locked="0"/>
    </xf>
    <xf numFmtId="2" fontId="16" fillId="6" borderId="16" xfId="0" applyNumberFormat="1" applyFont="1" applyFill="1" applyBorder="1" applyProtection="1"/>
    <xf numFmtId="0" fontId="21" fillId="11" borderId="23" xfId="0" applyNumberFormat="1" applyFont="1" applyFill="1" applyBorder="1" applyAlignment="1" applyProtection="1">
      <alignment horizontal="left" wrapText="1"/>
      <protection locked="0"/>
    </xf>
    <xf numFmtId="0" fontId="8" fillId="20" borderId="23" xfId="0" applyNumberFormat="1" applyFont="1" applyFill="1" applyBorder="1" applyAlignment="1" applyProtection="1">
      <alignment horizontal="left" wrapText="1"/>
      <protection locked="0"/>
    </xf>
    <xf numFmtId="168" fontId="8" fillId="21" borderId="16" xfId="0" applyNumberFormat="1" applyFont="1" applyFill="1" applyBorder="1" applyProtection="1"/>
    <xf numFmtId="0" fontId="8" fillId="4" borderId="23" xfId="0" applyNumberFormat="1" applyFont="1" applyFill="1" applyBorder="1" applyAlignment="1" applyProtection="1">
      <alignment horizontal="left" wrapText="1"/>
      <protection locked="0"/>
    </xf>
    <xf numFmtId="0" fontId="25" fillId="0" borderId="23" xfId="0" applyNumberFormat="1" applyFont="1" applyFill="1" applyBorder="1" applyAlignment="1" applyProtection="1">
      <alignment wrapText="1"/>
    </xf>
    <xf numFmtId="0" fontId="10" fillId="0" borderId="23" xfId="0" applyFont="1" applyBorder="1" applyAlignment="1" applyProtection="1">
      <alignment horizontal="left"/>
    </xf>
    <xf numFmtId="0" fontId="8" fillId="4" borderId="16" xfId="0" applyFont="1" applyFill="1" applyBorder="1" applyProtection="1">
      <protection locked="0"/>
    </xf>
    <xf numFmtId="0" fontId="8" fillId="0" borderId="29" xfId="0" applyFont="1" applyBorder="1" applyAlignment="1" applyProtection="1">
      <alignment horizontal="left"/>
    </xf>
    <xf numFmtId="0" fontId="8" fillId="4" borderId="25" xfId="0" applyFont="1" applyFill="1" applyBorder="1" applyProtection="1">
      <protection locked="0"/>
    </xf>
    <xf numFmtId="0" fontId="10" fillId="10" borderId="23" xfId="0" applyFont="1" applyFill="1" applyBorder="1" applyAlignment="1" applyProtection="1">
      <alignment wrapText="1"/>
    </xf>
    <xf numFmtId="0" fontId="8" fillId="0" borderId="23" xfId="0" applyFont="1" applyBorder="1" applyAlignment="1" applyProtection="1">
      <alignment wrapText="1"/>
    </xf>
    <xf numFmtId="0" fontId="21" fillId="0" borderId="0" xfId="0" applyFont="1" applyProtection="1"/>
    <xf numFmtId="165" fontId="21" fillId="0" borderId="16" xfId="1" applyFont="1" applyFill="1" applyBorder="1" applyAlignment="1" applyProtection="1"/>
    <xf numFmtId="0" fontId="8" fillId="13" borderId="32" xfId="0" applyNumberFormat="1" applyFont="1" applyFill="1" applyBorder="1" applyAlignment="1" applyProtection="1">
      <alignment wrapText="1"/>
    </xf>
    <xf numFmtId="0" fontId="10" fillId="13" borderId="16" xfId="0" applyFont="1" applyFill="1" applyBorder="1" applyAlignment="1" applyProtection="1">
      <alignment horizontal="center" vertical="center" wrapText="1"/>
    </xf>
    <xf numFmtId="2" fontId="15" fillId="13" borderId="31" xfId="0" applyNumberFormat="1" applyFont="1" applyFill="1" applyBorder="1" applyProtection="1">
      <protection locked="0"/>
    </xf>
    <xf numFmtId="2" fontId="10" fillId="13" borderId="24" xfId="0" applyNumberFormat="1" applyFont="1" applyFill="1" applyBorder="1" applyProtection="1"/>
    <xf numFmtId="168" fontId="8" fillId="13" borderId="16" xfId="0" applyNumberFormat="1" applyFont="1" applyFill="1" applyBorder="1" applyProtection="1"/>
    <xf numFmtId="0" fontId="10" fillId="0" borderId="32" xfId="0" applyNumberFormat="1" applyFont="1" applyFill="1" applyBorder="1" applyAlignment="1" applyProtection="1">
      <alignment wrapText="1"/>
    </xf>
    <xf numFmtId="2" fontId="15" fillId="0" borderId="31" xfId="0" applyNumberFormat="1" applyFont="1" applyFill="1" applyBorder="1" applyProtection="1">
      <protection locked="0"/>
    </xf>
    <xf numFmtId="2" fontId="10" fillId="0" borderId="24" xfId="0" applyNumberFormat="1" applyFont="1" applyFill="1" applyBorder="1" applyProtection="1"/>
    <xf numFmtId="168" fontId="8" fillId="0" borderId="16" xfId="0" applyNumberFormat="1" applyFont="1" applyFill="1" applyBorder="1" applyProtection="1"/>
    <xf numFmtId="168" fontId="10" fillId="22" borderId="16" xfId="0" applyNumberFormat="1" applyFont="1" applyFill="1" applyBorder="1" applyProtection="1"/>
    <xf numFmtId="0" fontId="8" fillId="0" borderId="32" xfId="0" applyNumberFormat="1" applyFont="1" applyFill="1" applyBorder="1" applyAlignment="1" applyProtection="1">
      <alignment wrapText="1"/>
    </xf>
    <xf numFmtId="0" fontId="10" fillId="0" borderId="32" xfId="0" applyFont="1" applyBorder="1" applyAlignment="1" applyProtection="1">
      <alignment wrapText="1"/>
    </xf>
    <xf numFmtId="0" fontId="10" fillId="0" borderId="16" xfId="0" applyFont="1" applyBorder="1" applyAlignment="1" applyProtection="1">
      <alignment vertical="center" wrapText="1"/>
    </xf>
    <xf numFmtId="2" fontId="10" fillId="6" borderId="31" xfId="0" applyNumberFormat="1" applyFont="1" applyFill="1" applyBorder="1" applyProtection="1"/>
    <xf numFmtId="0" fontId="8" fillId="0" borderId="32" xfId="0" applyFont="1" applyFill="1" applyBorder="1" applyAlignment="1" applyProtection="1">
      <alignment wrapText="1"/>
    </xf>
    <xf numFmtId="2" fontId="8" fillId="4" borderId="31" xfId="0" applyNumberFormat="1" applyFont="1" applyFill="1" applyBorder="1" applyProtection="1">
      <protection locked="0"/>
    </xf>
    <xf numFmtId="0" fontId="8" fillId="4" borderId="33" xfId="0" applyNumberFormat="1" applyFont="1" applyFill="1" applyBorder="1" applyAlignment="1" applyProtection="1">
      <alignment horizontal="left" wrapText="1"/>
      <protection locked="0"/>
    </xf>
    <xf numFmtId="2" fontId="8" fillId="4" borderId="34" xfId="0" applyNumberFormat="1" applyFont="1" applyFill="1" applyBorder="1" applyProtection="1">
      <protection locked="0"/>
    </xf>
    <xf numFmtId="2" fontId="10" fillId="6" borderId="18" xfId="0" applyNumberFormat="1" applyFont="1" applyFill="1" applyBorder="1" applyProtection="1"/>
    <xf numFmtId="168" fontId="8" fillId="0" borderId="35" xfId="0" applyNumberFormat="1" applyFont="1" applyBorder="1" applyProtection="1"/>
    <xf numFmtId="0" fontId="8" fillId="4" borderId="32" xfId="0" applyNumberFormat="1" applyFont="1" applyFill="1" applyBorder="1" applyAlignment="1" applyProtection="1">
      <alignment horizontal="left" wrapText="1"/>
      <protection locked="0"/>
    </xf>
    <xf numFmtId="168" fontId="8" fillId="0" borderId="36" xfId="0" applyNumberFormat="1" applyFont="1" applyBorder="1" applyProtection="1"/>
    <xf numFmtId="168" fontId="8" fillId="9" borderId="36" xfId="0" applyNumberFormat="1" applyFont="1" applyFill="1" applyBorder="1" applyProtection="1"/>
    <xf numFmtId="0" fontId="8" fillId="4" borderId="37" xfId="0" applyNumberFormat="1" applyFont="1" applyFill="1" applyBorder="1" applyAlignment="1" applyProtection="1">
      <alignment horizontal="left" wrapText="1"/>
      <protection locked="0"/>
    </xf>
    <xf numFmtId="2" fontId="8" fillId="4" borderId="38" xfId="0" applyNumberFormat="1" applyFont="1" applyFill="1" applyBorder="1" applyProtection="1">
      <protection locked="0"/>
    </xf>
    <xf numFmtId="2" fontId="10" fillId="6" borderId="28" xfId="0" applyNumberFormat="1" applyFont="1" applyFill="1" applyBorder="1" applyProtection="1"/>
    <xf numFmtId="168" fontId="8" fillId="0" borderId="39" xfId="0" applyNumberFormat="1" applyFont="1" applyBorder="1" applyProtection="1"/>
    <xf numFmtId="168" fontId="8" fillId="9" borderId="39" xfId="0" applyNumberFormat="1" applyFont="1" applyFill="1" applyBorder="1" applyProtection="1"/>
    <xf numFmtId="0" fontId="15" fillId="0" borderId="32" xfId="0" applyNumberFormat="1" applyFont="1" applyFill="1" applyBorder="1" applyAlignment="1" applyProtection="1">
      <alignment wrapText="1"/>
    </xf>
    <xf numFmtId="2" fontId="15" fillId="4" borderId="31" xfId="0" applyNumberFormat="1" applyFont="1" applyFill="1" applyBorder="1" applyProtection="1">
      <protection locked="0"/>
    </xf>
    <xf numFmtId="0" fontId="8" fillId="18" borderId="32" xfId="0" applyNumberFormat="1" applyFont="1" applyFill="1" applyBorder="1" applyAlignment="1" applyProtection="1">
      <alignment horizontal="left" wrapText="1"/>
      <protection locked="0"/>
    </xf>
    <xf numFmtId="0" fontId="8" fillId="18" borderId="40" xfId="0" applyNumberFormat="1" applyFont="1" applyFill="1" applyBorder="1" applyAlignment="1" applyProtection="1">
      <alignment horizontal="left" wrapText="1"/>
      <protection locked="0"/>
    </xf>
    <xf numFmtId="0" fontId="10" fillId="0" borderId="25" xfId="0" applyFont="1" applyBorder="1" applyAlignment="1" applyProtection="1">
      <alignment vertical="center" wrapText="1"/>
    </xf>
    <xf numFmtId="2" fontId="8" fillId="4" borderId="41" xfId="0" applyNumberFormat="1" applyFont="1" applyFill="1" applyBorder="1" applyProtection="1">
      <protection locked="0"/>
    </xf>
    <xf numFmtId="2" fontId="10" fillId="6" borderId="30" xfId="0" applyNumberFormat="1" applyFont="1" applyFill="1" applyBorder="1" applyProtection="1"/>
    <xf numFmtId="168" fontId="8" fillId="0" borderId="25" xfId="0" applyNumberFormat="1" applyFont="1" applyBorder="1" applyProtection="1"/>
    <xf numFmtId="0" fontId="8" fillId="18" borderId="33" xfId="0" applyNumberFormat="1" applyFont="1" applyFill="1" applyBorder="1" applyAlignment="1" applyProtection="1">
      <alignment horizontal="left" wrapText="1"/>
      <protection locked="0"/>
    </xf>
    <xf numFmtId="0" fontId="8" fillId="18" borderId="37" xfId="0" applyNumberFormat="1" applyFont="1" applyFill="1" applyBorder="1" applyAlignment="1" applyProtection="1">
      <alignment horizontal="left" wrapText="1"/>
      <protection locked="0"/>
    </xf>
    <xf numFmtId="0" fontId="23" fillId="18" borderId="33" xfId="0" applyNumberFormat="1" applyFont="1" applyFill="1" applyBorder="1" applyAlignment="1" applyProtection="1">
      <alignment horizontal="left" wrapText="1"/>
      <protection locked="0"/>
    </xf>
    <xf numFmtId="168" fontId="23" fillId="0" borderId="35" xfId="0" applyNumberFormat="1" applyFont="1" applyBorder="1" applyProtection="1"/>
    <xf numFmtId="168" fontId="35" fillId="0" borderId="35" xfId="0" applyNumberFormat="1" applyFont="1" applyBorder="1" applyProtection="1"/>
    <xf numFmtId="0" fontId="24" fillId="18" borderId="42" xfId="0" applyNumberFormat="1" applyFont="1" applyFill="1" applyBorder="1" applyAlignment="1" applyProtection="1">
      <alignment horizontal="left" wrapText="1"/>
      <protection locked="0"/>
    </xf>
    <xf numFmtId="2" fontId="8" fillId="4" borderId="43" xfId="0" applyNumberFormat="1" applyFont="1" applyFill="1" applyBorder="1" applyProtection="1">
      <protection locked="0"/>
    </xf>
    <xf numFmtId="2" fontId="10" fillId="6" borderId="44" xfId="0" applyNumberFormat="1" applyFont="1" applyFill="1" applyBorder="1" applyProtection="1"/>
    <xf numFmtId="168" fontId="8" fillId="0" borderId="45" xfId="0" applyNumberFormat="1" applyFont="1" applyBorder="1" applyProtection="1"/>
    <xf numFmtId="168" fontId="8" fillId="9" borderId="45" xfId="0" applyNumberFormat="1" applyFont="1" applyFill="1" applyBorder="1" applyProtection="1"/>
    <xf numFmtId="0" fontId="8" fillId="18" borderId="42" xfId="0" applyNumberFormat="1" applyFont="1" applyFill="1" applyBorder="1" applyAlignment="1" applyProtection="1">
      <alignment horizontal="left" wrapText="1"/>
      <protection locked="0"/>
    </xf>
    <xf numFmtId="168" fontId="8" fillId="0" borderId="46" xfId="0" applyNumberFormat="1" applyFont="1" applyBorder="1" applyProtection="1"/>
    <xf numFmtId="168" fontId="8" fillId="9" borderId="46" xfId="0" applyNumberFormat="1" applyFont="1" applyFill="1" applyBorder="1" applyProtection="1"/>
    <xf numFmtId="0" fontId="21" fillId="18" borderId="33" xfId="0" applyNumberFormat="1" applyFont="1" applyFill="1" applyBorder="1" applyAlignment="1" applyProtection="1">
      <alignment horizontal="left" wrapText="1"/>
      <protection locked="0"/>
    </xf>
    <xf numFmtId="2" fontId="10" fillId="4" borderId="34" xfId="0" applyNumberFormat="1" applyFont="1" applyFill="1" applyBorder="1" applyProtection="1">
      <protection locked="0"/>
    </xf>
    <xf numFmtId="168" fontId="10" fillId="0" borderId="35" xfId="0" applyNumberFormat="1" applyFont="1" applyBorder="1" applyProtection="1"/>
    <xf numFmtId="168" fontId="21" fillId="0" borderId="35" xfId="0" applyNumberFormat="1" applyFont="1" applyBorder="1" applyProtection="1"/>
    <xf numFmtId="168" fontId="38" fillId="0" borderId="35" xfId="0" applyNumberFormat="1" applyFont="1" applyBorder="1" applyProtection="1"/>
    <xf numFmtId="0" fontId="8" fillId="18" borderId="47" xfId="0" applyNumberFormat="1" applyFont="1" applyFill="1" applyBorder="1" applyAlignment="1" applyProtection="1">
      <alignment horizontal="left" wrapText="1"/>
      <protection locked="0"/>
    </xf>
    <xf numFmtId="2" fontId="10" fillId="4" borderId="48" xfId="0" applyNumberFormat="1" applyFont="1" applyFill="1" applyBorder="1" applyProtection="1">
      <protection locked="0"/>
    </xf>
    <xf numFmtId="2" fontId="10" fillId="6" borderId="22" xfId="0" applyNumberFormat="1" applyFont="1" applyFill="1" applyBorder="1" applyProtection="1"/>
    <xf numFmtId="168" fontId="10" fillId="0" borderId="49" xfId="0" applyNumberFormat="1" applyFont="1" applyBorder="1" applyProtection="1"/>
    <xf numFmtId="0" fontId="23" fillId="18" borderId="47" xfId="0" applyNumberFormat="1" applyFont="1" applyFill="1" applyBorder="1" applyAlignment="1" applyProtection="1">
      <alignment horizontal="left" wrapText="1"/>
      <protection locked="0"/>
    </xf>
    <xf numFmtId="2" fontId="8" fillId="4" borderId="48" xfId="0" applyNumberFormat="1" applyFont="1" applyFill="1" applyBorder="1" applyProtection="1">
      <protection locked="0"/>
    </xf>
    <xf numFmtId="168" fontId="8" fillId="0" borderId="49" xfId="0" applyNumberFormat="1" applyFont="1" applyBorder="1" applyProtection="1"/>
    <xf numFmtId="168" fontId="23" fillId="0" borderId="49" xfId="0" applyNumberFormat="1" applyFont="1" applyBorder="1" applyProtection="1"/>
    <xf numFmtId="0" fontId="23" fillId="18" borderId="37" xfId="0" applyNumberFormat="1" applyFont="1" applyFill="1" applyBorder="1" applyAlignment="1" applyProtection="1">
      <alignment horizontal="left" wrapText="1"/>
      <protection locked="0"/>
    </xf>
    <xf numFmtId="168" fontId="23" fillId="0" borderId="39" xfId="0" applyNumberFormat="1" applyFont="1" applyBorder="1" applyProtection="1"/>
    <xf numFmtId="0" fontId="8" fillId="13" borderId="42" xfId="0" applyNumberFormat="1" applyFont="1" applyFill="1" applyBorder="1" applyAlignment="1" applyProtection="1">
      <alignment horizontal="left" wrapText="1"/>
      <protection locked="0"/>
    </xf>
    <xf numFmtId="2" fontId="8" fillId="13" borderId="50" xfId="0" applyNumberFormat="1" applyFont="1" applyFill="1" applyBorder="1" applyProtection="1">
      <protection locked="0"/>
    </xf>
    <xf numFmtId="2" fontId="10" fillId="13" borderId="50" xfId="0" applyNumberFormat="1" applyFont="1" applyFill="1" applyBorder="1" applyProtection="1"/>
    <xf numFmtId="0" fontId="10" fillId="6" borderId="24" xfId="0" applyFont="1" applyFill="1" applyBorder="1" applyProtection="1"/>
    <xf numFmtId="0" fontId="10" fillId="6" borderId="16" xfId="0" applyFont="1" applyFill="1" applyBorder="1" applyProtection="1"/>
    <xf numFmtId="0" fontId="10" fillId="6" borderId="30" xfId="0" applyFont="1" applyFill="1" applyBorder="1" applyProtection="1"/>
    <xf numFmtId="2" fontId="8" fillId="0" borderId="16" xfId="0" applyNumberFormat="1" applyFont="1" applyBorder="1" applyProtection="1"/>
    <xf numFmtId="2" fontId="10" fillId="6" borderId="51" xfId="0" applyNumberFormat="1" applyFont="1" applyFill="1" applyBorder="1" applyProtection="1"/>
    <xf numFmtId="165" fontId="16" fillId="6" borderId="51" xfId="1" applyFont="1" applyFill="1" applyBorder="1" applyAlignment="1" applyProtection="1">
      <alignment horizontal="right"/>
    </xf>
    <xf numFmtId="0" fontId="8" fillId="0" borderId="52" xfId="0" applyFont="1" applyBorder="1" applyProtection="1"/>
    <xf numFmtId="168" fontId="8" fillId="0" borderId="52" xfId="0" applyNumberFormat="1" applyFont="1" applyBorder="1" applyProtection="1"/>
    <xf numFmtId="169" fontId="8" fillId="0" borderId="52" xfId="0" applyNumberFormat="1" applyFont="1" applyBorder="1" applyProtection="1"/>
    <xf numFmtId="14" fontId="3" fillId="0" borderId="0" xfId="0" applyNumberFormat="1" applyFont="1" applyProtection="1"/>
    <xf numFmtId="2" fontId="8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3" fillId="0" borderId="0" xfId="0" applyFont="1" applyProtection="1"/>
    <xf numFmtId="4" fontId="3" fillId="0" borderId="16" xfId="0" applyNumberFormat="1" applyFont="1" applyBorder="1" applyAlignment="1" applyProtection="1">
      <alignment horizontal="right"/>
    </xf>
    <xf numFmtId="14" fontId="4" fillId="0" borderId="0" xfId="0" applyNumberFormat="1" applyFont="1" applyBorder="1" applyProtection="1"/>
    <xf numFmtId="169" fontId="22" fillId="0" borderId="16" xfId="0" applyNumberFormat="1" applyFont="1" applyBorder="1" applyProtection="1"/>
    <xf numFmtId="43" fontId="8" fillId="0" borderId="16" xfId="0" applyNumberFormat="1" applyFont="1" applyBorder="1" applyProtection="1"/>
    <xf numFmtId="0" fontId="3" fillId="0" borderId="0" xfId="0" applyFont="1" applyBorder="1" applyAlignment="1" applyProtection="1">
      <alignment horizontal="center"/>
    </xf>
    <xf numFmtId="168" fontId="3" fillId="0" borderId="16" xfId="0" applyNumberFormat="1" applyFont="1" applyBorder="1" applyProtection="1"/>
    <xf numFmtId="168" fontId="4" fillId="0" borderId="16" xfId="0" applyNumberFormat="1" applyFont="1" applyBorder="1" applyProtection="1"/>
    <xf numFmtId="165" fontId="5" fillId="0" borderId="0" xfId="2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5" fontId="8" fillId="0" borderId="0" xfId="2" applyFont="1" applyBorder="1" applyAlignment="1">
      <alignment horizontal="left"/>
    </xf>
    <xf numFmtId="43" fontId="8" fillId="0" borderId="0" xfId="0" applyNumberFormat="1" applyFont="1" applyBorder="1" applyAlignment="1">
      <alignment horizontal="left"/>
    </xf>
    <xf numFmtId="0" fontId="39" fillId="0" borderId="0" xfId="0" applyFont="1" applyAlignment="1"/>
    <xf numFmtId="0" fontId="39" fillId="0" borderId="0" xfId="0" applyFont="1" applyAlignment="1">
      <alignment horizontal="center"/>
    </xf>
    <xf numFmtId="0" fontId="39" fillId="0" borderId="0" xfId="0" applyFont="1"/>
    <xf numFmtId="0" fontId="39" fillId="0" borderId="3" xfId="0" applyFont="1" applyBorder="1" applyAlignment="1"/>
    <xf numFmtId="0" fontId="39" fillId="0" borderId="8" xfId="0" applyFont="1" applyBorder="1" applyAlignment="1">
      <alignment horizontal="center"/>
    </xf>
    <xf numFmtId="0" fontId="39" fillId="0" borderId="8" xfId="0" applyFont="1" applyBorder="1"/>
    <xf numFmtId="0" fontId="39" fillId="0" borderId="8" xfId="0" applyFont="1" applyBorder="1" applyAlignment="1">
      <alignment wrapText="1"/>
    </xf>
    <xf numFmtId="0" fontId="39" fillId="0" borderId="8" xfId="0" applyFont="1" applyBorder="1" applyAlignment="1">
      <alignment horizontal="left"/>
    </xf>
    <xf numFmtId="2" fontId="39" fillId="0" borderId="8" xfId="0" applyNumberFormat="1" applyFont="1" applyBorder="1"/>
    <xf numFmtId="2" fontId="39" fillId="0" borderId="0" xfId="0" applyNumberFormat="1" applyFont="1"/>
    <xf numFmtId="4" fontId="39" fillId="0" borderId="0" xfId="0" applyNumberFormat="1" applyFont="1"/>
    <xf numFmtId="0" fontId="36" fillId="14" borderId="0" xfId="0" applyFont="1" applyFill="1" applyAlignment="1">
      <alignment horizontal="left"/>
    </xf>
    <xf numFmtId="165" fontId="10" fillId="17" borderId="1" xfId="1" applyFont="1" applyFill="1" applyBorder="1" applyAlignment="1">
      <alignment horizontal="right"/>
    </xf>
    <xf numFmtId="0" fontId="8" fillId="17" borderId="9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17" borderId="10" xfId="0" applyFont="1" applyFill="1" applyBorder="1" applyAlignment="1">
      <alignment horizontal="center"/>
    </xf>
    <xf numFmtId="2" fontId="8" fillId="15" borderId="9" xfId="0" applyNumberFormat="1" applyFont="1" applyFill="1" applyBorder="1" applyAlignment="1">
      <alignment horizontal="right"/>
    </xf>
    <xf numFmtId="2" fontId="8" fillId="15" borderId="1" xfId="0" applyNumberFormat="1" applyFont="1" applyFill="1" applyBorder="1" applyAlignment="1">
      <alignment horizontal="right"/>
    </xf>
    <xf numFmtId="2" fontId="8" fillId="15" borderId="10" xfId="0" applyNumberFormat="1" applyFont="1" applyFill="1" applyBorder="1" applyAlignment="1">
      <alignment horizontal="right"/>
    </xf>
    <xf numFmtId="165" fontId="8" fillId="15" borderId="1" xfId="1" applyFont="1" applyFill="1" applyBorder="1" applyAlignment="1">
      <alignment horizontal="right"/>
    </xf>
    <xf numFmtId="0" fontId="8" fillId="15" borderId="9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165" fontId="10" fillId="17" borderId="1" xfId="1" applyFont="1" applyFill="1" applyBorder="1" applyAlignment="1">
      <alignment horizontal="center"/>
    </xf>
    <xf numFmtId="165" fontId="35" fillId="15" borderId="1" xfId="1" applyFont="1" applyFill="1" applyBorder="1" applyAlignment="1">
      <alignment horizontal="right"/>
    </xf>
    <xf numFmtId="165" fontId="35" fillId="15" borderId="10" xfId="1" applyFont="1" applyFill="1" applyBorder="1" applyAlignment="1">
      <alignment horizontal="right"/>
    </xf>
    <xf numFmtId="2" fontId="10" fillId="15" borderId="6" xfId="0" applyNumberFormat="1" applyFont="1" applyFill="1" applyBorder="1" applyAlignment="1">
      <alignment horizontal="right"/>
    </xf>
    <xf numFmtId="165" fontId="40" fillId="0" borderId="0" xfId="1" applyFont="1" applyBorder="1" applyAlignment="1">
      <alignment horizontal="left"/>
    </xf>
    <xf numFmtId="165" fontId="41" fillId="0" borderId="0" xfId="1" applyFont="1" applyBorder="1" applyAlignment="1">
      <alignment horizontal="left"/>
    </xf>
    <xf numFmtId="165" fontId="42" fillId="0" borderId="0" xfId="1" applyFont="1" applyBorder="1" applyAlignment="1">
      <alignment horizontal="left"/>
    </xf>
    <xf numFmtId="165" fontId="40" fillId="0" borderId="8" xfId="1" applyFont="1" applyBorder="1" applyAlignment="1">
      <alignment horizontal="left"/>
    </xf>
    <xf numFmtId="165" fontId="42" fillId="0" borderId="8" xfId="1" applyFont="1" applyBorder="1" applyAlignment="1">
      <alignment horizontal="left"/>
    </xf>
    <xf numFmtId="165" fontId="42" fillId="17" borderId="0" xfId="1" applyFont="1" applyFill="1" applyBorder="1" applyAlignment="1">
      <alignment horizontal="left"/>
    </xf>
    <xf numFmtId="0" fontId="40" fillId="16" borderId="0" xfId="0" applyFont="1" applyFill="1" applyBorder="1" applyAlignment="1">
      <alignment horizontal="left"/>
    </xf>
    <xf numFmtId="0" fontId="41" fillId="16" borderId="0" xfId="0" applyFont="1" applyFill="1" applyBorder="1" applyAlignment="1">
      <alignment horizontal="left"/>
    </xf>
    <xf numFmtId="0" fontId="42" fillId="16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2" fontId="42" fillId="16" borderId="0" xfId="0" applyNumberFormat="1" applyFont="1" applyFill="1" applyBorder="1" applyAlignment="1">
      <alignment horizontal="center"/>
    </xf>
    <xf numFmtId="2" fontId="42" fillId="17" borderId="0" xfId="0" applyNumberFormat="1" applyFont="1" applyFill="1" applyBorder="1" applyAlignment="1">
      <alignment horizontal="center"/>
    </xf>
    <xf numFmtId="164" fontId="42" fillId="16" borderId="0" xfId="0" applyNumberFormat="1" applyFont="1" applyFill="1" applyBorder="1" applyAlignment="1">
      <alignment horizontal="left"/>
    </xf>
    <xf numFmtId="0" fontId="42" fillId="16" borderId="0" xfId="0" applyFont="1" applyFill="1" applyAlignment="1">
      <alignment horizontal="left"/>
    </xf>
    <xf numFmtId="0" fontId="28" fillId="16" borderId="8" xfId="0" applyFont="1" applyFill="1" applyBorder="1" applyAlignment="1">
      <alignment horizontal="left"/>
    </xf>
    <xf numFmtId="164" fontId="36" fillId="16" borderId="8" xfId="0" applyNumberFormat="1" applyFont="1" applyFill="1" applyBorder="1" applyAlignment="1">
      <alignment horizontal="center"/>
    </xf>
    <xf numFmtId="0" fontId="36" fillId="17" borderId="0" xfId="0" applyFont="1" applyFill="1" applyBorder="1" applyAlignment="1">
      <alignment horizontal="left"/>
    </xf>
    <xf numFmtId="0" fontId="43" fillId="17" borderId="0" xfId="0" applyFont="1" applyFill="1" applyBorder="1" applyAlignment="1">
      <alignment horizontal="left"/>
    </xf>
    <xf numFmtId="0" fontId="28" fillId="16" borderId="0" xfId="0" applyFont="1" applyFill="1" applyBorder="1" applyAlignment="1">
      <alignment horizontal="left"/>
    </xf>
    <xf numFmtId="0" fontId="44" fillId="16" borderId="0" xfId="0" applyFont="1" applyFill="1" applyBorder="1" applyAlignment="1">
      <alignment horizontal="left"/>
    </xf>
    <xf numFmtId="0" fontId="36" fillId="16" borderId="0" xfId="0" applyFont="1" applyFill="1" applyBorder="1" applyAlignment="1">
      <alignment horizontal="left"/>
    </xf>
    <xf numFmtId="0" fontId="36" fillId="16" borderId="8" xfId="0" applyFont="1" applyFill="1" applyBorder="1" applyAlignment="1">
      <alignment horizontal="left"/>
    </xf>
    <xf numFmtId="165" fontId="10" fillId="17" borderId="1" xfId="1" applyFont="1" applyFill="1" applyBorder="1" applyAlignment="1">
      <alignment horizontal="right"/>
    </xf>
    <xf numFmtId="2" fontId="42" fillId="16" borderId="8" xfId="0" applyNumberFormat="1" applyFont="1" applyFill="1" applyBorder="1" applyAlignment="1">
      <alignment horizontal="center"/>
    </xf>
    <xf numFmtId="164" fontId="42" fillId="16" borderId="8" xfId="0" applyNumberFormat="1" applyFont="1" applyFill="1" applyBorder="1" applyAlignment="1">
      <alignment horizontal="center"/>
    </xf>
    <xf numFmtId="2" fontId="8" fillId="15" borderId="9" xfId="0" applyNumberFormat="1" applyFont="1" applyFill="1" applyBorder="1" applyAlignment="1">
      <alignment horizontal="right"/>
    </xf>
    <xf numFmtId="2" fontId="8" fillId="15" borderId="1" xfId="0" applyNumberFormat="1" applyFont="1" applyFill="1" applyBorder="1" applyAlignment="1">
      <alignment horizontal="right"/>
    </xf>
    <xf numFmtId="2" fontId="8" fillId="15" borderId="10" xfId="0" applyNumberFormat="1" applyFont="1" applyFill="1" applyBorder="1" applyAlignment="1">
      <alignment horizontal="right"/>
    </xf>
    <xf numFmtId="165" fontId="8" fillId="15" borderId="1" xfId="1" applyFont="1" applyFill="1" applyBorder="1" applyAlignment="1">
      <alignment horizontal="right"/>
    </xf>
    <xf numFmtId="2" fontId="8" fillId="15" borderId="9" xfId="0" applyNumberFormat="1" applyFont="1" applyFill="1" applyBorder="1" applyAlignment="1">
      <alignment horizontal="right"/>
    </xf>
    <xf numFmtId="2" fontId="8" fillId="15" borderId="1" xfId="0" applyNumberFormat="1" applyFont="1" applyFill="1" applyBorder="1" applyAlignment="1">
      <alignment horizontal="right"/>
    </xf>
    <xf numFmtId="2" fontId="8" fillId="15" borderId="10" xfId="0" applyNumberFormat="1" applyFont="1" applyFill="1" applyBorder="1" applyAlignment="1">
      <alignment horizontal="right"/>
    </xf>
    <xf numFmtId="0" fontId="8" fillId="15" borderId="9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165" fontId="35" fillId="15" borderId="1" xfId="1" applyFont="1" applyFill="1" applyBorder="1" applyAlignment="1">
      <alignment horizontal="right"/>
    </xf>
    <xf numFmtId="165" fontId="35" fillId="15" borderId="10" xfId="1" applyFont="1" applyFill="1" applyBorder="1" applyAlignment="1">
      <alignment horizontal="right"/>
    </xf>
    <xf numFmtId="0" fontId="42" fillId="17" borderId="0" xfId="1" applyNumberFormat="1" applyFont="1" applyFill="1" applyBorder="1" applyAlignment="1">
      <alignment horizontal="left"/>
    </xf>
    <xf numFmtId="2" fontId="8" fillId="0" borderId="2" xfId="0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2" fontId="8" fillId="0" borderId="9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4" fontId="39" fillId="0" borderId="8" xfId="0" applyNumberFormat="1" applyFont="1" applyBorder="1"/>
    <xf numFmtId="0" fontId="39" fillId="23" borderId="8" xfId="0" applyFont="1" applyFill="1" applyBorder="1"/>
    <xf numFmtId="2" fontId="39" fillId="23" borderId="8" xfId="0" applyNumberFormat="1" applyFont="1" applyFill="1" applyBorder="1"/>
    <xf numFmtId="2" fontId="39" fillId="23" borderId="0" xfId="0" applyNumberFormat="1" applyFont="1" applyFill="1"/>
    <xf numFmtId="0" fontId="39" fillId="23" borderId="0" xfId="0" applyFont="1" applyFill="1"/>
    <xf numFmtId="43" fontId="8" fillId="0" borderId="0" xfId="0" applyNumberFormat="1" applyFont="1" applyFill="1" applyAlignment="1">
      <alignment horizontal="left"/>
    </xf>
    <xf numFmtId="0" fontId="11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Border="1" applyAlignment="1">
      <alignment horizontal="center" wrapText="1"/>
    </xf>
    <xf numFmtId="0" fontId="13" fillId="0" borderId="0" xfId="0" applyNumberFormat="1" applyFont="1" applyBorder="1" applyAlignment="1">
      <alignment horizontal="center"/>
    </xf>
    <xf numFmtId="49" fontId="13" fillId="0" borderId="3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left"/>
    </xf>
    <xf numFmtId="0" fontId="13" fillId="0" borderId="3" xfId="0" applyNumberFormat="1" applyFont="1" applyBorder="1" applyAlignment="1">
      <alignment horizontal="center"/>
    </xf>
    <xf numFmtId="165" fontId="8" fillId="0" borderId="8" xfId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8" fillId="0" borderId="53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8" fillId="0" borderId="5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top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53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0" fontId="10" fillId="0" borderId="54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165" fontId="10" fillId="0" borderId="8" xfId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left" vertical="center" wrapText="1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/>
    </xf>
    <xf numFmtId="49" fontId="10" fillId="0" borderId="8" xfId="0" applyNumberFormat="1" applyFont="1" applyBorder="1" applyAlignment="1">
      <alignment horizontal="center" vertical="top"/>
    </xf>
    <xf numFmtId="165" fontId="8" fillId="0" borderId="9" xfId="1" applyFont="1" applyBorder="1" applyAlignment="1">
      <alignment horizontal="center" vertical="center"/>
    </xf>
    <xf numFmtId="165" fontId="8" fillId="0" borderId="1" xfId="1" applyFont="1" applyBorder="1" applyAlignment="1">
      <alignment horizontal="center" vertical="center"/>
    </xf>
    <xf numFmtId="165" fontId="8" fillId="0" borderId="10" xfId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49" fontId="8" fillId="17" borderId="9" xfId="0" applyNumberFormat="1" applyFont="1" applyFill="1" applyBorder="1" applyAlignment="1">
      <alignment horizontal="right" vertical="center"/>
    </xf>
    <xf numFmtId="49" fontId="8" fillId="17" borderId="1" xfId="0" applyNumberFormat="1" applyFont="1" applyFill="1" applyBorder="1" applyAlignment="1">
      <alignment horizontal="right" vertical="center"/>
    </xf>
    <xf numFmtId="49" fontId="8" fillId="17" borderId="10" xfId="0" applyNumberFormat="1" applyFont="1" applyFill="1" applyBorder="1" applyAlignment="1">
      <alignment horizontal="right" vertical="center"/>
    </xf>
    <xf numFmtId="166" fontId="8" fillId="17" borderId="8" xfId="0" applyNumberFormat="1" applyFont="1" applyFill="1" applyBorder="1" applyAlignment="1">
      <alignment horizontal="center" vertical="center"/>
    </xf>
    <xf numFmtId="165" fontId="8" fillId="17" borderId="8" xfId="1" applyFont="1" applyFill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165" fontId="14" fillId="17" borderId="8" xfId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167" fontId="8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35" fillId="0" borderId="2" xfId="0" applyFont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5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165" fontId="35" fillId="0" borderId="2" xfId="1" applyFont="1" applyBorder="1" applyAlignment="1">
      <alignment horizontal="right"/>
    </xf>
    <xf numFmtId="165" fontId="35" fillId="0" borderId="3" xfId="1" applyFont="1" applyBorder="1" applyAlignment="1">
      <alignment horizontal="right"/>
    </xf>
    <xf numFmtId="165" fontId="35" fillId="0" borderId="4" xfId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0" fontId="35" fillId="0" borderId="2" xfId="0" applyFont="1" applyBorder="1" applyAlignment="1">
      <alignment horizontal="left"/>
    </xf>
    <xf numFmtId="0" fontId="35" fillId="0" borderId="3" xfId="0" applyFont="1" applyBorder="1" applyAlignment="1">
      <alignment horizontal="left"/>
    </xf>
    <xf numFmtId="0" fontId="35" fillId="0" borderId="4" xfId="0" applyFont="1" applyBorder="1" applyAlignment="1">
      <alignment horizontal="left"/>
    </xf>
    <xf numFmtId="0" fontId="10" fillId="17" borderId="2" xfId="0" applyFont="1" applyFill="1" applyBorder="1" applyAlignment="1">
      <alignment horizontal="center"/>
    </xf>
    <xf numFmtId="0" fontId="10" fillId="17" borderId="3" xfId="0" applyFont="1" applyFill="1" applyBorder="1" applyAlignment="1">
      <alignment horizontal="center"/>
    </xf>
    <xf numFmtId="0" fontId="10" fillId="17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8" fillId="0" borderId="54" xfId="0" applyFont="1" applyBorder="1" applyAlignment="1">
      <alignment horizontal="center" vertical="center"/>
    </xf>
    <xf numFmtId="165" fontId="8" fillId="0" borderId="2" xfId="1" applyFont="1" applyBorder="1" applyAlignment="1">
      <alignment horizontal="right"/>
    </xf>
    <xf numFmtId="165" fontId="8" fillId="0" borderId="3" xfId="1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165" fontId="10" fillId="17" borderId="2" xfId="1" applyFont="1" applyFill="1" applyBorder="1" applyAlignment="1">
      <alignment horizontal="right"/>
    </xf>
    <xf numFmtId="165" fontId="10" fillId="17" borderId="3" xfId="1" applyFont="1" applyFill="1" applyBorder="1" applyAlignment="1">
      <alignment horizontal="right"/>
    </xf>
    <xf numFmtId="165" fontId="10" fillId="17" borderId="2" xfId="0" applyNumberFormat="1" applyFont="1" applyFill="1" applyBorder="1" applyAlignment="1">
      <alignment horizontal="right"/>
    </xf>
    <xf numFmtId="0" fontId="10" fillId="17" borderId="3" xfId="0" applyFont="1" applyFill="1" applyBorder="1" applyAlignment="1">
      <alignment horizontal="right"/>
    </xf>
    <xf numFmtId="0" fontId="8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2" fontId="8" fillId="0" borderId="9" xfId="0" applyNumberFormat="1" applyFont="1" applyBorder="1" applyAlignment="1">
      <alignment horizontal="right"/>
    </xf>
    <xf numFmtId="2" fontId="8" fillId="0" borderId="1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53" xfId="0" applyFont="1" applyBorder="1" applyAlignment="1">
      <alignment horizontal="left" indent="1"/>
    </xf>
    <xf numFmtId="0" fontId="8" fillId="0" borderId="0" xfId="0" applyFont="1" applyBorder="1" applyAlignment="1">
      <alignment horizontal="left" indent="1"/>
    </xf>
    <xf numFmtId="0" fontId="8" fillId="0" borderId="54" xfId="0" applyFont="1" applyBorder="1" applyAlignment="1">
      <alignment horizontal="left" indent="1"/>
    </xf>
    <xf numFmtId="0" fontId="8" fillId="0" borderId="2" xfId="0" applyFont="1" applyBorder="1" applyAlignment="1">
      <alignment horizontal="left" indent="1"/>
    </xf>
    <xf numFmtId="0" fontId="8" fillId="0" borderId="3" xfId="0" applyFont="1" applyBorder="1" applyAlignment="1">
      <alignment horizontal="left" indent="1"/>
    </xf>
    <xf numFmtId="0" fontId="8" fillId="0" borderId="4" xfId="0" applyFont="1" applyBorder="1" applyAlignment="1">
      <alignment horizontal="left" indent="1"/>
    </xf>
    <xf numFmtId="0" fontId="8" fillId="0" borderId="12" xfId="0" applyFont="1" applyBorder="1" applyAlignment="1">
      <alignment horizontal="left" indent="1"/>
    </xf>
    <xf numFmtId="0" fontId="8" fillId="0" borderId="7" xfId="0" applyFont="1" applyBorder="1" applyAlignment="1">
      <alignment horizontal="left" indent="1"/>
    </xf>
    <xf numFmtId="0" fontId="8" fillId="0" borderId="13" xfId="0" applyFont="1" applyBorder="1" applyAlignment="1">
      <alignment horizontal="left" indent="1"/>
    </xf>
    <xf numFmtId="0" fontId="8" fillId="0" borderId="9" xfId="0" applyFont="1" applyBorder="1" applyAlignment="1">
      <alignment horizontal="left" indent="1"/>
    </xf>
    <xf numFmtId="0" fontId="8" fillId="0" borderId="1" xfId="0" applyFont="1" applyBorder="1" applyAlignment="1">
      <alignment horizontal="left" indent="1"/>
    </xf>
    <xf numFmtId="0" fontId="8" fillId="0" borderId="10" xfId="0" applyFont="1" applyBorder="1" applyAlignment="1">
      <alignment horizontal="left" indent="1"/>
    </xf>
    <xf numFmtId="0" fontId="8" fillId="0" borderId="9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2" fontId="8" fillId="0" borderId="12" xfId="0" applyNumberFormat="1" applyFont="1" applyBorder="1" applyAlignment="1">
      <alignment horizontal="right"/>
    </xf>
    <xf numFmtId="2" fontId="8" fillId="0" borderId="7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0" fillId="17" borderId="9" xfId="0" applyFont="1" applyFill="1" applyBorder="1" applyAlignment="1">
      <alignment horizontal="center"/>
    </xf>
    <xf numFmtId="0" fontId="10" fillId="17" borderId="1" xfId="0" applyFont="1" applyFill="1" applyBorder="1" applyAlignment="1">
      <alignment horizontal="center"/>
    </xf>
    <xf numFmtId="0" fontId="10" fillId="17" borderId="10" xfId="0" applyFont="1" applyFill="1" applyBorder="1" applyAlignment="1">
      <alignment horizontal="center"/>
    </xf>
    <xf numFmtId="0" fontId="10" fillId="17" borderId="9" xfId="0" applyFont="1" applyFill="1" applyBorder="1" applyAlignment="1">
      <alignment horizontal="right"/>
    </xf>
    <xf numFmtId="0" fontId="10" fillId="17" borderId="1" xfId="0" applyFont="1" applyFill="1" applyBorder="1" applyAlignment="1">
      <alignment horizontal="right"/>
    </xf>
    <xf numFmtId="0" fontId="10" fillId="17" borderId="10" xfId="0" applyFont="1" applyFill="1" applyBorder="1" applyAlignment="1">
      <alignment horizontal="right"/>
    </xf>
    <xf numFmtId="0" fontId="4" fillId="0" borderId="0" xfId="0" applyFont="1" applyAlignment="1">
      <alignment horizontal="left" vertical="top" wrapText="1"/>
    </xf>
    <xf numFmtId="0" fontId="10" fillId="17" borderId="2" xfId="0" applyFont="1" applyFill="1" applyBorder="1" applyAlignment="1">
      <alignment horizontal="left"/>
    </xf>
    <xf numFmtId="0" fontId="10" fillId="17" borderId="3" xfId="0" applyFont="1" applyFill="1" applyBorder="1" applyAlignment="1">
      <alignment horizontal="left"/>
    </xf>
    <xf numFmtId="0" fontId="10" fillId="17" borderId="4" xfId="0" applyFont="1" applyFill="1" applyBorder="1" applyAlignment="1">
      <alignment horizontal="left"/>
    </xf>
    <xf numFmtId="2" fontId="8" fillId="0" borderId="53" xfId="0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right"/>
    </xf>
    <xf numFmtId="0" fontId="8" fillId="0" borderId="53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8" fillId="0" borderId="54" xfId="0" applyFont="1" applyBorder="1" applyAlignment="1">
      <alignment horizontal="right"/>
    </xf>
    <xf numFmtId="165" fontId="10" fillId="17" borderId="9" xfId="1" applyFont="1" applyFill="1" applyBorder="1" applyAlignment="1">
      <alignment horizontal="right"/>
    </xf>
    <xf numFmtId="165" fontId="10" fillId="17" borderId="1" xfId="1" applyFont="1" applyFill="1" applyBorder="1" applyAlignment="1">
      <alignment horizontal="right"/>
    </xf>
    <xf numFmtId="165" fontId="8" fillId="0" borderId="4" xfId="1" applyFont="1" applyBorder="1" applyAlignment="1">
      <alignment horizontal="right"/>
    </xf>
    <xf numFmtId="10" fontId="8" fillId="0" borderId="9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0" fontId="8" fillId="0" borderId="10" xfId="0" applyNumberFormat="1" applyFont="1" applyBorder="1" applyAlignment="1">
      <alignment horizontal="right"/>
    </xf>
    <xf numFmtId="165" fontId="8" fillId="0" borderId="1" xfId="2" applyFont="1" applyFill="1" applyBorder="1" applyAlignment="1">
      <alignment horizontal="center" vertical="center" wrapText="1"/>
    </xf>
    <xf numFmtId="165" fontId="8" fillId="0" borderId="10" xfId="2" applyFont="1" applyFill="1" applyBorder="1" applyAlignment="1">
      <alignment horizontal="center" vertical="center" wrapText="1"/>
    </xf>
    <xf numFmtId="0" fontId="8" fillId="17" borderId="9" xfId="0" applyFont="1" applyFill="1" applyBorder="1" applyAlignment="1">
      <alignment horizontal="center"/>
    </xf>
    <xf numFmtId="0" fontId="8" fillId="17" borderId="1" xfId="0" applyFont="1" applyFill="1" applyBorder="1" applyAlignment="1">
      <alignment horizontal="center"/>
    </xf>
    <xf numFmtId="0" fontId="8" fillId="17" borderId="10" xfId="0" applyFont="1" applyFill="1" applyBorder="1" applyAlignment="1">
      <alignment horizontal="center"/>
    </xf>
    <xf numFmtId="165" fontId="10" fillId="17" borderId="2" xfId="2" applyFont="1" applyFill="1" applyBorder="1" applyAlignment="1">
      <alignment horizontal="right"/>
    </xf>
    <xf numFmtId="165" fontId="10" fillId="17" borderId="3" xfId="2" applyFont="1" applyFill="1" applyBorder="1" applyAlignment="1">
      <alignment horizontal="right"/>
    </xf>
    <xf numFmtId="0" fontId="8" fillId="0" borderId="2" xfId="0" applyFont="1" applyFill="1" applyBorder="1" applyAlignment="1">
      <alignment horizontal="left" wrapText="1"/>
    </xf>
    <xf numFmtId="0" fontId="8" fillId="0" borderId="3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0" fontId="8" fillId="17" borderId="9" xfId="0" applyFont="1" applyFill="1" applyBorder="1" applyAlignment="1">
      <alignment horizontal="right"/>
    </xf>
    <xf numFmtId="0" fontId="8" fillId="17" borderId="1" xfId="0" applyFont="1" applyFill="1" applyBorder="1" applyAlignment="1">
      <alignment horizontal="right"/>
    </xf>
    <xf numFmtId="0" fontId="8" fillId="17" borderId="10" xfId="0" applyFont="1" applyFill="1" applyBorder="1" applyAlignment="1">
      <alignment horizontal="right"/>
    </xf>
    <xf numFmtId="49" fontId="28" fillId="0" borderId="3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165" fontId="10" fillId="17" borderId="4" xfId="1" applyFont="1" applyFill="1" applyBorder="1" applyAlignment="1">
      <alignment horizontal="right"/>
    </xf>
    <xf numFmtId="0" fontId="8" fillId="0" borderId="9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2" fontId="10" fillId="2" borderId="0" xfId="0" applyNumberFormat="1" applyFont="1" applyFill="1" applyBorder="1" applyAlignment="1">
      <alignment horizontal="center"/>
    </xf>
    <xf numFmtId="165" fontId="8" fillId="0" borderId="2" xfId="1" applyFont="1" applyFill="1" applyBorder="1" applyAlignment="1">
      <alignment horizontal="right"/>
    </xf>
    <xf numFmtId="165" fontId="8" fillId="0" borderId="3" xfId="1" applyFont="1" applyFill="1" applyBorder="1" applyAlignment="1">
      <alignment horizontal="right"/>
    </xf>
    <xf numFmtId="0" fontId="10" fillId="0" borderId="2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2" fontId="8" fillId="0" borderId="9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2" fontId="8" fillId="0" borderId="10" xfId="0" applyNumberFormat="1" applyFont="1" applyFill="1" applyBorder="1" applyAlignment="1">
      <alignment horizontal="right"/>
    </xf>
    <xf numFmtId="0" fontId="8" fillId="17" borderId="2" xfId="0" applyFont="1" applyFill="1" applyBorder="1" applyAlignment="1">
      <alignment horizontal="left"/>
    </xf>
    <xf numFmtId="0" fontId="8" fillId="17" borderId="3" xfId="0" applyFont="1" applyFill="1" applyBorder="1" applyAlignment="1">
      <alignment horizontal="left"/>
    </xf>
    <xf numFmtId="0" fontId="8" fillId="17" borderId="4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2" fontId="8" fillId="0" borderId="2" xfId="0" applyNumberFormat="1" applyFont="1" applyFill="1" applyBorder="1" applyAlignment="1">
      <alignment horizontal="right"/>
    </xf>
    <xf numFmtId="2" fontId="8" fillId="0" borderId="3" xfId="0" applyNumberFormat="1" applyFont="1" applyFill="1" applyBorder="1" applyAlignment="1">
      <alignment horizontal="right"/>
    </xf>
    <xf numFmtId="2" fontId="8" fillId="0" borderId="4" xfId="0" applyNumberFormat="1" applyFont="1" applyFill="1" applyBorder="1" applyAlignment="1">
      <alignment horizontal="right"/>
    </xf>
    <xf numFmtId="49" fontId="8" fillId="0" borderId="2" xfId="0" applyNumberFormat="1" applyFont="1" applyFill="1" applyBorder="1" applyAlignment="1">
      <alignment horizontal="right"/>
    </xf>
    <xf numFmtId="49" fontId="8" fillId="0" borderId="3" xfId="0" applyNumberFormat="1" applyFont="1" applyFill="1" applyBorder="1" applyAlignment="1">
      <alignment horizontal="right"/>
    </xf>
    <xf numFmtId="49" fontId="8" fillId="0" borderId="4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65" fontId="45" fillId="0" borderId="2" xfId="1" applyFont="1" applyFill="1" applyBorder="1" applyAlignment="1">
      <alignment horizontal="right"/>
    </xf>
    <xf numFmtId="165" fontId="45" fillId="0" borderId="3" xfId="1" applyFont="1" applyFill="1" applyBorder="1" applyAlignment="1">
      <alignment horizontal="right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5" fontId="8" fillId="17" borderId="2" xfId="1" applyFont="1" applyFill="1" applyBorder="1" applyAlignment="1">
      <alignment horizontal="right"/>
    </xf>
    <xf numFmtId="165" fontId="8" fillId="17" borderId="3" xfId="1" applyFont="1" applyFill="1" applyBorder="1" applyAlignment="1">
      <alignment horizontal="right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5" fillId="0" borderId="2" xfId="0" applyFont="1" applyFill="1" applyBorder="1" applyAlignment="1">
      <alignment horizontal="left"/>
    </xf>
    <xf numFmtId="0" fontId="45" fillId="0" borderId="3" xfId="0" applyFont="1" applyFill="1" applyBorder="1" applyAlignment="1">
      <alignment horizontal="left"/>
    </xf>
    <xf numFmtId="0" fontId="45" fillId="0" borderId="4" xfId="0" applyFont="1" applyFill="1" applyBorder="1" applyAlignment="1">
      <alignment horizontal="left"/>
    </xf>
    <xf numFmtId="165" fontId="8" fillId="0" borderId="2" xfId="2" applyFont="1" applyFill="1" applyBorder="1" applyAlignment="1">
      <alignment horizontal="right"/>
    </xf>
    <xf numFmtId="165" fontId="8" fillId="0" borderId="3" xfId="2" applyFont="1" applyFill="1" applyBorder="1" applyAlignment="1">
      <alignment horizontal="right"/>
    </xf>
    <xf numFmtId="165" fontId="8" fillId="0" borderId="9" xfId="2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8" fillId="0" borderId="9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right"/>
    </xf>
    <xf numFmtId="0" fontId="8" fillId="0" borderId="10" xfId="0" applyFont="1" applyFill="1" applyBorder="1" applyAlignment="1">
      <alignment horizontal="right"/>
    </xf>
    <xf numFmtId="165" fontId="8" fillId="0" borderId="4" xfId="1" applyFont="1" applyFill="1" applyBorder="1" applyAlignment="1">
      <alignment horizontal="right"/>
    </xf>
    <xf numFmtId="0" fontId="10" fillId="17" borderId="9" xfId="0" applyFont="1" applyFill="1" applyBorder="1" applyAlignment="1">
      <alignment horizontal="left"/>
    </xf>
    <xf numFmtId="0" fontId="10" fillId="17" borderId="1" xfId="0" applyFont="1" applyFill="1" applyBorder="1" applyAlignment="1">
      <alignment horizontal="left"/>
    </xf>
    <xf numFmtId="0" fontId="10" fillId="17" borderId="10" xfId="0" applyFont="1" applyFill="1" applyBorder="1" applyAlignment="1">
      <alignment horizontal="left"/>
    </xf>
    <xf numFmtId="0" fontId="5" fillId="0" borderId="7" xfId="0" applyFont="1" applyBorder="1" applyAlignment="1">
      <alignment horizontal="center"/>
    </xf>
    <xf numFmtId="165" fontId="8" fillId="0" borderId="9" xfId="1" applyFont="1" applyBorder="1" applyAlignment="1">
      <alignment horizontal="right"/>
    </xf>
    <xf numFmtId="165" fontId="8" fillId="0" borderId="1" xfId="1" applyFont="1" applyBorder="1" applyAlignment="1">
      <alignment horizontal="right"/>
    </xf>
    <xf numFmtId="165" fontId="8" fillId="0" borderId="10" xfId="1" applyFont="1" applyBorder="1" applyAlignment="1">
      <alignment horizontal="right"/>
    </xf>
    <xf numFmtId="0" fontId="8" fillId="0" borderId="9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165" fontId="8" fillId="15" borderId="2" xfId="1" applyFont="1" applyFill="1" applyBorder="1" applyAlignment="1">
      <alignment horizontal="right"/>
    </xf>
    <xf numFmtId="165" fontId="8" fillId="15" borderId="3" xfId="1" applyFont="1" applyFill="1" applyBorder="1" applyAlignment="1">
      <alignment horizontal="right"/>
    </xf>
    <xf numFmtId="165" fontId="8" fillId="15" borderId="4" xfId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8" fillId="0" borderId="10" xfId="0" applyNumberFormat="1" applyFont="1" applyFill="1" applyBorder="1" applyAlignment="1">
      <alignment horizontal="right"/>
    </xf>
    <xf numFmtId="0" fontId="8" fillId="15" borderId="2" xfId="0" applyFont="1" applyFill="1" applyBorder="1" applyAlignment="1">
      <alignment horizontal="center"/>
    </xf>
    <xf numFmtId="0" fontId="8" fillId="15" borderId="3" xfId="0" applyFont="1" applyFill="1" applyBorder="1" applyAlignment="1">
      <alignment horizontal="center"/>
    </xf>
    <xf numFmtId="0" fontId="8" fillId="15" borderId="4" xfId="0" applyFont="1" applyFill="1" applyBorder="1" applyAlignment="1">
      <alignment horizontal="center"/>
    </xf>
    <xf numFmtId="0" fontId="8" fillId="15" borderId="2" xfId="0" applyFont="1" applyFill="1" applyBorder="1" applyAlignment="1">
      <alignment horizontal="left"/>
    </xf>
    <xf numFmtId="0" fontId="8" fillId="15" borderId="3" xfId="0" applyFont="1" applyFill="1" applyBorder="1" applyAlignment="1">
      <alignment horizontal="left"/>
    </xf>
    <xf numFmtId="0" fontId="8" fillId="15" borderId="4" xfId="0" applyFont="1" applyFill="1" applyBorder="1" applyAlignment="1">
      <alignment horizontal="left"/>
    </xf>
    <xf numFmtId="0" fontId="8" fillId="15" borderId="2" xfId="0" applyFont="1" applyFill="1" applyBorder="1" applyAlignment="1">
      <alignment horizontal="right"/>
    </xf>
    <xf numFmtId="0" fontId="8" fillId="15" borderId="3" xfId="0" applyFont="1" applyFill="1" applyBorder="1" applyAlignment="1">
      <alignment horizontal="right"/>
    </xf>
    <xf numFmtId="0" fontId="8" fillId="15" borderId="4" xfId="0" applyFont="1" applyFill="1" applyBorder="1" applyAlignment="1">
      <alignment horizontal="right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49" fontId="28" fillId="0" borderId="3" xfId="0" applyNumberFormat="1" applyFont="1" applyBorder="1" applyAlignment="1">
      <alignment horizontal="left"/>
    </xf>
    <xf numFmtId="2" fontId="5" fillId="0" borderId="3" xfId="0" applyNumberFormat="1" applyFont="1" applyBorder="1" applyAlignment="1">
      <alignment horizontal="left" wrapText="1"/>
    </xf>
    <xf numFmtId="165" fontId="8" fillId="0" borderId="9" xfId="1" applyFont="1" applyFill="1" applyBorder="1" applyAlignment="1">
      <alignment horizontal="right"/>
    </xf>
    <xf numFmtId="165" fontId="8" fillId="0" borderId="1" xfId="1" applyFont="1" applyFill="1" applyBorder="1" applyAlignment="1">
      <alignment horizontal="right"/>
    </xf>
    <xf numFmtId="165" fontId="8" fillId="0" borderId="10" xfId="1" applyFont="1" applyFill="1" applyBorder="1" applyAlignment="1">
      <alignment horizontal="right"/>
    </xf>
    <xf numFmtId="165" fontId="38" fillId="0" borderId="9" xfId="1" applyFont="1" applyBorder="1" applyAlignment="1">
      <alignment horizontal="right"/>
    </xf>
    <xf numFmtId="165" fontId="38" fillId="0" borderId="1" xfId="1" applyFont="1" applyBorder="1" applyAlignment="1">
      <alignment horizontal="right"/>
    </xf>
    <xf numFmtId="165" fontId="38" fillId="0" borderId="10" xfId="1" applyFont="1" applyBorder="1" applyAlignment="1">
      <alignment horizontal="right"/>
    </xf>
    <xf numFmtId="0" fontId="38" fillId="0" borderId="9" xfId="0" applyFont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38" fillId="0" borderId="10" xfId="0" applyFont="1" applyBorder="1" applyAlignment="1">
      <alignment horizontal="left"/>
    </xf>
    <xf numFmtId="0" fontId="38" fillId="0" borderId="9" xfId="0" applyFont="1" applyBorder="1" applyAlignment="1">
      <alignment horizontal="left" wrapText="1"/>
    </xf>
    <xf numFmtId="0" fontId="38" fillId="0" borderId="1" xfId="0" applyFont="1" applyBorder="1" applyAlignment="1">
      <alignment horizontal="left" wrapText="1"/>
    </xf>
    <xf numFmtId="0" fontId="38" fillId="0" borderId="10" xfId="0" applyFont="1" applyBorder="1" applyAlignment="1">
      <alignment horizontal="left" wrapText="1"/>
    </xf>
    <xf numFmtId="0" fontId="8" fillId="15" borderId="9" xfId="0" applyFont="1" applyFill="1" applyBorder="1" applyAlignment="1">
      <alignment horizontal="left" wrapText="1"/>
    </xf>
    <xf numFmtId="0" fontId="8" fillId="15" borderId="1" xfId="0" applyFont="1" applyFill="1" applyBorder="1" applyAlignment="1">
      <alignment horizontal="left" wrapText="1"/>
    </xf>
    <xf numFmtId="0" fontId="8" fillId="15" borderId="10" xfId="0" applyFont="1" applyFill="1" applyBorder="1" applyAlignment="1">
      <alignment horizontal="left" wrapText="1"/>
    </xf>
    <xf numFmtId="4" fontId="8" fillId="0" borderId="2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2" fontId="8" fillId="15" borderId="9" xfId="0" applyNumberFormat="1" applyFont="1" applyFill="1" applyBorder="1" applyAlignment="1">
      <alignment horizontal="right"/>
    </xf>
    <xf numFmtId="2" fontId="8" fillId="15" borderId="1" xfId="0" applyNumberFormat="1" applyFont="1" applyFill="1" applyBorder="1" applyAlignment="1">
      <alignment horizontal="right"/>
    </xf>
    <xf numFmtId="2" fontId="8" fillId="15" borderId="10" xfId="0" applyNumberFormat="1" applyFont="1" applyFill="1" applyBorder="1" applyAlignment="1">
      <alignment horizontal="right"/>
    </xf>
    <xf numFmtId="2" fontId="8" fillId="15" borderId="2" xfId="0" applyNumberFormat="1" applyFont="1" applyFill="1" applyBorder="1" applyAlignment="1">
      <alignment horizontal="right"/>
    </xf>
    <xf numFmtId="2" fontId="8" fillId="15" borderId="3" xfId="0" applyNumberFormat="1" applyFont="1" applyFill="1" applyBorder="1" applyAlignment="1">
      <alignment horizontal="right"/>
    </xf>
    <xf numFmtId="2" fontId="8" fillId="15" borderId="4" xfId="0" applyNumberFormat="1" applyFont="1" applyFill="1" applyBorder="1" applyAlignment="1">
      <alignment horizontal="right"/>
    </xf>
    <xf numFmtId="2" fontId="8" fillId="0" borderId="9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8" fillId="0" borderId="10" xfId="0" applyNumberFormat="1" applyFont="1" applyBorder="1" applyAlignment="1">
      <alignment horizontal="center"/>
    </xf>
    <xf numFmtId="165" fontId="8" fillId="0" borderId="9" xfId="1" applyFont="1" applyBorder="1" applyAlignment="1">
      <alignment horizontal="center"/>
    </xf>
    <xf numFmtId="165" fontId="8" fillId="0" borderId="1" xfId="1" applyFont="1" applyBorder="1" applyAlignment="1">
      <alignment horizontal="center"/>
    </xf>
    <xf numFmtId="165" fontId="8" fillId="0" borderId="10" xfId="1" applyFont="1" applyBorder="1" applyAlignment="1">
      <alignment horizontal="center"/>
    </xf>
    <xf numFmtId="2" fontId="8" fillId="0" borderId="4" xfId="0" applyNumberFormat="1" applyFont="1" applyBorder="1" applyAlignment="1">
      <alignment horizontal="right"/>
    </xf>
    <xf numFmtId="0" fontId="8" fillId="15" borderId="9" xfId="0" applyFont="1" applyFill="1" applyBorder="1" applyAlignment="1">
      <alignment horizontal="left"/>
    </xf>
    <xf numFmtId="0" fontId="8" fillId="15" borderId="1" xfId="0" applyFont="1" applyFill="1" applyBorder="1" applyAlignment="1">
      <alignment horizontal="left"/>
    </xf>
    <xf numFmtId="0" fontId="8" fillId="15" borderId="10" xfId="0" applyFont="1" applyFill="1" applyBorder="1" applyAlignment="1">
      <alignment horizontal="left"/>
    </xf>
    <xf numFmtId="165" fontId="8" fillId="15" borderId="9" xfId="1" applyFont="1" applyFill="1" applyBorder="1" applyAlignment="1">
      <alignment horizontal="right"/>
    </xf>
    <xf numFmtId="165" fontId="8" fillId="15" borderId="1" xfId="1" applyFont="1" applyFill="1" applyBorder="1" applyAlignment="1">
      <alignment horizontal="right"/>
    </xf>
    <xf numFmtId="165" fontId="8" fillId="15" borderId="10" xfId="1" applyFont="1" applyFill="1" applyBorder="1" applyAlignment="1">
      <alignment horizontal="right"/>
    </xf>
    <xf numFmtId="0" fontId="8" fillId="0" borderId="11" xfId="0" applyFont="1" applyBorder="1" applyAlignment="1">
      <alignment horizontal="left"/>
    </xf>
    <xf numFmtId="0" fontId="8" fillId="0" borderId="57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58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58" xfId="0" applyFont="1" applyBorder="1" applyAlignment="1">
      <alignment horizontal="left"/>
    </xf>
    <xf numFmtId="0" fontId="8" fillId="0" borderId="59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58" xfId="0" applyFont="1" applyBorder="1" applyAlignment="1">
      <alignment horizontal="right"/>
    </xf>
    <xf numFmtId="2" fontId="10" fillId="15" borderId="55" xfId="0" applyNumberFormat="1" applyFont="1" applyFill="1" applyBorder="1" applyAlignment="1">
      <alignment horizontal="right"/>
    </xf>
    <xf numFmtId="2" fontId="10" fillId="15" borderId="6" xfId="0" applyNumberFormat="1" applyFont="1" applyFill="1" applyBorder="1" applyAlignment="1">
      <alignment horizontal="right"/>
    </xf>
    <xf numFmtId="2" fontId="10" fillId="15" borderId="56" xfId="0" applyNumberFormat="1" applyFont="1" applyFill="1" applyBorder="1" applyAlignment="1">
      <alignment horizontal="right"/>
    </xf>
    <xf numFmtId="165" fontId="10" fillId="15" borderId="55" xfId="1" applyFont="1" applyFill="1" applyBorder="1" applyAlignment="1">
      <alignment horizontal="center"/>
    </xf>
    <xf numFmtId="165" fontId="10" fillId="15" borderId="6" xfId="1" applyFont="1" applyFill="1" applyBorder="1" applyAlignment="1">
      <alignment horizontal="center"/>
    </xf>
    <xf numFmtId="165" fontId="8" fillId="0" borderId="59" xfId="1" applyFont="1" applyBorder="1" applyAlignment="1">
      <alignment horizontal="center"/>
    </xf>
    <xf numFmtId="165" fontId="8" fillId="0" borderId="5" xfId="1" applyFont="1" applyBorder="1" applyAlignment="1">
      <alignment horizontal="center"/>
    </xf>
    <xf numFmtId="0" fontId="35" fillId="15" borderId="9" xfId="0" applyFont="1" applyFill="1" applyBorder="1" applyAlignment="1">
      <alignment horizontal="center"/>
    </xf>
    <xf numFmtId="0" fontId="35" fillId="15" borderId="1" xfId="0" applyFont="1" applyFill="1" applyBorder="1" applyAlignment="1">
      <alignment horizontal="center"/>
    </xf>
    <xf numFmtId="0" fontId="35" fillId="15" borderId="10" xfId="0" applyFont="1" applyFill="1" applyBorder="1" applyAlignment="1">
      <alignment horizontal="center"/>
    </xf>
    <xf numFmtId="0" fontId="35" fillId="15" borderId="9" xfId="0" applyFont="1" applyFill="1" applyBorder="1" applyAlignment="1">
      <alignment horizontal="left"/>
    </xf>
    <xf numFmtId="0" fontId="35" fillId="15" borderId="1" xfId="0" applyFont="1" applyFill="1" applyBorder="1" applyAlignment="1">
      <alignment horizontal="left"/>
    </xf>
    <xf numFmtId="0" fontId="35" fillId="15" borderId="10" xfId="0" applyFont="1" applyFill="1" applyBorder="1" applyAlignment="1">
      <alignment horizontal="left"/>
    </xf>
    <xf numFmtId="2" fontId="35" fillId="15" borderId="9" xfId="0" applyNumberFormat="1" applyFont="1" applyFill="1" applyBorder="1" applyAlignment="1">
      <alignment horizontal="right"/>
    </xf>
    <xf numFmtId="2" fontId="35" fillId="15" borderId="1" xfId="0" applyNumberFormat="1" applyFont="1" applyFill="1" applyBorder="1" applyAlignment="1">
      <alignment horizontal="right"/>
    </xf>
    <xf numFmtId="2" fontId="35" fillId="15" borderId="10" xfId="0" applyNumberFormat="1" applyFont="1" applyFill="1" applyBorder="1" applyAlignment="1">
      <alignment horizontal="right"/>
    </xf>
    <xf numFmtId="0" fontId="10" fillId="0" borderId="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165" fontId="10" fillId="0" borderId="9" xfId="1" applyFont="1" applyBorder="1" applyAlignment="1">
      <alignment horizontal="center"/>
    </xf>
    <xf numFmtId="165" fontId="10" fillId="0" borderId="1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8" fillId="0" borderId="56" xfId="0" applyFont="1" applyFill="1" applyBorder="1" applyAlignment="1">
      <alignment horizontal="left"/>
    </xf>
    <xf numFmtId="0" fontId="10" fillId="0" borderId="55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0" fontId="10" fillId="0" borderId="56" xfId="0" applyFont="1" applyFill="1" applyBorder="1" applyAlignment="1">
      <alignment horizontal="left"/>
    </xf>
    <xf numFmtId="2" fontId="8" fillId="0" borderId="55" xfId="0" applyNumberFormat="1" applyFont="1" applyFill="1" applyBorder="1" applyAlignment="1">
      <alignment horizontal="right"/>
    </xf>
    <xf numFmtId="2" fontId="8" fillId="0" borderId="6" xfId="0" applyNumberFormat="1" applyFont="1" applyFill="1" applyBorder="1" applyAlignment="1">
      <alignment horizontal="right"/>
    </xf>
    <xf numFmtId="2" fontId="8" fillId="0" borderId="56" xfId="0" applyNumberFormat="1" applyFont="1" applyFill="1" applyBorder="1" applyAlignment="1">
      <alignment horizontal="right"/>
    </xf>
    <xf numFmtId="14" fontId="8" fillId="0" borderId="0" xfId="0" applyNumberFormat="1" applyFont="1" applyAlignment="1">
      <alignment horizontal="center"/>
    </xf>
    <xf numFmtId="165" fontId="35" fillId="15" borderId="9" xfId="1" applyFont="1" applyFill="1" applyBorder="1" applyAlignment="1">
      <alignment horizontal="right"/>
    </xf>
    <xf numFmtId="165" fontId="35" fillId="15" borderId="1" xfId="1" applyFont="1" applyFill="1" applyBorder="1" applyAlignment="1">
      <alignment horizontal="right"/>
    </xf>
    <xf numFmtId="165" fontId="35" fillId="15" borderId="10" xfId="1" applyFont="1" applyFill="1" applyBorder="1" applyAlignment="1">
      <alignment horizontal="right"/>
    </xf>
    <xf numFmtId="0" fontId="10" fillId="17" borderId="55" xfId="0" applyFont="1" applyFill="1" applyBorder="1" applyAlignment="1">
      <alignment horizontal="left"/>
    </xf>
    <xf numFmtId="0" fontId="10" fillId="17" borderId="6" xfId="0" applyFont="1" applyFill="1" applyBorder="1" applyAlignment="1">
      <alignment horizontal="left"/>
    </xf>
    <xf numFmtId="0" fontId="10" fillId="17" borderId="56" xfId="0" applyFont="1" applyFill="1" applyBorder="1" applyAlignment="1">
      <alignment horizontal="left"/>
    </xf>
    <xf numFmtId="2" fontId="10" fillId="17" borderId="55" xfId="0" applyNumberFormat="1" applyFont="1" applyFill="1" applyBorder="1" applyAlignment="1">
      <alignment horizontal="right"/>
    </xf>
    <xf numFmtId="2" fontId="10" fillId="17" borderId="6" xfId="0" applyNumberFormat="1" applyFont="1" applyFill="1" applyBorder="1" applyAlignment="1">
      <alignment horizontal="right"/>
    </xf>
    <xf numFmtId="2" fontId="10" fillId="17" borderId="56" xfId="0" applyNumberFormat="1" applyFont="1" applyFill="1" applyBorder="1" applyAlignment="1">
      <alignment horizontal="right"/>
    </xf>
    <xf numFmtId="2" fontId="10" fillId="17" borderId="9" xfId="0" applyNumberFormat="1" applyFont="1" applyFill="1" applyBorder="1" applyAlignment="1">
      <alignment horizontal="right"/>
    </xf>
    <xf numFmtId="2" fontId="10" fillId="17" borderId="1" xfId="0" applyNumberFormat="1" applyFont="1" applyFill="1" applyBorder="1" applyAlignment="1">
      <alignment horizontal="right"/>
    </xf>
    <xf numFmtId="2" fontId="10" fillId="17" borderId="10" xfId="0" applyNumberFormat="1" applyFont="1" applyFill="1" applyBorder="1" applyAlignment="1">
      <alignment horizontal="right"/>
    </xf>
    <xf numFmtId="165" fontId="10" fillId="17" borderId="9" xfId="1" applyFont="1" applyFill="1" applyBorder="1" applyAlignment="1">
      <alignment horizontal="center"/>
    </xf>
    <xf numFmtId="165" fontId="10" fillId="17" borderId="1" xfId="1" applyFont="1" applyFill="1" applyBorder="1" applyAlignment="1">
      <alignment horizontal="center"/>
    </xf>
    <xf numFmtId="0" fontId="8" fillId="15" borderId="9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10" xfId="0" applyFont="1" applyFill="1" applyBorder="1" applyAlignment="1">
      <alignment horizontal="center"/>
    </xf>
    <xf numFmtId="165" fontId="8" fillId="15" borderId="1" xfId="1" applyFont="1" applyFill="1" applyBorder="1" applyAlignment="1">
      <alignment horizontal="center"/>
    </xf>
    <xf numFmtId="0" fontId="35" fillId="15" borderId="9" xfId="0" applyFont="1" applyFill="1" applyBorder="1" applyAlignment="1">
      <alignment horizontal="left" wrapText="1"/>
    </xf>
    <xf numFmtId="0" fontId="35" fillId="15" borderId="1" xfId="0" applyFont="1" applyFill="1" applyBorder="1" applyAlignment="1">
      <alignment horizontal="left" wrapText="1"/>
    </xf>
    <xf numFmtId="0" fontId="35" fillId="15" borderId="10" xfId="0" applyFont="1" applyFill="1" applyBorder="1" applyAlignment="1">
      <alignment horizontal="left" wrapText="1"/>
    </xf>
    <xf numFmtId="165" fontId="8" fillId="15" borderId="9" xfId="1" applyFont="1" applyFill="1" applyBorder="1" applyAlignment="1">
      <alignment horizontal="center"/>
    </xf>
    <xf numFmtId="165" fontId="38" fillId="17" borderId="9" xfId="1" applyFont="1" applyFill="1" applyBorder="1" applyAlignment="1">
      <alignment horizontal="center"/>
    </xf>
    <xf numFmtId="165" fontId="38" fillId="17" borderId="1" xfId="1" applyFont="1" applyFill="1" applyBorder="1" applyAlignment="1">
      <alignment horizontal="center"/>
    </xf>
    <xf numFmtId="0" fontId="35" fillId="15" borderId="2" xfId="0" applyFont="1" applyFill="1" applyBorder="1" applyAlignment="1">
      <alignment horizontal="left" wrapText="1"/>
    </xf>
    <xf numFmtId="0" fontId="35" fillId="15" borderId="3" xfId="0" applyFont="1" applyFill="1" applyBorder="1" applyAlignment="1">
      <alignment horizontal="left" wrapText="1"/>
    </xf>
    <xf numFmtId="0" fontId="35" fillId="15" borderId="4" xfId="0" applyFont="1" applyFill="1" applyBorder="1" applyAlignment="1">
      <alignment horizontal="left" wrapText="1"/>
    </xf>
    <xf numFmtId="165" fontId="35" fillId="15" borderId="2" xfId="1" applyFont="1" applyFill="1" applyBorder="1" applyAlignment="1">
      <alignment horizontal="right"/>
    </xf>
    <xf numFmtId="165" fontId="35" fillId="15" borderId="3" xfId="1" applyFont="1" applyFill="1" applyBorder="1" applyAlignment="1">
      <alignment horizontal="right"/>
    </xf>
    <xf numFmtId="165" fontId="35" fillId="15" borderId="4" xfId="1" applyFont="1" applyFill="1" applyBorder="1" applyAlignment="1">
      <alignment horizontal="right"/>
    </xf>
    <xf numFmtId="0" fontId="35" fillId="15" borderId="2" xfId="0" applyFont="1" applyFill="1" applyBorder="1" applyAlignment="1">
      <alignment horizontal="left"/>
    </xf>
    <xf numFmtId="0" fontId="35" fillId="15" borderId="3" xfId="0" applyFont="1" applyFill="1" applyBorder="1" applyAlignment="1">
      <alignment horizontal="left"/>
    </xf>
    <xf numFmtId="0" fontId="35" fillId="15" borderId="4" xfId="0" applyFont="1" applyFill="1" applyBorder="1" applyAlignment="1">
      <alignment horizontal="left"/>
    </xf>
    <xf numFmtId="0" fontId="10" fillId="0" borderId="16" xfId="0" applyFont="1" applyBorder="1" applyAlignment="1" applyProtection="1">
      <alignment horizontal="center" vertical="center" wrapText="1"/>
    </xf>
    <xf numFmtId="0" fontId="10" fillId="0" borderId="51" xfId="0" applyFont="1" applyBorder="1" applyAlignment="1" applyProtection="1">
      <alignment horizontal="center" vertical="center" wrapText="1"/>
    </xf>
    <xf numFmtId="0" fontId="10" fillId="0" borderId="25" xfId="0" applyFont="1" applyBorder="1" applyAlignment="1" applyProtection="1">
      <alignment horizontal="center" vertical="center" wrapText="1"/>
    </xf>
    <xf numFmtId="0" fontId="10" fillId="6" borderId="62" xfId="0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0" fillId="8" borderId="33" xfId="0" applyFont="1" applyFill="1" applyBorder="1" applyAlignment="1" applyProtection="1">
      <alignment horizontal="center" vertical="center" wrapText="1"/>
    </xf>
    <xf numFmtId="0" fontId="10" fillId="8" borderId="33" xfId="0" applyFont="1" applyFill="1" applyBorder="1" applyAlignment="1" applyProtection="1">
      <alignment horizontal="center" wrapText="1"/>
    </xf>
    <xf numFmtId="0" fontId="10" fillId="0" borderId="16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/>
    </xf>
    <xf numFmtId="0" fontId="18" fillId="4" borderId="50" xfId="0" applyFont="1" applyFill="1" applyBorder="1" applyAlignment="1" applyProtection="1">
      <alignment horizontal="center" wrapText="1"/>
      <protection locked="0"/>
    </xf>
    <xf numFmtId="0" fontId="4" fillId="0" borderId="61" xfId="0" applyFont="1" applyBorder="1" applyAlignment="1" applyProtection="1">
      <alignment horizontal="center" vertical="top"/>
    </xf>
    <xf numFmtId="0" fontId="3" fillId="0" borderId="62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28" xfId="0" applyFont="1" applyBorder="1" applyAlignment="1" applyProtection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FT53"/>
  <sheetViews>
    <sheetView view="pageBreakPreview" zoomScaleNormal="100" zoomScaleSheetLayoutView="100" workbookViewId="0">
      <selection activeCell="BX20" sqref="BX20:CP20"/>
    </sheetView>
  </sheetViews>
  <sheetFormatPr defaultColWidth="0.85546875" defaultRowHeight="12.75" x14ac:dyDescent="0.2"/>
  <cols>
    <col min="1" max="22" width="0.85546875" style="40"/>
    <col min="23" max="23" width="2.7109375" style="40" customWidth="1"/>
    <col min="24" max="24" width="10.85546875" style="40" customWidth="1"/>
    <col min="25" max="40" width="0.5703125" style="40" customWidth="1"/>
    <col min="41" max="41" width="0.85546875" style="40" hidden="1" customWidth="1"/>
    <col min="42" max="90" width="0.85546875" style="40"/>
    <col min="91" max="94" width="0.85546875" style="40" hidden="1" customWidth="1"/>
    <col min="95" max="125" width="0.85546875" style="40"/>
    <col min="126" max="128" width="0.85546875" style="40" hidden="1" customWidth="1"/>
    <col min="129" max="140" width="0.85546875" style="40"/>
    <col min="141" max="144" width="0.85546875" style="40" hidden="1" customWidth="1"/>
    <col min="145" max="160" width="0.85546875" style="40"/>
    <col min="161" max="161" width="3.7109375" style="40" customWidth="1"/>
    <col min="162" max="171" width="0.85546875" style="41"/>
    <col min="172" max="16384" width="0.85546875" style="40"/>
  </cols>
  <sheetData>
    <row r="1" spans="1:176" s="38" customFormat="1" ht="12" x14ac:dyDescent="0.2">
      <c r="DA1" s="38" t="s">
        <v>0</v>
      </c>
      <c r="FF1" s="39"/>
      <c r="FG1" s="39"/>
      <c r="FH1" s="39"/>
      <c r="FI1" s="39"/>
      <c r="FJ1" s="39"/>
      <c r="FK1" s="39"/>
      <c r="FL1" s="39"/>
      <c r="FM1" s="39"/>
      <c r="FN1" s="39"/>
      <c r="FO1" s="39"/>
    </row>
    <row r="2" spans="1:176" s="38" customFormat="1" ht="47.25" customHeight="1" x14ac:dyDescent="0.2">
      <c r="DA2" s="455" t="s">
        <v>140</v>
      </c>
      <c r="DB2" s="455"/>
      <c r="DC2" s="455"/>
      <c r="DD2" s="455"/>
      <c r="DE2" s="455"/>
      <c r="DF2" s="455"/>
      <c r="DG2" s="455"/>
      <c r="DH2" s="455"/>
      <c r="DI2" s="455"/>
      <c r="DJ2" s="455"/>
      <c r="DK2" s="455"/>
      <c r="DL2" s="455"/>
      <c r="DM2" s="455"/>
      <c r="DN2" s="455"/>
      <c r="DO2" s="455"/>
      <c r="DP2" s="455"/>
      <c r="DQ2" s="455"/>
      <c r="DR2" s="455"/>
      <c r="DS2" s="455"/>
      <c r="DT2" s="455"/>
      <c r="DU2" s="455"/>
      <c r="DV2" s="455"/>
      <c r="DW2" s="455"/>
      <c r="DX2" s="455"/>
      <c r="DY2" s="455"/>
      <c r="DZ2" s="455"/>
      <c r="EA2" s="455"/>
      <c r="EB2" s="455"/>
      <c r="EC2" s="455"/>
      <c r="ED2" s="455"/>
      <c r="EE2" s="455"/>
      <c r="EF2" s="455"/>
      <c r="EG2" s="455"/>
      <c r="EH2" s="455"/>
      <c r="EI2" s="455"/>
      <c r="EJ2" s="455"/>
      <c r="EK2" s="455"/>
      <c r="EL2" s="455"/>
      <c r="EM2" s="455"/>
      <c r="EN2" s="455"/>
      <c r="EO2" s="455"/>
      <c r="EP2" s="455"/>
      <c r="EQ2" s="455"/>
      <c r="ER2" s="455"/>
      <c r="ES2" s="455"/>
      <c r="ET2" s="455"/>
      <c r="EU2" s="455"/>
      <c r="EV2" s="455"/>
      <c r="EW2" s="455"/>
      <c r="EX2" s="455"/>
      <c r="EY2" s="455"/>
      <c r="EZ2" s="455"/>
      <c r="FA2" s="455"/>
      <c r="FB2" s="455"/>
      <c r="FC2" s="455"/>
      <c r="FD2" s="455"/>
      <c r="FE2" s="455"/>
      <c r="FF2" s="39"/>
      <c r="FG2" s="39"/>
      <c r="FH2" s="39"/>
      <c r="FI2" s="39"/>
      <c r="FJ2" s="39"/>
      <c r="FK2" s="39"/>
      <c r="FL2" s="39"/>
      <c r="FM2" s="39"/>
      <c r="FN2" s="39"/>
      <c r="FO2" s="39"/>
    </row>
    <row r="3" spans="1:176" ht="3" customHeight="1" x14ac:dyDescent="0.2"/>
    <row r="4" spans="1:176" s="42" customFormat="1" ht="11.25" x14ac:dyDescent="0.2">
      <c r="DA4" s="42" t="s">
        <v>141</v>
      </c>
      <c r="FF4" s="43"/>
      <c r="FG4" s="43"/>
      <c r="FH4" s="43"/>
      <c r="FI4" s="43"/>
      <c r="FJ4" s="43"/>
      <c r="FK4" s="43"/>
      <c r="FL4" s="43"/>
      <c r="FM4" s="43"/>
      <c r="FN4" s="43"/>
      <c r="FO4" s="43"/>
    </row>
    <row r="6" spans="1:176" s="44" customFormat="1" ht="15" x14ac:dyDescent="0.25">
      <c r="FE6" s="45"/>
      <c r="FF6" s="46"/>
      <c r="FG6" s="46"/>
      <c r="FH6" s="46"/>
      <c r="FI6" s="46"/>
      <c r="FJ6" s="46"/>
      <c r="FK6" s="46"/>
      <c r="FL6" s="46"/>
      <c r="FM6" s="46"/>
      <c r="FN6" s="46"/>
      <c r="FO6" s="46"/>
    </row>
    <row r="8" spans="1:176" s="48" customFormat="1" ht="53.25" customHeight="1" x14ac:dyDescent="0.25">
      <c r="A8" s="456" t="s">
        <v>476</v>
      </c>
      <c r="B8" s="456"/>
      <c r="C8" s="456"/>
      <c r="D8" s="456"/>
      <c r="E8" s="456"/>
      <c r="F8" s="456"/>
      <c r="G8" s="456"/>
      <c r="H8" s="456"/>
      <c r="I8" s="456"/>
      <c r="J8" s="456"/>
      <c r="K8" s="456"/>
      <c r="L8" s="456"/>
      <c r="M8" s="45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  <c r="AL8" s="456"/>
      <c r="AM8" s="456"/>
      <c r="AN8" s="456"/>
      <c r="AO8" s="456"/>
      <c r="AP8" s="456"/>
      <c r="AQ8" s="456"/>
      <c r="AR8" s="456"/>
      <c r="AS8" s="456"/>
      <c r="AT8" s="456"/>
      <c r="AU8" s="456"/>
      <c r="AV8" s="456"/>
      <c r="AW8" s="456"/>
      <c r="AX8" s="456"/>
      <c r="AY8" s="456"/>
      <c r="AZ8" s="456"/>
      <c r="BA8" s="456"/>
      <c r="BB8" s="456"/>
      <c r="BC8" s="456"/>
      <c r="BD8" s="456"/>
      <c r="BE8" s="456"/>
      <c r="BF8" s="456"/>
      <c r="BG8" s="456"/>
      <c r="BH8" s="456"/>
      <c r="BI8" s="456"/>
      <c r="BJ8" s="456"/>
      <c r="BK8" s="456"/>
      <c r="BL8" s="456"/>
      <c r="BM8" s="456"/>
      <c r="BN8" s="456"/>
      <c r="BO8" s="456"/>
      <c r="BP8" s="456"/>
      <c r="BQ8" s="456"/>
      <c r="BR8" s="456"/>
      <c r="BS8" s="456"/>
      <c r="BT8" s="456"/>
      <c r="BU8" s="456"/>
      <c r="BV8" s="456"/>
      <c r="BW8" s="456"/>
      <c r="BX8" s="456"/>
      <c r="BY8" s="456"/>
      <c r="BZ8" s="456"/>
      <c r="CA8" s="456"/>
      <c r="CB8" s="456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456"/>
      <c r="CN8" s="456"/>
      <c r="CO8" s="456"/>
      <c r="CP8" s="456"/>
      <c r="CQ8" s="456"/>
      <c r="CR8" s="456"/>
      <c r="CS8" s="456"/>
      <c r="CT8" s="456"/>
      <c r="CU8" s="456"/>
      <c r="CV8" s="456"/>
      <c r="CW8" s="456"/>
      <c r="CX8" s="456"/>
      <c r="CY8" s="456"/>
      <c r="CZ8" s="456"/>
      <c r="DA8" s="456"/>
      <c r="DB8" s="456"/>
      <c r="DC8" s="456"/>
      <c r="DD8" s="456"/>
      <c r="DE8" s="456"/>
      <c r="DF8" s="456"/>
      <c r="DG8" s="456"/>
      <c r="DH8" s="456"/>
      <c r="DI8" s="456"/>
      <c r="DJ8" s="456"/>
      <c r="DK8" s="456"/>
      <c r="DL8" s="456"/>
      <c r="DM8" s="456"/>
      <c r="DN8" s="456"/>
      <c r="DO8" s="456"/>
      <c r="DP8" s="456"/>
      <c r="DQ8" s="456"/>
      <c r="DR8" s="456"/>
      <c r="DS8" s="456"/>
      <c r="DT8" s="456"/>
      <c r="DU8" s="456"/>
      <c r="DV8" s="456"/>
      <c r="DW8" s="456"/>
      <c r="DX8" s="456"/>
      <c r="DY8" s="456"/>
      <c r="DZ8" s="456"/>
      <c r="EA8" s="456"/>
      <c r="EB8" s="456"/>
      <c r="EC8" s="456"/>
      <c r="ED8" s="456"/>
      <c r="EE8" s="456"/>
      <c r="EF8" s="456"/>
      <c r="EG8" s="456"/>
      <c r="EH8" s="456"/>
      <c r="EI8" s="456"/>
      <c r="EJ8" s="456"/>
      <c r="EK8" s="456"/>
      <c r="EL8" s="456"/>
      <c r="EM8" s="456"/>
      <c r="EN8" s="456"/>
      <c r="EO8" s="456"/>
      <c r="EP8" s="456"/>
      <c r="EQ8" s="456"/>
      <c r="ER8" s="456"/>
      <c r="ES8" s="456"/>
      <c r="ET8" s="456"/>
      <c r="EU8" s="456"/>
      <c r="EV8" s="456"/>
      <c r="EW8" s="456"/>
      <c r="EX8" s="456"/>
      <c r="EY8" s="456"/>
      <c r="EZ8" s="456"/>
      <c r="FA8" s="456"/>
      <c r="FB8" s="456"/>
      <c r="FC8" s="456"/>
      <c r="FD8" s="456"/>
      <c r="FE8" s="456"/>
      <c r="FF8" s="47"/>
      <c r="FG8" s="47"/>
      <c r="FH8" s="47"/>
      <c r="FI8" s="47"/>
      <c r="FJ8" s="47"/>
      <c r="FK8" s="47"/>
      <c r="FL8" s="47"/>
      <c r="FM8" s="47"/>
      <c r="FN8" s="47"/>
      <c r="FO8" s="47"/>
    </row>
    <row r="10" spans="1:176" s="44" customFormat="1" ht="15" x14ac:dyDescent="0.25">
      <c r="A10" s="457" t="s">
        <v>1</v>
      </c>
      <c r="B10" s="457"/>
      <c r="C10" s="457"/>
      <c r="D10" s="457"/>
      <c r="E10" s="457"/>
      <c r="F10" s="457"/>
      <c r="G10" s="457"/>
      <c r="H10" s="457"/>
      <c r="I10" s="457"/>
      <c r="J10" s="457"/>
      <c r="K10" s="457"/>
      <c r="L10" s="457"/>
      <c r="M10" s="457"/>
      <c r="N10" s="457"/>
      <c r="O10" s="457"/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  <c r="AC10" s="457"/>
      <c r="AD10" s="457"/>
      <c r="AE10" s="457"/>
      <c r="AF10" s="457"/>
      <c r="AG10" s="457"/>
      <c r="AH10" s="457"/>
      <c r="AI10" s="457"/>
      <c r="AJ10" s="457"/>
      <c r="AK10" s="457"/>
      <c r="AL10" s="457"/>
      <c r="AM10" s="457"/>
      <c r="AN10" s="457"/>
      <c r="AO10" s="457"/>
      <c r="AP10" s="457"/>
      <c r="AQ10" s="457"/>
      <c r="AR10" s="457"/>
      <c r="AS10" s="457"/>
      <c r="AT10" s="457"/>
      <c r="AU10" s="457"/>
      <c r="AV10" s="457"/>
      <c r="AW10" s="457"/>
      <c r="AX10" s="457"/>
      <c r="AY10" s="457"/>
      <c r="AZ10" s="457"/>
      <c r="BA10" s="457"/>
      <c r="BB10" s="457"/>
      <c r="BC10" s="457"/>
      <c r="BD10" s="457"/>
      <c r="BE10" s="457"/>
      <c r="BF10" s="457"/>
      <c r="BG10" s="457"/>
      <c r="BH10" s="457"/>
      <c r="BI10" s="457"/>
      <c r="BJ10" s="457"/>
      <c r="BK10" s="457"/>
      <c r="BL10" s="457"/>
      <c r="BM10" s="457"/>
      <c r="BN10" s="457"/>
      <c r="BO10" s="457"/>
      <c r="BP10" s="457"/>
      <c r="BQ10" s="457"/>
      <c r="BR10" s="457"/>
      <c r="BS10" s="457"/>
      <c r="BT10" s="457"/>
      <c r="BU10" s="457"/>
      <c r="BV10" s="457"/>
      <c r="BW10" s="457"/>
      <c r="BX10" s="457"/>
      <c r="BY10" s="457"/>
      <c r="BZ10" s="457"/>
      <c r="CA10" s="457"/>
      <c r="CB10" s="457"/>
      <c r="CC10" s="457"/>
      <c r="CD10" s="457"/>
      <c r="CE10" s="457"/>
      <c r="CF10" s="457"/>
      <c r="CG10" s="457"/>
      <c r="CH10" s="457"/>
      <c r="CI10" s="457"/>
      <c r="CJ10" s="457"/>
      <c r="CK10" s="457"/>
      <c r="CL10" s="457"/>
      <c r="CM10" s="457"/>
      <c r="CN10" s="457"/>
      <c r="CO10" s="457"/>
      <c r="CP10" s="457"/>
      <c r="CQ10" s="457"/>
      <c r="CR10" s="457"/>
      <c r="CS10" s="457"/>
      <c r="CT10" s="457"/>
      <c r="CU10" s="457"/>
      <c r="CV10" s="457"/>
      <c r="CW10" s="457"/>
      <c r="CX10" s="457"/>
      <c r="CY10" s="457"/>
      <c r="CZ10" s="457"/>
      <c r="DA10" s="457"/>
      <c r="DB10" s="457"/>
      <c r="DC10" s="457"/>
      <c r="DD10" s="457"/>
      <c r="DE10" s="457"/>
      <c r="DF10" s="457"/>
      <c r="DG10" s="457"/>
      <c r="DH10" s="457"/>
      <c r="DI10" s="457"/>
      <c r="DJ10" s="457"/>
      <c r="DK10" s="457"/>
      <c r="DL10" s="457"/>
      <c r="DM10" s="457"/>
      <c r="DN10" s="457"/>
      <c r="DO10" s="457"/>
      <c r="DP10" s="457"/>
      <c r="DQ10" s="457"/>
      <c r="DR10" s="457"/>
      <c r="DS10" s="457"/>
      <c r="DT10" s="457"/>
      <c r="DU10" s="457"/>
      <c r="DV10" s="457"/>
      <c r="DW10" s="457"/>
      <c r="DX10" s="457"/>
      <c r="DY10" s="457"/>
      <c r="DZ10" s="457"/>
      <c r="EA10" s="457"/>
      <c r="EB10" s="457"/>
      <c r="EC10" s="457"/>
      <c r="ED10" s="457"/>
      <c r="EE10" s="457"/>
      <c r="EF10" s="457"/>
      <c r="EG10" s="457"/>
      <c r="EH10" s="457"/>
      <c r="EI10" s="457"/>
      <c r="EJ10" s="457"/>
      <c r="EK10" s="457"/>
      <c r="EL10" s="457"/>
      <c r="EM10" s="457"/>
      <c r="EN10" s="457"/>
      <c r="EO10" s="457"/>
      <c r="EP10" s="457"/>
      <c r="EQ10" s="457"/>
      <c r="ER10" s="457"/>
      <c r="ES10" s="457"/>
      <c r="ET10" s="457"/>
      <c r="EU10" s="457"/>
      <c r="EV10" s="457"/>
      <c r="EW10" s="457"/>
      <c r="EX10" s="457"/>
      <c r="EY10" s="457"/>
      <c r="EZ10" s="457"/>
      <c r="FA10" s="457"/>
      <c r="FB10" s="457"/>
      <c r="FC10" s="457"/>
      <c r="FD10" s="457"/>
      <c r="FE10" s="457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</row>
    <row r="11" spans="1:176" ht="6" customHeight="1" x14ac:dyDescent="0.2"/>
    <row r="12" spans="1:176" s="49" customFormat="1" ht="14.25" x14ac:dyDescent="0.2">
      <c r="A12" s="49" t="s">
        <v>2</v>
      </c>
      <c r="X12" s="458" t="s">
        <v>138</v>
      </c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  <c r="AK12" s="458"/>
      <c r="AL12" s="458"/>
      <c r="AM12" s="458"/>
      <c r="AN12" s="458"/>
      <c r="AO12" s="458"/>
      <c r="AP12" s="458"/>
      <c r="AQ12" s="458"/>
      <c r="AR12" s="458"/>
      <c r="AS12" s="458"/>
      <c r="AT12" s="458"/>
      <c r="AU12" s="458"/>
      <c r="AV12" s="458"/>
      <c r="AW12" s="458"/>
      <c r="AX12" s="458"/>
      <c r="AY12" s="458"/>
      <c r="AZ12" s="458"/>
      <c r="BA12" s="458"/>
      <c r="BB12" s="458"/>
      <c r="BC12" s="458"/>
      <c r="BD12" s="458"/>
      <c r="BE12" s="458"/>
      <c r="BF12" s="458"/>
      <c r="BG12" s="458"/>
      <c r="BH12" s="458"/>
      <c r="BI12" s="458"/>
      <c r="BJ12" s="458"/>
      <c r="BK12" s="458"/>
      <c r="BL12" s="458"/>
      <c r="BM12" s="458"/>
      <c r="BN12" s="458"/>
      <c r="BO12" s="458"/>
      <c r="BP12" s="458"/>
      <c r="BQ12" s="458"/>
      <c r="BR12" s="458"/>
      <c r="BS12" s="458"/>
      <c r="BT12" s="458"/>
      <c r="BU12" s="458"/>
      <c r="BV12" s="458"/>
      <c r="BW12" s="458"/>
      <c r="BX12" s="458"/>
      <c r="BY12" s="458"/>
      <c r="BZ12" s="458"/>
      <c r="CA12" s="458"/>
      <c r="CB12" s="458"/>
      <c r="CC12" s="458"/>
      <c r="CD12" s="458"/>
      <c r="CE12" s="458"/>
      <c r="CF12" s="458"/>
      <c r="CG12" s="458"/>
      <c r="CH12" s="458"/>
      <c r="CI12" s="458"/>
      <c r="CJ12" s="458"/>
      <c r="CK12" s="458"/>
      <c r="CL12" s="458"/>
      <c r="CM12" s="458"/>
      <c r="CN12" s="458"/>
      <c r="CO12" s="458"/>
      <c r="CP12" s="458"/>
      <c r="CQ12" s="458"/>
      <c r="CR12" s="458"/>
      <c r="CS12" s="458"/>
      <c r="CT12" s="458"/>
      <c r="CU12" s="458"/>
      <c r="CV12" s="458"/>
      <c r="CW12" s="458"/>
      <c r="CX12" s="458"/>
      <c r="CY12" s="458"/>
      <c r="CZ12" s="458"/>
      <c r="DA12" s="458"/>
      <c r="DB12" s="458"/>
      <c r="DC12" s="458"/>
      <c r="DD12" s="458"/>
      <c r="DE12" s="458"/>
      <c r="DF12" s="458"/>
      <c r="DG12" s="458"/>
      <c r="DH12" s="458"/>
      <c r="DI12" s="458"/>
      <c r="DJ12" s="458"/>
      <c r="DK12" s="458"/>
      <c r="DL12" s="458"/>
      <c r="DM12" s="458"/>
      <c r="DN12" s="458"/>
      <c r="DO12" s="458"/>
      <c r="DP12" s="458"/>
      <c r="DQ12" s="458"/>
      <c r="DR12" s="458"/>
      <c r="DS12" s="458"/>
      <c r="DT12" s="458"/>
      <c r="DU12" s="458"/>
      <c r="DV12" s="458"/>
      <c r="DW12" s="458"/>
      <c r="DX12" s="458"/>
      <c r="DY12" s="458"/>
      <c r="DZ12" s="458"/>
      <c r="EA12" s="458"/>
      <c r="EB12" s="458"/>
      <c r="EC12" s="458"/>
      <c r="ED12" s="458"/>
      <c r="EE12" s="458"/>
      <c r="EF12" s="458"/>
      <c r="EG12" s="458"/>
      <c r="EH12" s="458"/>
      <c r="EI12" s="458"/>
      <c r="EJ12" s="458"/>
      <c r="EK12" s="458"/>
      <c r="EL12" s="458"/>
      <c r="EM12" s="458"/>
      <c r="EN12" s="458"/>
      <c r="EO12" s="458"/>
      <c r="EP12" s="458"/>
      <c r="EQ12" s="458"/>
      <c r="ER12" s="458"/>
      <c r="ES12" s="458"/>
      <c r="ET12" s="458"/>
      <c r="EU12" s="458"/>
      <c r="EV12" s="458"/>
      <c r="EW12" s="458"/>
      <c r="EX12" s="458"/>
      <c r="EY12" s="458"/>
      <c r="EZ12" s="458"/>
      <c r="FA12" s="458"/>
      <c r="FB12" s="458"/>
      <c r="FC12" s="458"/>
      <c r="FD12" s="458"/>
      <c r="FE12" s="458"/>
      <c r="FF12" s="50"/>
      <c r="FG12" s="50"/>
      <c r="FH12" s="50"/>
      <c r="FI12" s="50"/>
      <c r="FJ12" s="50"/>
      <c r="FK12" s="50"/>
      <c r="FL12" s="50"/>
      <c r="FM12" s="50"/>
      <c r="FN12" s="50"/>
      <c r="FO12" s="50"/>
    </row>
    <row r="13" spans="1:176" s="49" customFormat="1" ht="6" customHeight="1" x14ac:dyDescent="0.2"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0"/>
      <c r="FG13" s="50"/>
      <c r="FH13" s="50"/>
      <c r="FI13" s="50"/>
      <c r="FJ13" s="50"/>
      <c r="FK13" s="50"/>
      <c r="FL13" s="50"/>
      <c r="FM13" s="50"/>
      <c r="FN13" s="50"/>
      <c r="FO13" s="50"/>
    </row>
    <row r="14" spans="1:176" s="49" customFormat="1" ht="14.25" x14ac:dyDescent="0.2">
      <c r="A14" s="459" t="s">
        <v>142</v>
      </c>
      <c r="B14" s="459"/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9"/>
      <c r="AN14" s="459"/>
      <c r="AO14" s="459"/>
      <c r="AP14" s="460" t="s">
        <v>129</v>
      </c>
      <c r="AQ14" s="460"/>
      <c r="AR14" s="460"/>
      <c r="AS14" s="460"/>
      <c r="AT14" s="460"/>
      <c r="AU14" s="460"/>
      <c r="AV14" s="460"/>
      <c r="AW14" s="460"/>
      <c r="AX14" s="460"/>
      <c r="AY14" s="460"/>
      <c r="AZ14" s="460"/>
      <c r="BA14" s="460"/>
      <c r="BB14" s="460"/>
      <c r="BC14" s="460"/>
      <c r="BD14" s="460"/>
      <c r="BE14" s="460"/>
      <c r="BF14" s="460"/>
      <c r="BG14" s="460"/>
      <c r="BH14" s="460"/>
      <c r="BI14" s="460"/>
      <c r="BJ14" s="460"/>
      <c r="BK14" s="460"/>
      <c r="BL14" s="460"/>
      <c r="BM14" s="460"/>
      <c r="BN14" s="460"/>
      <c r="BO14" s="460"/>
      <c r="BP14" s="460"/>
      <c r="BQ14" s="460"/>
      <c r="BR14" s="460"/>
      <c r="BS14" s="460"/>
      <c r="BT14" s="460"/>
      <c r="BU14" s="460"/>
      <c r="BV14" s="460"/>
      <c r="BW14" s="460"/>
      <c r="BX14" s="460"/>
      <c r="BY14" s="460"/>
      <c r="BZ14" s="460"/>
      <c r="CA14" s="460"/>
      <c r="CB14" s="460"/>
      <c r="CC14" s="460"/>
      <c r="CD14" s="460"/>
      <c r="CE14" s="460"/>
      <c r="CF14" s="460"/>
      <c r="CG14" s="460"/>
      <c r="CH14" s="460"/>
      <c r="CI14" s="460"/>
      <c r="CJ14" s="460"/>
      <c r="CK14" s="460"/>
      <c r="CL14" s="460"/>
      <c r="CM14" s="460"/>
      <c r="CN14" s="460"/>
      <c r="CO14" s="460"/>
      <c r="CP14" s="460"/>
      <c r="CQ14" s="460"/>
      <c r="CR14" s="460"/>
      <c r="CS14" s="460"/>
      <c r="CT14" s="460"/>
      <c r="CU14" s="460"/>
      <c r="CV14" s="460"/>
      <c r="CW14" s="460"/>
      <c r="CX14" s="460"/>
      <c r="CY14" s="460"/>
      <c r="CZ14" s="460"/>
      <c r="DA14" s="460"/>
      <c r="DB14" s="460"/>
      <c r="DC14" s="460"/>
      <c r="DD14" s="460"/>
      <c r="DE14" s="460"/>
      <c r="DF14" s="460"/>
      <c r="DG14" s="460"/>
      <c r="DH14" s="460"/>
      <c r="DI14" s="460"/>
      <c r="DJ14" s="460"/>
      <c r="DK14" s="460"/>
      <c r="DL14" s="460"/>
      <c r="DM14" s="460"/>
      <c r="DN14" s="460"/>
      <c r="DO14" s="460"/>
      <c r="DP14" s="460"/>
      <c r="DQ14" s="460"/>
      <c r="DR14" s="460"/>
      <c r="DS14" s="460"/>
      <c r="DT14" s="460"/>
      <c r="DU14" s="460"/>
      <c r="DV14" s="460"/>
      <c r="DW14" s="460"/>
      <c r="DX14" s="460"/>
      <c r="DY14" s="460"/>
      <c r="DZ14" s="460"/>
      <c r="EA14" s="460"/>
      <c r="EB14" s="460"/>
      <c r="EC14" s="460"/>
      <c r="ED14" s="460"/>
      <c r="EE14" s="460"/>
      <c r="EF14" s="460"/>
      <c r="EG14" s="460"/>
      <c r="EH14" s="460"/>
      <c r="EI14" s="460"/>
      <c r="EJ14" s="460"/>
      <c r="EK14" s="460"/>
      <c r="EL14" s="460"/>
      <c r="EM14" s="460"/>
      <c r="EN14" s="460"/>
      <c r="EO14" s="460"/>
      <c r="EP14" s="460"/>
      <c r="EQ14" s="460"/>
      <c r="ER14" s="460"/>
      <c r="ES14" s="460"/>
      <c r="ET14" s="460"/>
      <c r="EU14" s="460"/>
      <c r="EV14" s="460"/>
      <c r="EW14" s="460"/>
      <c r="EX14" s="460"/>
      <c r="EY14" s="460"/>
      <c r="EZ14" s="460"/>
      <c r="FA14" s="460"/>
      <c r="FB14" s="460"/>
      <c r="FC14" s="460"/>
      <c r="FD14" s="460"/>
      <c r="FE14" s="460"/>
      <c r="FF14" s="50"/>
      <c r="FG14" s="50"/>
      <c r="FH14" s="50"/>
      <c r="FI14" s="50"/>
      <c r="FJ14" s="50"/>
      <c r="FK14" s="50"/>
      <c r="FL14" s="50"/>
      <c r="FM14" s="50"/>
      <c r="FN14" s="50"/>
      <c r="FO14" s="50"/>
    </row>
    <row r="15" spans="1:176" ht="9.75" customHeight="1" x14ac:dyDescent="0.2"/>
    <row r="16" spans="1:176" s="44" customFormat="1" ht="15" x14ac:dyDescent="0.25">
      <c r="A16" s="457" t="s">
        <v>4</v>
      </c>
      <c r="B16" s="457"/>
      <c r="C16" s="457"/>
      <c r="D16" s="457"/>
      <c r="E16" s="457"/>
      <c r="F16" s="457"/>
      <c r="G16" s="457"/>
      <c r="H16" s="457"/>
      <c r="I16" s="457"/>
      <c r="J16" s="457"/>
      <c r="K16" s="457"/>
      <c r="L16" s="457"/>
      <c r="M16" s="457"/>
      <c r="N16" s="457"/>
      <c r="O16" s="457"/>
      <c r="P16" s="457"/>
      <c r="Q16" s="457"/>
      <c r="R16" s="457"/>
      <c r="S16" s="457"/>
      <c r="T16" s="457"/>
      <c r="U16" s="457"/>
      <c r="V16" s="457"/>
      <c r="W16" s="457"/>
      <c r="X16" s="457"/>
      <c r="Y16" s="457"/>
      <c r="Z16" s="457"/>
      <c r="AA16" s="457"/>
      <c r="AB16" s="457"/>
      <c r="AC16" s="457"/>
      <c r="AD16" s="457"/>
      <c r="AE16" s="457"/>
      <c r="AF16" s="457"/>
      <c r="AG16" s="457"/>
      <c r="AH16" s="457"/>
      <c r="AI16" s="457"/>
      <c r="AJ16" s="457"/>
      <c r="AK16" s="457"/>
      <c r="AL16" s="457"/>
      <c r="AM16" s="457"/>
      <c r="AN16" s="457"/>
      <c r="AO16" s="457"/>
      <c r="AP16" s="457"/>
      <c r="AQ16" s="457"/>
      <c r="AR16" s="457"/>
      <c r="AS16" s="457"/>
      <c r="AT16" s="457"/>
      <c r="AU16" s="457"/>
      <c r="AV16" s="457"/>
      <c r="AW16" s="457"/>
      <c r="AX16" s="457"/>
      <c r="AY16" s="457"/>
      <c r="AZ16" s="457"/>
      <c r="BA16" s="457"/>
      <c r="BB16" s="457"/>
      <c r="BC16" s="457"/>
      <c r="BD16" s="457"/>
      <c r="BE16" s="457"/>
      <c r="BF16" s="457"/>
      <c r="BG16" s="457"/>
      <c r="BH16" s="457"/>
      <c r="BI16" s="457"/>
      <c r="BJ16" s="457"/>
      <c r="BK16" s="457"/>
      <c r="BL16" s="457"/>
      <c r="BM16" s="457"/>
      <c r="BN16" s="457"/>
      <c r="BO16" s="457"/>
      <c r="BP16" s="457"/>
      <c r="BQ16" s="457"/>
      <c r="BR16" s="457"/>
      <c r="BS16" s="457"/>
      <c r="BT16" s="457"/>
      <c r="BU16" s="457"/>
      <c r="BV16" s="457"/>
      <c r="BW16" s="457"/>
      <c r="BX16" s="457"/>
      <c r="BY16" s="457"/>
      <c r="BZ16" s="457"/>
      <c r="CA16" s="457"/>
      <c r="CB16" s="457"/>
      <c r="CC16" s="457"/>
      <c r="CD16" s="457"/>
      <c r="CE16" s="457"/>
      <c r="CF16" s="457"/>
      <c r="CG16" s="457"/>
      <c r="CH16" s="457"/>
      <c r="CI16" s="457"/>
      <c r="CJ16" s="457"/>
      <c r="CK16" s="457"/>
      <c r="CL16" s="457"/>
      <c r="CM16" s="457"/>
      <c r="CN16" s="457"/>
      <c r="CO16" s="457"/>
      <c r="CP16" s="457"/>
      <c r="CQ16" s="457"/>
      <c r="CR16" s="457"/>
      <c r="CS16" s="457"/>
      <c r="CT16" s="457"/>
      <c r="CU16" s="457"/>
      <c r="CV16" s="457"/>
      <c r="CW16" s="457"/>
      <c r="CX16" s="457"/>
      <c r="CY16" s="457"/>
      <c r="CZ16" s="457"/>
      <c r="DA16" s="457"/>
      <c r="DB16" s="457"/>
      <c r="DC16" s="457"/>
      <c r="DD16" s="457"/>
      <c r="DE16" s="457"/>
      <c r="DF16" s="457"/>
      <c r="DG16" s="457"/>
      <c r="DH16" s="457"/>
      <c r="DI16" s="457"/>
      <c r="DJ16" s="457"/>
      <c r="DK16" s="457"/>
      <c r="DL16" s="457"/>
      <c r="DM16" s="457"/>
      <c r="DN16" s="457"/>
      <c r="DO16" s="457"/>
      <c r="DP16" s="457"/>
      <c r="DQ16" s="457"/>
      <c r="DR16" s="457"/>
      <c r="DS16" s="457"/>
      <c r="DT16" s="457"/>
      <c r="DU16" s="457"/>
      <c r="DV16" s="457"/>
      <c r="DW16" s="457"/>
      <c r="DX16" s="457"/>
      <c r="DY16" s="457"/>
      <c r="DZ16" s="457"/>
      <c r="EA16" s="457"/>
      <c r="EB16" s="457"/>
      <c r="EC16" s="457"/>
      <c r="ED16" s="457"/>
      <c r="EE16" s="457"/>
      <c r="EF16" s="457"/>
      <c r="EG16" s="457"/>
      <c r="EH16" s="457"/>
      <c r="EI16" s="457"/>
      <c r="EJ16" s="457"/>
      <c r="EK16" s="457"/>
      <c r="EL16" s="457"/>
      <c r="EM16" s="457"/>
      <c r="EN16" s="457"/>
      <c r="EO16" s="457"/>
      <c r="EP16" s="457"/>
      <c r="EQ16" s="457"/>
      <c r="ER16" s="457"/>
      <c r="ES16" s="457"/>
      <c r="ET16" s="457"/>
      <c r="EU16" s="457"/>
      <c r="EV16" s="457"/>
      <c r="EW16" s="457"/>
      <c r="EX16" s="457"/>
      <c r="EY16" s="457"/>
      <c r="EZ16" s="457"/>
      <c r="FA16" s="457"/>
      <c r="FB16" s="457"/>
      <c r="FC16" s="457"/>
      <c r="FD16" s="457"/>
      <c r="FE16" s="457"/>
      <c r="FF16" s="46"/>
      <c r="FG16" s="46"/>
      <c r="FH16" s="46"/>
      <c r="FI16" s="46"/>
      <c r="FJ16" s="46"/>
      <c r="FK16" s="46"/>
      <c r="FL16" s="46"/>
      <c r="FM16" s="46"/>
      <c r="FN16" s="46"/>
      <c r="FO16" s="46"/>
    </row>
    <row r="17" spans="1:171" ht="10.5" customHeight="1" x14ac:dyDescent="0.2"/>
    <row r="18" spans="1:171" s="54" customFormat="1" ht="13.5" customHeight="1" x14ac:dyDescent="0.2">
      <c r="A18" s="462" t="s">
        <v>143</v>
      </c>
      <c r="B18" s="463"/>
      <c r="C18" s="463"/>
      <c r="D18" s="463"/>
      <c r="E18" s="463"/>
      <c r="F18" s="464"/>
      <c r="G18" s="462" t="s">
        <v>144</v>
      </c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4"/>
      <c r="Y18" s="462" t="s">
        <v>145</v>
      </c>
      <c r="Z18" s="463"/>
      <c r="AA18" s="463"/>
      <c r="AB18" s="463"/>
      <c r="AC18" s="463"/>
      <c r="AD18" s="463"/>
      <c r="AE18" s="463"/>
      <c r="AF18" s="463"/>
      <c r="AG18" s="463"/>
      <c r="AH18" s="463"/>
      <c r="AI18" s="463"/>
      <c r="AJ18" s="463"/>
      <c r="AK18" s="463"/>
      <c r="AL18" s="463"/>
      <c r="AM18" s="463"/>
      <c r="AN18" s="464"/>
      <c r="AO18" s="471" t="s">
        <v>7</v>
      </c>
      <c r="AP18" s="472"/>
      <c r="AQ18" s="472"/>
      <c r="AR18" s="472"/>
      <c r="AS18" s="472"/>
      <c r="AT18" s="472"/>
      <c r="AU18" s="472"/>
      <c r="AV18" s="472"/>
      <c r="AW18" s="472"/>
      <c r="AX18" s="472"/>
      <c r="AY18" s="472"/>
      <c r="AZ18" s="472"/>
      <c r="BA18" s="472"/>
      <c r="BB18" s="472"/>
      <c r="BC18" s="472"/>
      <c r="BD18" s="472"/>
      <c r="BE18" s="472"/>
      <c r="BF18" s="472"/>
      <c r="BG18" s="472"/>
      <c r="BH18" s="472"/>
      <c r="BI18" s="472"/>
      <c r="BJ18" s="472"/>
      <c r="BK18" s="472"/>
      <c r="BL18" s="472"/>
      <c r="BM18" s="472"/>
      <c r="BN18" s="472"/>
      <c r="BO18" s="472"/>
      <c r="BP18" s="472"/>
      <c r="BQ18" s="472"/>
      <c r="BR18" s="472"/>
      <c r="BS18" s="472"/>
      <c r="BT18" s="472"/>
      <c r="BU18" s="472"/>
      <c r="BV18" s="472"/>
      <c r="BW18" s="472"/>
      <c r="BX18" s="472"/>
      <c r="BY18" s="472"/>
      <c r="BZ18" s="472"/>
      <c r="CA18" s="472"/>
      <c r="CB18" s="472"/>
      <c r="CC18" s="472"/>
      <c r="CD18" s="472"/>
      <c r="CE18" s="472"/>
      <c r="CF18" s="472"/>
      <c r="CG18" s="472"/>
      <c r="CH18" s="472"/>
      <c r="CI18" s="472"/>
      <c r="CJ18" s="472"/>
      <c r="CK18" s="472"/>
      <c r="CL18" s="472"/>
      <c r="CM18" s="472"/>
      <c r="CN18" s="472"/>
      <c r="CO18" s="472"/>
      <c r="CP18" s="472"/>
      <c r="CQ18" s="472"/>
      <c r="CR18" s="472"/>
      <c r="CS18" s="472"/>
      <c r="CT18" s="472"/>
      <c r="CU18" s="472"/>
      <c r="CV18" s="472"/>
      <c r="CW18" s="472"/>
      <c r="CX18" s="472"/>
      <c r="CY18" s="472"/>
      <c r="CZ18" s="472"/>
      <c r="DA18" s="472"/>
      <c r="DB18" s="472"/>
      <c r="DC18" s="472"/>
      <c r="DD18" s="472"/>
      <c r="DE18" s="472"/>
      <c r="DF18" s="472"/>
      <c r="DG18" s="472"/>
      <c r="DH18" s="473"/>
      <c r="DI18" s="462" t="s">
        <v>146</v>
      </c>
      <c r="DJ18" s="463"/>
      <c r="DK18" s="463"/>
      <c r="DL18" s="463"/>
      <c r="DM18" s="463"/>
      <c r="DN18" s="463"/>
      <c r="DO18" s="463"/>
      <c r="DP18" s="463"/>
      <c r="DQ18" s="463"/>
      <c r="DR18" s="463"/>
      <c r="DS18" s="463"/>
      <c r="DT18" s="463"/>
      <c r="DU18" s="463"/>
      <c r="DV18" s="463"/>
      <c r="DW18" s="463"/>
      <c r="DX18" s="464"/>
      <c r="DY18" s="462" t="s">
        <v>147</v>
      </c>
      <c r="DZ18" s="463"/>
      <c r="EA18" s="463"/>
      <c r="EB18" s="463"/>
      <c r="EC18" s="463"/>
      <c r="ED18" s="463"/>
      <c r="EE18" s="463"/>
      <c r="EF18" s="463"/>
      <c r="EG18" s="463"/>
      <c r="EH18" s="463"/>
      <c r="EI18" s="463"/>
      <c r="EJ18" s="463"/>
      <c r="EK18" s="463"/>
      <c r="EL18" s="463"/>
      <c r="EM18" s="463"/>
      <c r="EN18" s="464"/>
      <c r="EO18" s="475" t="s">
        <v>148</v>
      </c>
      <c r="EP18" s="476"/>
      <c r="EQ18" s="476"/>
      <c r="ER18" s="476"/>
      <c r="ES18" s="476"/>
      <c r="ET18" s="476"/>
      <c r="EU18" s="476"/>
      <c r="EV18" s="476"/>
      <c r="EW18" s="476"/>
      <c r="EX18" s="476"/>
      <c r="EY18" s="476"/>
      <c r="EZ18" s="476"/>
      <c r="FA18" s="476"/>
      <c r="FB18" s="476"/>
      <c r="FC18" s="476"/>
      <c r="FD18" s="476"/>
      <c r="FE18" s="477"/>
      <c r="FF18" s="53"/>
      <c r="FG18" s="53"/>
      <c r="FH18" s="53"/>
      <c r="FI18" s="53"/>
      <c r="FJ18" s="53"/>
      <c r="FK18" s="53"/>
      <c r="FL18" s="53"/>
      <c r="FM18" s="53"/>
      <c r="FN18" s="53"/>
      <c r="FO18" s="53"/>
    </row>
    <row r="19" spans="1:171" s="54" customFormat="1" ht="13.5" customHeight="1" x14ac:dyDescent="0.2">
      <c r="A19" s="465"/>
      <c r="B19" s="466"/>
      <c r="C19" s="466"/>
      <c r="D19" s="466"/>
      <c r="E19" s="466"/>
      <c r="F19" s="467"/>
      <c r="G19" s="465"/>
      <c r="H19" s="466"/>
      <c r="I19" s="466"/>
      <c r="J19" s="466"/>
      <c r="K19" s="466"/>
      <c r="L19" s="466"/>
      <c r="M19" s="466"/>
      <c r="N19" s="466"/>
      <c r="O19" s="466"/>
      <c r="P19" s="466"/>
      <c r="Q19" s="466"/>
      <c r="R19" s="466"/>
      <c r="S19" s="466"/>
      <c r="T19" s="466"/>
      <c r="U19" s="466"/>
      <c r="V19" s="466"/>
      <c r="W19" s="466"/>
      <c r="X19" s="467"/>
      <c r="Y19" s="465"/>
      <c r="Z19" s="466"/>
      <c r="AA19" s="466"/>
      <c r="AB19" s="466"/>
      <c r="AC19" s="466"/>
      <c r="AD19" s="466"/>
      <c r="AE19" s="466"/>
      <c r="AF19" s="466"/>
      <c r="AG19" s="466"/>
      <c r="AH19" s="466"/>
      <c r="AI19" s="466"/>
      <c r="AJ19" s="466"/>
      <c r="AK19" s="466"/>
      <c r="AL19" s="466"/>
      <c r="AM19" s="466"/>
      <c r="AN19" s="467"/>
      <c r="AO19" s="462" t="s">
        <v>8</v>
      </c>
      <c r="AP19" s="463"/>
      <c r="AQ19" s="463"/>
      <c r="AR19" s="463"/>
      <c r="AS19" s="463"/>
      <c r="AT19" s="463"/>
      <c r="AU19" s="463"/>
      <c r="AV19" s="463"/>
      <c r="AW19" s="463"/>
      <c r="AX19" s="463"/>
      <c r="AY19" s="463"/>
      <c r="AZ19" s="463"/>
      <c r="BA19" s="463"/>
      <c r="BB19" s="463"/>
      <c r="BC19" s="463"/>
      <c r="BD19" s="463"/>
      <c r="BE19" s="464"/>
      <c r="BF19" s="471" t="s">
        <v>9</v>
      </c>
      <c r="BG19" s="472"/>
      <c r="BH19" s="472"/>
      <c r="BI19" s="472"/>
      <c r="BJ19" s="472"/>
      <c r="BK19" s="472"/>
      <c r="BL19" s="472"/>
      <c r="BM19" s="472"/>
      <c r="BN19" s="472"/>
      <c r="BO19" s="472"/>
      <c r="BP19" s="472"/>
      <c r="BQ19" s="472"/>
      <c r="BR19" s="472"/>
      <c r="BS19" s="472"/>
      <c r="BT19" s="472"/>
      <c r="BU19" s="472"/>
      <c r="BV19" s="472"/>
      <c r="BW19" s="472"/>
      <c r="BX19" s="472"/>
      <c r="BY19" s="472"/>
      <c r="BZ19" s="472"/>
      <c r="CA19" s="472"/>
      <c r="CB19" s="472"/>
      <c r="CC19" s="472"/>
      <c r="CD19" s="472"/>
      <c r="CE19" s="472"/>
      <c r="CF19" s="472"/>
      <c r="CG19" s="472"/>
      <c r="CH19" s="472"/>
      <c r="CI19" s="472"/>
      <c r="CJ19" s="472"/>
      <c r="CK19" s="472"/>
      <c r="CL19" s="472"/>
      <c r="CM19" s="472"/>
      <c r="CN19" s="472"/>
      <c r="CO19" s="472"/>
      <c r="CP19" s="472"/>
      <c r="CQ19" s="472"/>
      <c r="CR19" s="472"/>
      <c r="CS19" s="472"/>
      <c r="CT19" s="472"/>
      <c r="CU19" s="472"/>
      <c r="CV19" s="472"/>
      <c r="CW19" s="472"/>
      <c r="CX19" s="472"/>
      <c r="CY19" s="472"/>
      <c r="CZ19" s="472"/>
      <c r="DA19" s="472"/>
      <c r="DB19" s="472"/>
      <c r="DC19" s="472"/>
      <c r="DD19" s="472"/>
      <c r="DE19" s="472"/>
      <c r="DF19" s="472"/>
      <c r="DG19" s="472"/>
      <c r="DH19" s="473"/>
      <c r="DI19" s="465"/>
      <c r="DJ19" s="466"/>
      <c r="DK19" s="466"/>
      <c r="DL19" s="466"/>
      <c r="DM19" s="466"/>
      <c r="DN19" s="466"/>
      <c r="DO19" s="466"/>
      <c r="DP19" s="466"/>
      <c r="DQ19" s="466"/>
      <c r="DR19" s="466"/>
      <c r="DS19" s="466"/>
      <c r="DT19" s="466"/>
      <c r="DU19" s="466"/>
      <c r="DV19" s="466"/>
      <c r="DW19" s="466"/>
      <c r="DX19" s="467"/>
      <c r="DY19" s="465"/>
      <c r="DZ19" s="466"/>
      <c r="EA19" s="466"/>
      <c r="EB19" s="466"/>
      <c r="EC19" s="466"/>
      <c r="ED19" s="466"/>
      <c r="EE19" s="466"/>
      <c r="EF19" s="466"/>
      <c r="EG19" s="466"/>
      <c r="EH19" s="466"/>
      <c r="EI19" s="466"/>
      <c r="EJ19" s="466"/>
      <c r="EK19" s="466"/>
      <c r="EL19" s="466"/>
      <c r="EM19" s="466"/>
      <c r="EN19" s="467"/>
      <c r="EO19" s="478"/>
      <c r="EP19" s="479"/>
      <c r="EQ19" s="479"/>
      <c r="ER19" s="479"/>
      <c r="ES19" s="479"/>
      <c r="ET19" s="479"/>
      <c r="EU19" s="479"/>
      <c r="EV19" s="479"/>
      <c r="EW19" s="479"/>
      <c r="EX19" s="479"/>
      <c r="EY19" s="479"/>
      <c r="EZ19" s="479"/>
      <c r="FA19" s="479"/>
      <c r="FB19" s="479"/>
      <c r="FC19" s="479"/>
      <c r="FD19" s="479"/>
      <c r="FE19" s="480"/>
      <c r="FF19" s="53"/>
      <c r="FG19" s="53"/>
      <c r="FH19" s="53"/>
      <c r="FI19" s="53"/>
      <c r="FJ19" s="53"/>
      <c r="FK19" s="53"/>
      <c r="FL19" s="53"/>
      <c r="FM19" s="53"/>
      <c r="FN19" s="53"/>
      <c r="FO19" s="53"/>
    </row>
    <row r="20" spans="1:171" s="54" customFormat="1" ht="51.75" customHeight="1" x14ac:dyDescent="0.2">
      <c r="A20" s="468"/>
      <c r="B20" s="469"/>
      <c r="C20" s="469"/>
      <c r="D20" s="469"/>
      <c r="E20" s="469"/>
      <c r="F20" s="470"/>
      <c r="G20" s="468"/>
      <c r="H20" s="469"/>
      <c r="I20" s="469"/>
      <c r="J20" s="469"/>
      <c r="K20" s="469"/>
      <c r="L20" s="469"/>
      <c r="M20" s="469"/>
      <c r="N20" s="469"/>
      <c r="O20" s="469"/>
      <c r="P20" s="469"/>
      <c r="Q20" s="469"/>
      <c r="R20" s="469"/>
      <c r="S20" s="469"/>
      <c r="T20" s="469"/>
      <c r="U20" s="469"/>
      <c r="V20" s="469"/>
      <c r="W20" s="469"/>
      <c r="X20" s="470"/>
      <c r="Y20" s="468"/>
      <c r="Z20" s="469"/>
      <c r="AA20" s="469"/>
      <c r="AB20" s="469"/>
      <c r="AC20" s="469"/>
      <c r="AD20" s="469"/>
      <c r="AE20" s="469"/>
      <c r="AF20" s="469"/>
      <c r="AG20" s="469"/>
      <c r="AH20" s="469"/>
      <c r="AI20" s="469"/>
      <c r="AJ20" s="469"/>
      <c r="AK20" s="469"/>
      <c r="AL20" s="469"/>
      <c r="AM20" s="469"/>
      <c r="AN20" s="470"/>
      <c r="AO20" s="468"/>
      <c r="AP20" s="469"/>
      <c r="AQ20" s="469"/>
      <c r="AR20" s="469"/>
      <c r="AS20" s="469"/>
      <c r="AT20" s="469"/>
      <c r="AU20" s="469"/>
      <c r="AV20" s="469"/>
      <c r="AW20" s="469"/>
      <c r="AX20" s="469"/>
      <c r="AY20" s="469"/>
      <c r="AZ20" s="469"/>
      <c r="BA20" s="469"/>
      <c r="BB20" s="469"/>
      <c r="BC20" s="469"/>
      <c r="BD20" s="469"/>
      <c r="BE20" s="470"/>
      <c r="BF20" s="488" t="s">
        <v>149</v>
      </c>
      <c r="BG20" s="488"/>
      <c r="BH20" s="488"/>
      <c r="BI20" s="488"/>
      <c r="BJ20" s="488"/>
      <c r="BK20" s="488"/>
      <c r="BL20" s="488"/>
      <c r="BM20" s="488"/>
      <c r="BN20" s="488"/>
      <c r="BO20" s="488"/>
      <c r="BP20" s="488"/>
      <c r="BQ20" s="488"/>
      <c r="BR20" s="488"/>
      <c r="BS20" s="488"/>
      <c r="BT20" s="488"/>
      <c r="BU20" s="488"/>
      <c r="BV20" s="488"/>
      <c r="BW20" s="488"/>
      <c r="BX20" s="488" t="s">
        <v>150</v>
      </c>
      <c r="BY20" s="488"/>
      <c r="BZ20" s="488"/>
      <c r="CA20" s="488"/>
      <c r="CB20" s="488"/>
      <c r="CC20" s="488"/>
      <c r="CD20" s="488"/>
      <c r="CE20" s="488"/>
      <c r="CF20" s="488"/>
      <c r="CG20" s="488"/>
      <c r="CH20" s="488"/>
      <c r="CI20" s="488"/>
      <c r="CJ20" s="488"/>
      <c r="CK20" s="488"/>
      <c r="CL20" s="488"/>
      <c r="CM20" s="488"/>
      <c r="CN20" s="488"/>
      <c r="CO20" s="488"/>
      <c r="CP20" s="488"/>
      <c r="CQ20" s="488" t="s">
        <v>151</v>
      </c>
      <c r="CR20" s="488"/>
      <c r="CS20" s="488"/>
      <c r="CT20" s="488"/>
      <c r="CU20" s="488"/>
      <c r="CV20" s="488"/>
      <c r="CW20" s="488"/>
      <c r="CX20" s="488"/>
      <c r="CY20" s="488"/>
      <c r="CZ20" s="488"/>
      <c r="DA20" s="488"/>
      <c r="DB20" s="488"/>
      <c r="DC20" s="488"/>
      <c r="DD20" s="488"/>
      <c r="DE20" s="488"/>
      <c r="DF20" s="488"/>
      <c r="DG20" s="488"/>
      <c r="DH20" s="488"/>
      <c r="DI20" s="468"/>
      <c r="DJ20" s="469"/>
      <c r="DK20" s="469"/>
      <c r="DL20" s="469"/>
      <c r="DM20" s="469"/>
      <c r="DN20" s="469"/>
      <c r="DO20" s="469"/>
      <c r="DP20" s="469"/>
      <c r="DQ20" s="469"/>
      <c r="DR20" s="469"/>
      <c r="DS20" s="469"/>
      <c r="DT20" s="469"/>
      <c r="DU20" s="469"/>
      <c r="DV20" s="469"/>
      <c r="DW20" s="469"/>
      <c r="DX20" s="470"/>
      <c r="DY20" s="468"/>
      <c r="DZ20" s="469"/>
      <c r="EA20" s="469"/>
      <c r="EB20" s="469"/>
      <c r="EC20" s="469"/>
      <c r="ED20" s="469"/>
      <c r="EE20" s="469"/>
      <c r="EF20" s="469"/>
      <c r="EG20" s="469"/>
      <c r="EH20" s="469"/>
      <c r="EI20" s="469"/>
      <c r="EJ20" s="469"/>
      <c r="EK20" s="469"/>
      <c r="EL20" s="469"/>
      <c r="EM20" s="469"/>
      <c r="EN20" s="470"/>
      <c r="EO20" s="481"/>
      <c r="EP20" s="482"/>
      <c r="EQ20" s="482"/>
      <c r="ER20" s="482"/>
      <c r="ES20" s="482"/>
      <c r="ET20" s="482"/>
      <c r="EU20" s="482"/>
      <c r="EV20" s="482"/>
      <c r="EW20" s="482"/>
      <c r="EX20" s="482"/>
      <c r="EY20" s="482"/>
      <c r="EZ20" s="482"/>
      <c r="FA20" s="482"/>
      <c r="FB20" s="482"/>
      <c r="FC20" s="482"/>
      <c r="FD20" s="482"/>
      <c r="FE20" s="483"/>
      <c r="FF20" s="53"/>
      <c r="FG20" s="53"/>
      <c r="FH20" s="53"/>
      <c r="FI20" s="53"/>
      <c r="FJ20" s="53"/>
      <c r="FK20" s="53"/>
      <c r="FL20" s="53"/>
      <c r="FM20" s="53"/>
      <c r="FN20" s="53"/>
      <c r="FO20" s="53"/>
    </row>
    <row r="21" spans="1:171" s="56" customFormat="1" x14ac:dyDescent="0.2">
      <c r="A21" s="489">
        <v>1</v>
      </c>
      <c r="B21" s="489"/>
      <c r="C21" s="489"/>
      <c r="D21" s="489"/>
      <c r="E21" s="489"/>
      <c r="F21" s="489"/>
      <c r="G21" s="489">
        <v>2</v>
      </c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  <c r="T21" s="489"/>
      <c r="U21" s="489"/>
      <c r="V21" s="489"/>
      <c r="W21" s="489"/>
      <c r="X21" s="489"/>
      <c r="Y21" s="474">
        <v>3</v>
      </c>
      <c r="Z21" s="474"/>
      <c r="AA21" s="474"/>
      <c r="AB21" s="474"/>
      <c r="AC21" s="474"/>
      <c r="AD21" s="474"/>
      <c r="AE21" s="474"/>
      <c r="AF21" s="474"/>
      <c r="AG21" s="474"/>
      <c r="AH21" s="474"/>
      <c r="AI21" s="474"/>
      <c r="AJ21" s="474"/>
      <c r="AK21" s="474"/>
      <c r="AL21" s="474"/>
      <c r="AM21" s="474"/>
      <c r="AN21" s="474"/>
      <c r="AO21" s="474">
        <v>4</v>
      </c>
      <c r="AP21" s="474"/>
      <c r="AQ21" s="474"/>
      <c r="AR21" s="474"/>
      <c r="AS21" s="474"/>
      <c r="AT21" s="474"/>
      <c r="AU21" s="474"/>
      <c r="AV21" s="474"/>
      <c r="AW21" s="474"/>
      <c r="AX21" s="474"/>
      <c r="AY21" s="474"/>
      <c r="AZ21" s="474"/>
      <c r="BA21" s="474"/>
      <c r="BB21" s="474"/>
      <c r="BC21" s="474"/>
      <c r="BD21" s="474"/>
      <c r="BE21" s="474"/>
      <c r="BF21" s="474">
        <v>5</v>
      </c>
      <c r="BG21" s="474"/>
      <c r="BH21" s="474"/>
      <c r="BI21" s="474"/>
      <c r="BJ21" s="474"/>
      <c r="BK21" s="474"/>
      <c r="BL21" s="474"/>
      <c r="BM21" s="474"/>
      <c r="BN21" s="474"/>
      <c r="BO21" s="474"/>
      <c r="BP21" s="474"/>
      <c r="BQ21" s="474"/>
      <c r="BR21" s="474"/>
      <c r="BS21" s="474"/>
      <c r="BT21" s="474"/>
      <c r="BU21" s="474"/>
      <c r="BV21" s="474"/>
      <c r="BW21" s="474"/>
      <c r="BX21" s="474">
        <v>6</v>
      </c>
      <c r="BY21" s="474"/>
      <c r="BZ21" s="474"/>
      <c r="CA21" s="474"/>
      <c r="CB21" s="474"/>
      <c r="CC21" s="474"/>
      <c r="CD21" s="474"/>
      <c r="CE21" s="474"/>
      <c r="CF21" s="474"/>
      <c r="CG21" s="474"/>
      <c r="CH21" s="474"/>
      <c r="CI21" s="474"/>
      <c r="CJ21" s="474"/>
      <c r="CK21" s="474"/>
      <c r="CL21" s="474"/>
      <c r="CM21" s="474"/>
      <c r="CN21" s="474"/>
      <c r="CO21" s="474"/>
      <c r="CP21" s="474"/>
      <c r="CQ21" s="474">
        <v>7</v>
      </c>
      <c r="CR21" s="474"/>
      <c r="CS21" s="474"/>
      <c r="CT21" s="474"/>
      <c r="CU21" s="474"/>
      <c r="CV21" s="474"/>
      <c r="CW21" s="474"/>
      <c r="CX21" s="474"/>
      <c r="CY21" s="474"/>
      <c r="CZ21" s="474"/>
      <c r="DA21" s="474"/>
      <c r="DB21" s="474"/>
      <c r="DC21" s="474"/>
      <c r="DD21" s="474"/>
      <c r="DE21" s="474"/>
      <c r="DF21" s="474"/>
      <c r="DG21" s="474"/>
      <c r="DH21" s="474"/>
      <c r="DI21" s="474">
        <v>8</v>
      </c>
      <c r="DJ21" s="474"/>
      <c r="DK21" s="474"/>
      <c r="DL21" s="474"/>
      <c r="DM21" s="474"/>
      <c r="DN21" s="474"/>
      <c r="DO21" s="474"/>
      <c r="DP21" s="474"/>
      <c r="DQ21" s="474"/>
      <c r="DR21" s="474"/>
      <c r="DS21" s="474"/>
      <c r="DT21" s="474"/>
      <c r="DU21" s="474"/>
      <c r="DV21" s="474"/>
      <c r="DW21" s="474"/>
      <c r="DX21" s="474"/>
      <c r="DY21" s="474">
        <v>9</v>
      </c>
      <c r="DZ21" s="474"/>
      <c r="EA21" s="474"/>
      <c r="EB21" s="474"/>
      <c r="EC21" s="474"/>
      <c r="ED21" s="474"/>
      <c r="EE21" s="474"/>
      <c r="EF21" s="474"/>
      <c r="EG21" s="474"/>
      <c r="EH21" s="474"/>
      <c r="EI21" s="474"/>
      <c r="EJ21" s="474"/>
      <c r="EK21" s="474"/>
      <c r="EL21" s="474"/>
      <c r="EM21" s="474"/>
      <c r="EN21" s="474"/>
      <c r="EO21" s="490">
        <v>10</v>
      </c>
      <c r="EP21" s="490"/>
      <c r="EQ21" s="490"/>
      <c r="ER21" s="490"/>
      <c r="ES21" s="490"/>
      <c r="ET21" s="490"/>
      <c r="EU21" s="490"/>
      <c r="EV21" s="490"/>
      <c r="EW21" s="490"/>
      <c r="EX21" s="490"/>
      <c r="EY21" s="490"/>
      <c r="EZ21" s="490"/>
      <c r="FA21" s="490"/>
      <c r="FB21" s="490"/>
      <c r="FC21" s="490"/>
      <c r="FD21" s="490"/>
      <c r="FE21" s="490"/>
      <c r="FF21" s="55"/>
      <c r="FG21" s="55"/>
      <c r="FH21" s="55"/>
      <c r="FI21" s="55"/>
      <c r="FJ21" s="55"/>
      <c r="FK21" s="55"/>
      <c r="FL21" s="55"/>
      <c r="FM21" s="55"/>
      <c r="FN21" s="55"/>
      <c r="FO21" s="55"/>
    </row>
    <row r="22" spans="1:171" s="58" customFormat="1" ht="15" customHeight="1" x14ac:dyDescent="0.2">
      <c r="A22" s="485" t="s">
        <v>152</v>
      </c>
      <c r="B22" s="485"/>
      <c r="C22" s="485"/>
      <c r="D22" s="485"/>
      <c r="E22" s="485"/>
      <c r="F22" s="485"/>
      <c r="G22" s="486" t="s">
        <v>153</v>
      </c>
      <c r="H22" s="486"/>
      <c r="I22" s="486"/>
      <c r="J22" s="486"/>
      <c r="K22" s="486"/>
      <c r="L22" s="486"/>
      <c r="M22" s="486"/>
      <c r="N22" s="486"/>
      <c r="O22" s="486"/>
      <c r="P22" s="486"/>
      <c r="Q22" s="486"/>
      <c r="R22" s="486"/>
      <c r="S22" s="486"/>
      <c r="T22" s="486"/>
      <c r="U22" s="486"/>
      <c r="V22" s="486"/>
      <c r="W22" s="486"/>
      <c r="X22" s="486"/>
      <c r="Y22" s="487">
        <v>1</v>
      </c>
      <c r="Z22" s="487"/>
      <c r="AA22" s="487"/>
      <c r="AB22" s="487"/>
      <c r="AC22" s="487"/>
      <c r="AD22" s="487"/>
      <c r="AE22" s="487"/>
      <c r="AF22" s="487"/>
      <c r="AG22" s="487"/>
      <c r="AH22" s="487"/>
      <c r="AI22" s="487"/>
      <c r="AJ22" s="487"/>
      <c r="AK22" s="487"/>
      <c r="AL22" s="487"/>
      <c r="AM22" s="487"/>
      <c r="AN22" s="487"/>
      <c r="AO22" s="461"/>
      <c r="AP22" s="461"/>
      <c r="AQ22" s="461"/>
      <c r="AR22" s="461"/>
      <c r="AS22" s="461"/>
      <c r="AT22" s="461"/>
      <c r="AU22" s="461"/>
      <c r="AV22" s="461"/>
      <c r="AW22" s="461"/>
      <c r="AX22" s="461"/>
      <c r="AY22" s="461"/>
      <c r="AZ22" s="461"/>
      <c r="BA22" s="461"/>
      <c r="BB22" s="461"/>
      <c r="BC22" s="461"/>
      <c r="BD22" s="461"/>
      <c r="BE22" s="461"/>
      <c r="BF22" s="461"/>
      <c r="BG22" s="461"/>
      <c r="BH22" s="461"/>
      <c r="BI22" s="461"/>
      <c r="BJ22" s="461"/>
      <c r="BK22" s="461"/>
      <c r="BL22" s="461"/>
      <c r="BM22" s="461"/>
      <c r="BN22" s="461"/>
      <c r="BO22" s="461"/>
      <c r="BP22" s="461"/>
      <c r="BQ22" s="461"/>
      <c r="BR22" s="461"/>
      <c r="BS22" s="461"/>
      <c r="BT22" s="461"/>
      <c r="BU22" s="461"/>
      <c r="BV22" s="461"/>
      <c r="BW22" s="461"/>
      <c r="BX22" s="461"/>
      <c r="BY22" s="461"/>
      <c r="BZ22" s="461"/>
      <c r="CA22" s="461"/>
      <c r="CB22" s="461"/>
      <c r="CC22" s="461"/>
      <c r="CD22" s="461"/>
      <c r="CE22" s="461"/>
      <c r="CF22" s="461"/>
      <c r="CG22" s="461"/>
      <c r="CH22" s="461"/>
      <c r="CI22" s="461"/>
      <c r="CJ22" s="461"/>
      <c r="CK22" s="461"/>
      <c r="CL22" s="461"/>
      <c r="CM22" s="461"/>
      <c r="CN22" s="461"/>
      <c r="CO22" s="461"/>
      <c r="CP22" s="461"/>
      <c r="CQ22" s="461"/>
      <c r="CR22" s="461"/>
      <c r="CS22" s="461"/>
      <c r="CT22" s="461"/>
      <c r="CU22" s="461"/>
      <c r="CV22" s="461"/>
      <c r="CW22" s="461"/>
      <c r="CX22" s="461"/>
      <c r="CY22" s="461"/>
      <c r="CZ22" s="461"/>
      <c r="DA22" s="461"/>
      <c r="DB22" s="461"/>
      <c r="DC22" s="461"/>
      <c r="DD22" s="461"/>
      <c r="DE22" s="461"/>
      <c r="DF22" s="461"/>
      <c r="DG22" s="461"/>
      <c r="DH22" s="461"/>
      <c r="DI22" s="461"/>
      <c r="DJ22" s="461"/>
      <c r="DK22" s="461"/>
      <c r="DL22" s="461"/>
      <c r="DM22" s="461"/>
      <c r="DN22" s="461"/>
      <c r="DO22" s="461"/>
      <c r="DP22" s="461"/>
      <c r="DQ22" s="461"/>
      <c r="DR22" s="461"/>
      <c r="DS22" s="461"/>
      <c r="DT22" s="461"/>
      <c r="DU22" s="461"/>
      <c r="DV22" s="461"/>
      <c r="DW22" s="461"/>
      <c r="DX22" s="461"/>
      <c r="DY22" s="461"/>
      <c r="DZ22" s="461"/>
      <c r="EA22" s="461"/>
      <c r="EB22" s="461"/>
      <c r="EC22" s="461"/>
      <c r="ED22" s="461"/>
      <c r="EE22" s="461"/>
      <c r="EF22" s="461"/>
      <c r="EG22" s="461"/>
      <c r="EH22" s="461"/>
      <c r="EI22" s="461"/>
      <c r="EJ22" s="461"/>
      <c r="EK22" s="461"/>
      <c r="EL22" s="461"/>
      <c r="EM22" s="461"/>
      <c r="EN22" s="461"/>
      <c r="EO22" s="484"/>
      <c r="EP22" s="484"/>
      <c r="EQ22" s="484"/>
      <c r="ER22" s="484"/>
      <c r="ES22" s="484"/>
      <c r="ET22" s="484"/>
      <c r="EU22" s="484"/>
      <c r="EV22" s="484"/>
      <c r="EW22" s="484"/>
      <c r="EX22" s="484"/>
      <c r="EY22" s="484"/>
      <c r="EZ22" s="484"/>
      <c r="FA22" s="484"/>
      <c r="FB22" s="484"/>
      <c r="FC22" s="484"/>
      <c r="FD22" s="484"/>
      <c r="FE22" s="484"/>
      <c r="FF22" s="57"/>
      <c r="FG22" s="57"/>
      <c r="FH22" s="57"/>
      <c r="FI22" s="57"/>
      <c r="FJ22" s="57"/>
      <c r="FK22" s="57"/>
      <c r="FL22" s="57"/>
      <c r="FM22" s="57"/>
      <c r="FN22" s="57"/>
      <c r="FO22" s="57"/>
    </row>
    <row r="23" spans="1:171" s="58" customFormat="1" ht="15" customHeight="1" x14ac:dyDescent="0.2">
      <c r="A23" s="485" t="s">
        <v>154</v>
      </c>
      <c r="B23" s="485"/>
      <c r="C23" s="485"/>
      <c r="D23" s="485"/>
      <c r="E23" s="485"/>
      <c r="F23" s="485"/>
      <c r="G23" s="486" t="s">
        <v>155</v>
      </c>
      <c r="H23" s="486"/>
      <c r="I23" s="486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486"/>
      <c r="X23" s="486"/>
      <c r="Y23" s="487">
        <v>3</v>
      </c>
      <c r="Z23" s="487"/>
      <c r="AA23" s="487"/>
      <c r="AB23" s="487"/>
      <c r="AC23" s="487"/>
      <c r="AD23" s="487"/>
      <c r="AE23" s="487"/>
      <c r="AF23" s="487"/>
      <c r="AG23" s="487"/>
      <c r="AH23" s="487"/>
      <c r="AI23" s="487"/>
      <c r="AJ23" s="487"/>
      <c r="AK23" s="487"/>
      <c r="AL23" s="487"/>
      <c r="AM23" s="487"/>
      <c r="AN23" s="487"/>
      <c r="AO23" s="461"/>
      <c r="AP23" s="461"/>
      <c r="AQ23" s="461"/>
      <c r="AR23" s="461"/>
      <c r="AS23" s="461"/>
      <c r="AT23" s="461"/>
      <c r="AU23" s="461"/>
      <c r="AV23" s="461"/>
      <c r="AW23" s="461"/>
      <c r="AX23" s="461"/>
      <c r="AY23" s="461"/>
      <c r="AZ23" s="461"/>
      <c r="BA23" s="461"/>
      <c r="BB23" s="461"/>
      <c r="BC23" s="461"/>
      <c r="BD23" s="461"/>
      <c r="BE23" s="461"/>
      <c r="BF23" s="491"/>
      <c r="BG23" s="492"/>
      <c r="BH23" s="492"/>
      <c r="BI23" s="492"/>
      <c r="BJ23" s="492"/>
      <c r="BK23" s="492"/>
      <c r="BL23" s="492"/>
      <c r="BM23" s="492"/>
      <c r="BN23" s="492"/>
      <c r="BO23" s="492"/>
      <c r="BP23" s="492"/>
      <c r="BQ23" s="492"/>
      <c r="BR23" s="492"/>
      <c r="BS23" s="492"/>
      <c r="BT23" s="492"/>
      <c r="BU23" s="492"/>
      <c r="BV23" s="492"/>
      <c r="BW23" s="493"/>
      <c r="BX23" s="461"/>
      <c r="BY23" s="461"/>
      <c r="BZ23" s="461"/>
      <c r="CA23" s="461"/>
      <c r="CB23" s="461"/>
      <c r="CC23" s="461"/>
      <c r="CD23" s="461"/>
      <c r="CE23" s="461"/>
      <c r="CF23" s="461"/>
      <c r="CG23" s="461"/>
      <c r="CH23" s="461"/>
      <c r="CI23" s="461"/>
      <c r="CJ23" s="461"/>
      <c r="CK23" s="461"/>
      <c r="CL23" s="461"/>
      <c r="CM23" s="461"/>
      <c r="CN23" s="461"/>
      <c r="CO23" s="461"/>
      <c r="CP23" s="461"/>
      <c r="CQ23" s="461"/>
      <c r="CR23" s="461"/>
      <c r="CS23" s="461"/>
      <c r="CT23" s="461"/>
      <c r="CU23" s="461"/>
      <c r="CV23" s="461"/>
      <c r="CW23" s="461"/>
      <c r="CX23" s="461"/>
      <c r="CY23" s="461"/>
      <c r="CZ23" s="461"/>
      <c r="DA23" s="461"/>
      <c r="DB23" s="461"/>
      <c r="DC23" s="461"/>
      <c r="DD23" s="461"/>
      <c r="DE23" s="461"/>
      <c r="DF23" s="461"/>
      <c r="DG23" s="461"/>
      <c r="DH23" s="461"/>
      <c r="DI23" s="461"/>
      <c r="DJ23" s="461"/>
      <c r="DK23" s="461"/>
      <c r="DL23" s="461"/>
      <c r="DM23" s="461"/>
      <c r="DN23" s="461"/>
      <c r="DO23" s="461"/>
      <c r="DP23" s="461"/>
      <c r="DQ23" s="461"/>
      <c r="DR23" s="461"/>
      <c r="DS23" s="461"/>
      <c r="DT23" s="461"/>
      <c r="DU23" s="461"/>
      <c r="DV23" s="461"/>
      <c r="DW23" s="461"/>
      <c r="DX23" s="461"/>
      <c r="DY23" s="461"/>
      <c r="DZ23" s="461"/>
      <c r="EA23" s="461"/>
      <c r="EB23" s="461"/>
      <c r="EC23" s="461"/>
      <c r="ED23" s="461"/>
      <c r="EE23" s="461"/>
      <c r="EF23" s="461"/>
      <c r="EG23" s="461"/>
      <c r="EH23" s="461"/>
      <c r="EI23" s="461"/>
      <c r="EJ23" s="461"/>
      <c r="EK23" s="461"/>
      <c r="EL23" s="461"/>
      <c r="EM23" s="461"/>
      <c r="EN23" s="461"/>
      <c r="EO23" s="484"/>
      <c r="EP23" s="484"/>
      <c r="EQ23" s="484"/>
      <c r="ER23" s="484"/>
      <c r="ES23" s="484"/>
      <c r="ET23" s="484"/>
      <c r="EU23" s="484"/>
      <c r="EV23" s="484"/>
      <c r="EW23" s="484"/>
      <c r="EX23" s="484"/>
      <c r="EY23" s="484"/>
      <c r="EZ23" s="484"/>
      <c r="FA23" s="484"/>
      <c r="FB23" s="484"/>
      <c r="FC23" s="484"/>
      <c r="FD23" s="484"/>
      <c r="FE23" s="484"/>
      <c r="FF23" s="57"/>
      <c r="FG23" s="57"/>
      <c r="FH23" s="57"/>
      <c r="FI23" s="57"/>
      <c r="FJ23" s="57"/>
      <c r="FK23" s="57"/>
      <c r="FL23" s="57"/>
      <c r="FM23" s="57"/>
      <c r="FN23" s="57"/>
      <c r="FO23" s="57"/>
    </row>
    <row r="24" spans="1:171" s="58" customFormat="1" ht="30" customHeight="1" x14ac:dyDescent="0.2">
      <c r="A24" s="485" t="s">
        <v>156</v>
      </c>
      <c r="B24" s="485"/>
      <c r="C24" s="485"/>
      <c r="D24" s="485"/>
      <c r="E24" s="485"/>
      <c r="F24" s="485"/>
      <c r="G24" s="486" t="s">
        <v>434</v>
      </c>
      <c r="H24" s="486"/>
      <c r="I24" s="486"/>
      <c r="J24" s="486"/>
      <c r="K24" s="486"/>
      <c r="L24" s="486"/>
      <c r="M24" s="486"/>
      <c r="N24" s="486"/>
      <c r="O24" s="486"/>
      <c r="P24" s="486"/>
      <c r="Q24" s="486"/>
      <c r="R24" s="486"/>
      <c r="S24" s="486"/>
      <c r="T24" s="486"/>
      <c r="U24" s="486"/>
      <c r="V24" s="486"/>
      <c r="W24" s="486"/>
      <c r="X24" s="486"/>
      <c r="Y24" s="487">
        <v>0.5</v>
      </c>
      <c r="Z24" s="487"/>
      <c r="AA24" s="487"/>
      <c r="AB24" s="487"/>
      <c r="AC24" s="487"/>
      <c r="AD24" s="487"/>
      <c r="AE24" s="487"/>
      <c r="AF24" s="487"/>
      <c r="AG24" s="487"/>
      <c r="AH24" s="487"/>
      <c r="AI24" s="487"/>
      <c r="AJ24" s="487"/>
      <c r="AK24" s="487"/>
      <c r="AL24" s="487"/>
      <c r="AM24" s="487"/>
      <c r="AN24" s="487"/>
      <c r="AO24" s="461"/>
      <c r="AP24" s="461"/>
      <c r="AQ24" s="461"/>
      <c r="AR24" s="461"/>
      <c r="AS24" s="461"/>
      <c r="AT24" s="461"/>
      <c r="AU24" s="461"/>
      <c r="AV24" s="461"/>
      <c r="AW24" s="461"/>
      <c r="AX24" s="461"/>
      <c r="AY24" s="461"/>
      <c r="AZ24" s="461"/>
      <c r="BA24" s="461"/>
      <c r="BB24" s="461"/>
      <c r="BC24" s="461"/>
      <c r="BD24" s="461"/>
      <c r="BE24" s="461"/>
      <c r="BF24" s="491"/>
      <c r="BG24" s="492"/>
      <c r="BH24" s="492"/>
      <c r="BI24" s="492"/>
      <c r="BJ24" s="492"/>
      <c r="BK24" s="492"/>
      <c r="BL24" s="492"/>
      <c r="BM24" s="492"/>
      <c r="BN24" s="492"/>
      <c r="BO24" s="492"/>
      <c r="BP24" s="492"/>
      <c r="BQ24" s="492"/>
      <c r="BR24" s="492"/>
      <c r="BS24" s="492"/>
      <c r="BT24" s="492"/>
      <c r="BU24" s="492"/>
      <c r="BV24" s="492"/>
      <c r="BW24" s="493"/>
      <c r="BX24" s="461"/>
      <c r="BY24" s="461"/>
      <c r="BZ24" s="461"/>
      <c r="CA24" s="461"/>
      <c r="CB24" s="461"/>
      <c r="CC24" s="461"/>
      <c r="CD24" s="461"/>
      <c r="CE24" s="461"/>
      <c r="CF24" s="461"/>
      <c r="CG24" s="461"/>
      <c r="CH24" s="461"/>
      <c r="CI24" s="461"/>
      <c r="CJ24" s="461"/>
      <c r="CK24" s="461"/>
      <c r="CL24" s="461"/>
      <c r="CM24" s="461"/>
      <c r="CN24" s="461"/>
      <c r="CO24" s="461"/>
      <c r="CP24" s="461"/>
      <c r="CQ24" s="461"/>
      <c r="CR24" s="461"/>
      <c r="CS24" s="461"/>
      <c r="CT24" s="461"/>
      <c r="CU24" s="461"/>
      <c r="CV24" s="461"/>
      <c r="CW24" s="461"/>
      <c r="CX24" s="461"/>
      <c r="CY24" s="461"/>
      <c r="CZ24" s="461"/>
      <c r="DA24" s="461"/>
      <c r="DB24" s="461"/>
      <c r="DC24" s="461"/>
      <c r="DD24" s="461"/>
      <c r="DE24" s="461"/>
      <c r="DF24" s="461"/>
      <c r="DG24" s="461"/>
      <c r="DH24" s="461"/>
      <c r="DI24" s="461"/>
      <c r="DJ24" s="461"/>
      <c r="DK24" s="461"/>
      <c r="DL24" s="461"/>
      <c r="DM24" s="461"/>
      <c r="DN24" s="461"/>
      <c r="DO24" s="461"/>
      <c r="DP24" s="461"/>
      <c r="DQ24" s="461"/>
      <c r="DR24" s="461"/>
      <c r="DS24" s="461"/>
      <c r="DT24" s="461"/>
      <c r="DU24" s="461"/>
      <c r="DV24" s="461"/>
      <c r="DW24" s="461"/>
      <c r="DX24" s="461"/>
      <c r="DY24" s="461"/>
      <c r="DZ24" s="461"/>
      <c r="EA24" s="461"/>
      <c r="EB24" s="461"/>
      <c r="EC24" s="461"/>
      <c r="ED24" s="461"/>
      <c r="EE24" s="461"/>
      <c r="EF24" s="461"/>
      <c r="EG24" s="461"/>
      <c r="EH24" s="461"/>
      <c r="EI24" s="461"/>
      <c r="EJ24" s="461"/>
      <c r="EK24" s="461"/>
      <c r="EL24" s="461"/>
      <c r="EM24" s="461"/>
      <c r="EN24" s="461"/>
      <c r="EO24" s="484"/>
      <c r="EP24" s="484"/>
      <c r="EQ24" s="484"/>
      <c r="ER24" s="484"/>
      <c r="ES24" s="484"/>
      <c r="ET24" s="484"/>
      <c r="EU24" s="484"/>
      <c r="EV24" s="484"/>
      <c r="EW24" s="484"/>
      <c r="EX24" s="484"/>
      <c r="EY24" s="484"/>
      <c r="EZ24" s="484"/>
      <c r="FA24" s="484"/>
      <c r="FB24" s="484"/>
      <c r="FC24" s="484"/>
      <c r="FD24" s="484"/>
      <c r="FE24" s="484"/>
      <c r="FF24" s="57"/>
      <c r="FG24" s="57"/>
      <c r="FH24" s="57"/>
      <c r="FI24" s="57"/>
      <c r="FJ24" s="57"/>
      <c r="FK24" s="57"/>
      <c r="FL24" s="57"/>
      <c r="FM24" s="57"/>
      <c r="FN24" s="57"/>
      <c r="FO24" s="57"/>
    </row>
    <row r="25" spans="1:171" s="58" customFormat="1" ht="30" customHeight="1" x14ac:dyDescent="0.2">
      <c r="A25" s="485" t="s">
        <v>158</v>
      </c>
      <c r="B25" s="485"/>
      <c r="C25" s="485"/>
      <c r="D25" s="485"/>
      <c r="E25" s="485"/>
      <c r="F25" s="485"/>
      <c r="G25" s="486" t="s">
        <v>157</v>
      </c>
      <c r="H25" s="486"/>
      <c r="I25" s="486"/>
      <c r="J25" s="486"/>
      <c r="K25" s="486"/>
      <c r="L25" s="486"/>
      <c r="M25" s="486"/>
      <c r="N25" s="486"/>
      <c r="O25" s="486"/>
      <c r="P25" s="486"/>
      <c r="Q25" s="486"/>
      <c r="R25" s="486"/>
      <c r="S25" s="486"/>
      <c r="T25" s="486"/>
      <c r="U25" s="486"/>
      <c r="V25" s="486"/>
      <c r="W25" s="486"/>
      <c r="X25" s="486"/>
      <c r="Y25" s="487">
        <v>2.7</v>
      </c>
      <c r="Z25" s="487"/>
      <c r="AA25" s="487"/>
      <c r="AB25" s="487"/>
      <c r="AC25" s="487"/>
      <c r="AD25" s="487"/>
      <c r="AE25" s="487"/>
      <c r="AF25" s="487"/>
      <c r="AG25" s="487"/>
      <c r="AH25" s="487"/>
      <c r="AI25" s="487"/>
      <c r="AJ25" s="487"/>
      <c r="AK25" s="487"/>
      <c r="AL25" s="487"/>
      <c r="AM25" s="487"/>
      <c r="AN25" s="487"/>
      <c r="AO25" s="461"/>
      <c r="AP25" s="461"/>
      <c r="AQ25" s="461"/>
      <c r="AR25" s="461"/>
      <c r="AS25" s="461"/>
      <c r="AT25" s="461"/>
      <c r="AU25" s="461"/>
      <c r="AV25" s="461"/>
      <c r="AW25" s="461"/>
      <c r="AX25" s="461"/>
      <c r="AY25" s="461"/>
      <c r="AZ25" s="461"/>
      <c r="BA25" s="461"/>
      <c r="BB25" s="461"/>
      <c r="BC25" s="461"/>
      <c r="BD25" s="461"/>
      <c r="BE25" s="461"/>
      <c r="BF25" s="491"/>
      <c r="BG25" s="492"/>
      <c r="BH25" s="492"/>
      <c r="BI25" s="492"/>
      <c r="BJ25" s="492"/>
      <c r="BK25" s="492"/>
      <c r="BL25" s="492"/>
      <c r="BM25" s="492"/>
      <c r="BN25" s="492"/>
      <c r="BO25" s="492"/>
      <c r="BP25" s="492"/>
      <c r="BQ25" s="492"/>
      <c r="BR25" s="492"/>
      <c r="BS25" s="492"/>
      <c r="BT25" s="492"/>
      <c r="BU25" s="492"/>
      <c r="BV25" s="492"/>
      <c r="BW25" s="493"/>
      <c r="BX25" s="461"/>
      <c r="BY25" s="461"/>
      <c r="BZ25" s="461"/>
      <c r="CA25" s="461"/>
      <c r="CB25" s="461"/>
      <c r="CC25" s="461"/>
      <c r="CD25" s="461"/>
      <c r="CE25" s="461"/>
      <c r="CF25" s="461"/>
      <c r="CG25" s="461"/>
      <c r="CH25" s="461"/>
      <c r="CI25" s="461"/>
      <c r="CJ25" s="461"/>
      <c r="CK25" s="461"/>
      <c r="CL25" s="461"/>
      <c r="CM25" s="461"/>
      <c r="CN25" s="461"/>
      <c r="CO25" s="461"/>
      <c r="CP25" s="461"/>
      <c r="CQ25" s="461"/>
      <c r="CR25" s="461"/>
      <c r="CS25" s="461"/>
      <c r="CT25" s="461"/>
      <c r="CU25" s="461"/>
      <c r="CV25" s="461"/>
      <c r="CW25" s="461"/>
      <c r="CX25" s="461"/>
      <c r="CY25" s="461"/>
      <c r="CZ25" s="461"/>
      <c r="DA25" s="461"/>
      <c r="DB25" s="461"/>
      <c r="DC25" s="461"/>
      <c r="DD25" s="461"/>
      <c r="DE25" s="461"/>
      <c r="DF25" s="461"/>
      <c r="DG25" s="461"/>
      <c r="DH25" s="461"/>
      <c r="DI25" s="461"/>
      <c r="DJ25" s="461"/>
      <c r="DK25" s="461"/>
      <c r="DL25" s="461"/>
      <c r="DM25" s="461"/>
      <c r="DN25" s="461"/>
      <c r="DO25" s="461"/>
      <c r="DP25" s="461"/>
      <c r="DQ25" s="461"/>
      <c r="DR25" s="461"/>
      <c r="DS25" s="461"/>
      <c r="DT25" s="461"/>
      <c r="DU25" s="461"/>
      <c r="DV25" s="461"/>
      <c r="DW25" s="461"/>
      <c r="DX25" s="461"/>
      <c r="DY25" s="461"/>
      <c r="DZ25" s="461"/>
      <c r="EA25" s="461"/>
      <c r="EB25" s="461"/>
      <c r="EC25" s="461"/>
      <c r="ED25" s="461"/>
      <c r="EE25" s="461"/>
      <c r="EF25" s="461"/>
      <c r="EG25" s="461"/>
      <c r="EH25" s="461"/>
      <c r="EI25" s="461"/>
      <c r="EJ25" s="461"/>
      <c r="EK25" s="461"/>
      <c r="EL25" s="461"/>
      <c r="EM25" s="461"/>
      <c r="EN25" s="461"/>
      <c r="EO25" s="484"/>
      <c r="EP25" s="484"/>
      <c r="EQ25" s="484"/>
      <c r="ER25" s="484"/>
      <c r="ES25" s="484"/>
      <c r="ET25" s="484"/>
      <c r="EU25" s="484"/>
      <c r="EV25" s="484"/>
      <c r="EW25" s="484"/>
      <c r="EX25" s="484"/>
      <c r="EY25" s="484"/>
      <c r="EZ25" s="484"/>
      <c r="FA25" s="484"/>
      <c r="FB25" s="484"/>
      <c r="FC25" s="484"/>
      <c r="FD25" s="484"/>
      <c r="FE25" s="484"/>
      <c r="FF25" s="57"/>
      <c r="FG25" s="57"/>
      <c r="FH25" s="57"/>
      <c r="FI25" s="57"/>
      <c r="FJ25" s="57"/>
      <c r="FK25" s="57"/>
      <c r="FL25" s="57"/>
      <c r="FM25" s="57"/>
      <c r="FN25" s="57"/>
      <c r="FO25" s="57"/>
    </row>
    <row r="26" spans="1:171" s="58" customFormat="1" ht="27.75" customHeight="1" x14ac:dyDescent="0.2">
      <c r="A26" s="485" t="s">
        <v>160</v>
      </c>
      <c r="B26" s="485"/>
      <c r="C26" s="485"/>
      <c r="D26" s="485"/>
      <c r="E26" s="485"/>
      <c r="F26" s="485"/>
      <c r="G26" s="486" t="s">
        <v>159</v>
      </c>
      <c r="H26" s="486"/>
      <c r="I26" s="486"/>
      <c r="J26" s="486"/>
      <c r="K26" s="486"/>
      <c r="L26" s="486"/>
      <c r="M26" s="486"/>
      <c r="N26" s="486"/>
      <c r="O26" s="486"/>
      <c r="P26" s="486"/>
      <c r="Q26" s="486"/>
      <c r="R26" s="486"/>
      <c r="S26" s="486"/>
      <c r="T26" s="486"/>
      <c r="U26" s="486"/>
      <c r="V26" s="486"/>
      <c r="W26" s="486"/>
      <c r="X26" s="486"/>
      <c r="Y26" s="487">
        <v>1</v>
      </c>
      <c r="Z26" s="487"/>
      <c r="AA26" s="487"/>
      <c r="AB26" s="487"/>
      <c r="AC26" s="487"/>
      <c r="AD26" s="487"/>
      <c r="AE26" s="487"/>
      <c r="AF26" s="487"/>
      <c r="AG26" s="487"/>
      <c r="AH26" s="487"/>
      <c r="AI26" s="487"/>
      <c r="AJ26" s="487"/>
      <c r="AK26" s="487"/>
      <c r="AL26" s="487"/>
      <c r="AM26" s="487"/>
      <c r="AN26" s="487"/>
      <c r="AO26" s="461"/>
      <c r="AP26" s="461"/>
      <c r="AQ26" s="461"/>
      <c r="AR26" s="461"/>
      <c r="AS26" s="461"/>
      <c r="AT26" s="461"/>
      <c r="AU26" s="461"/>
      <c r="AV26" s="461"/>
      <c r="AW26" s="461"/>
      <c r="AX26" s="461"/>
      <c r="AY26" s="461"/>
      <c r="AZ26" s="461"/>
      <c r="BA26" s="461"/>
      <c r="BB26" s="461"/>
      <c r="BC26" s="461"/>
      <c r="BD26" s="461"/>
      <c r="BE26" s="461"/>
      <c r="BF26" s="461"/>
      <c r="BG26" s="461"/>
      <c r="BH26" s="461"/>
      <c r="BI26" s="461"/>
      <c r="BJ26" s="461"/>
      <c r="BK26" s="461"/>
      <c r="BL26" s="461"/>
      <c r="BM26" s="461"/>
      <c r="BN26" s="461"/>
      <c r="BO26" s="461"/>
      <c r="BP26" s="461"/>
      <c r="BQ26" s="461"/>
      <c r="BR26" s="461"/>
      <c r="BS26" s="461"/>
      <c r="BT26" s="461"/>
      <c r="BU26" s="461"/>
      <c r="BV26" s="461"/>
      <c r="BW26" s="461"/>
      <c r="BX26" s="461"/>
      <c r="BY26" s="461"/>
      <c r="BZ26" s="461"/>
      <c r="CA26" s="461"/>
      <c r="CB26" s="461"/>
      <c r="CC26" s="461"/>
      <c r="CD26" s="461"/>
      <c r="CE26" s="461"/>
      <c r="CF26" s="461"/>
      <c r="CG26" s="461"/>
      <c r="CH26" s="461"/>
      <c r="CI26" s="461"/>
      <c r="CJ26" s="461"/>
      <c r="CK26" s="461"/>
      <c r="CL26" s="461"/>
      <c r="CM26" s="461"/>
      <c r="CN26" s="461"/>
      <c r="CO26" s="461"/>
      <c r="CP26" s="461"/>
      <c r="CQ26" s="461"/>
      <c r="CR26" s="461"/>
      <c r="CS26" s="461"/>
      <c r="CT26" s="461"/>
      <c r="CU26" s="461"/>
      <c r="CV26" s="461"/>
      <c r="CW26" s="461"/>
      <c r="CX26" s="461"/>
      <c r="CY26" s="461"/>
      <c r="CZ26" s="461"/>
      <c r="DA26" s="461"/>
      <c r="DB26" s="461"/>
      <c r="DC26" s="461"/>
      <c r="DD26" s="461"/>
      <c r="DE26" s="461"/>
      <c r="DF26" s="461"/>
      <c r="DG26" s="461"/>
      <c r="DH26" s="461"/>
      <c r="DI26" s="461"/>
      <c r="DJ26" s="461"/>
      <c r="DK26" s="461"/>
      <c r="DL26" s="461"/>
      <c r="DM26" s="461"/>
      <c r="DN26" s="461"/>
      <c r="DO26" s="461"/>
      <c r="DP26" s="461"/>
      <c r="DQ26" s="461"/>
      <c r="DR26" s="461"/>
      <c r="DS26" s="461"/>
      <c r="DT26" s="461"/>
      <c r="DU26" s="461"/>
      <c r="DV26" s="461"/>
      <c r="DW26" s="461"/>
      <c r="DX26" s="461"/>
      <c r="DY26" s="461"/>
      <c r="DZ26" s="461"/>
      <c r="EA26" s="461"/>
      <c r="EB26" s="461"/>
      <c r="EC26" s="461"/>
      <c r="ED26" s="461"/>
      <c r="EE26" s="461"/>
      <c r="EF26" s="461"/>
      <c r="EG26" s="461"/>
      <c r="EH26" s="461"/>
      <c r="EI26" s="461"/>
      <c r="EJ26" s="461"/>
      <c r="EK26" s="461"/>
      <c r="EL26" s="461"/>
      <c r="EM26" s="461"/>
      <c r="EN26" s="461"/>
      <c r="EO26" s="484"/>
      <c r="EP26" s="484"/>
      <c r="EQ26" s="484"/>
      <c r="ER26" s="484"/>
      <c r="ES26" s="484"/>
      <c r="ET26" s="484"/>
      <c r="EU26" s="484"/>
      <c r="EV26" s="484"/>
      <c r="EW26" s="484"/>
      <c r="EX26" s="484"/>
      <c r="EY26" s="484"/>
      <c r="EZ26" s="484"/>
      <c r="FA26" s="484"/>
      <c r="FB26" s="484"/>
      <c r="FC26" s="484"/>
      <c r="FD26" s="484"/>
      <c r="FE26" s="484"/>
      <c r="FF26" s="57"/>
      <c r="FG26" s="57"/>
      <c r="FH26" s="57"/>
      <c r="FI26" s="57"/>
      <c r="FJ26" s="57"/>
      <c r="FK26" s="57"/>
      <c r="FL26" s="57"/>
      <c r="FM26" s="57"/>
      <c r="FN26" s="57"/>
      <c r="FO26" s="57"/>
    </row>
    <row r="27" spans="1:171" s="58" customFormat="1" ht="27" customHeight="1" x14ac:dyDescent="0.2">
      <c r="A27" s="485" t="s">
        <v>162</v>
      </c>
      <c r="B27" s="485"/>
      <c r="C27" s="485"/>
      <c r="D27" s="485"/>
      <c r="E27" s="485"/>
      <c r="F27" s="485"/>
      <c r="G27" s="486" t="s">
        <v>161</v>
      </c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94">
        <f>0.7-0.7</f>
        <v>0</v>
      </c>
      <c r="Z27" s="494"/>
      <c r="AA27" s="494"/>
      <c r="AB27" s="494"/>
      <c r="AC27" s="494"/>
      <c r="AD27" s="494"/>
      <c r="AE27" s="494"/>
      <c r="AF27" s="494"/>
      <c r="AG27" s="494"/>
      <c r="AH27" s="494"/>
      <c r="AI27" s="494"/>
      <c r="AJ27" s="494"/>
      <c r="AK27" s="494"/>
      <c r="AL27" s="494"/>
      <c r="AM27" s="494"/>
      <c r="AN27" s="494"/>
      <c r="AO27" s="461"/>
      <c r="AP27" s="461"/>
      <c r="AQ27" s="461"/>
      <c r="AR27" s="461"/>
      <c r="AS27" s="461"/>
      <c r="AT27" s="461"/>
      <c r="AU27" s="461"/>
      <c r="AV27" s="461"/>
      <c r="AW27" s="461"/>
      <c r="AX27" s="461"/>
      <c r="AY27" s="461"/>
      <c r="AZ27" s="461"/>
      <c r="BA27" s="461"/>
      <c r="BB27" s="461"/>
      <c r="BC27" s="461"/>
      <c r="BD27" s="461"/>
      <c r="BE27" s="461"/>
      <c r="BF27" s="461"/>
      <c r="BG27" s="461"/>
      <c r="BH27" s="461"/>
      <c r="BI27" s="461"/>
      <c r="BJ27" s="461"/>
      <c r="BK27" s="461"/>
      <c r="BL27" s="461"/>
      <c r="BM27" s="461"/>
      <c r="BN27" s="461"/>
      <c r="BO27" s="461"/>
      <c r="BP27" s="461"/>
      <c r="BQ27" s="461"/>
      <c r="BR27" s="461"/>
      <c r="BS27" s="461"/>
      <c r="BT27" s="461"/>
      <c r="BU27" s="461"/>
      <c r="BV27" s="461"/>
      <c r="BW27" s="461"/>
      <c r="BX27" s="461"/>
      <c r="BY27" s="461"/>
      <c r="BZ27" s="461"/>
      <c r="CA27" s="461"/>
      <c r="CB27" s="461"/>
      <c r="CC27" s="461"/>
      <c r="CD27" s="461"/>
      <c r="CE27" s="461"/>
      <c r="CF27" s="461"/>
      <c r="CG27" s="461"/>
      <c r="CH27" s="461"/>
      <c r="CI27" s="461"/>
      <c r="CJ27" s="461"/>
      <c r="CK27" s="461"/>
      <c r="CL27" s="461"/>
      <c r="CM27" s="461"/>
      <c r="CN27" s="461"/>
      <c r="CO27" s="461"/>
      <c r="CP27" s="461"/>
      <c r="CQ27" s="461"/>
      <c r="CR27" s="461"/>
      <c r="CS27" s="461"/>
      <c r="CT27" s="461"/>
      <c r="CU27" s="461"/>
      <c r="CV27" s="461"/>
      <c r="CW27" s="461"/>
      <c r="CX27" s="461"/>
      <c r="CY27" s="461"/>
      <c r="CZ27" s="461"/>
      <c r="DA27" s="461"/>
      <c r="DB27" s="461"/>
      <c r="DC27" s="461"/>
      <c r="DD27" s="461"/>
      <c r="DE27" s="461"/>
      <c r="DF27" s="461"/>
      <c r="DG27" s="461"/>
      <c r="DH27" s="461"/>
      <c r="DI27" s="461"/>
      <c r="DJ27" s="461"/>
      <c r="DK27" s="461"/>
      <c r="DL27" s="461"/>
      <c r="DM27" s="461"/>
      <c r="DN27" s="461"/>
      <c r="DO27" s="461"/>
      <c r="DP27" s="461"/>
      <c r="DQ27" s="461"/>
      <c r="DR27" s="461"/>
      <c r="DS27" s="461"/>
      <c r="DT27" s="461"/>
      <c r="DU27" s="461"/>
      <c r="DV27" s="461"/>
      <c r="DW27" s="461"/>
      <c r="DX27" s="461"/>
      <c r="DY27" s="461"/>
      <c r="DZ27" s="461"/>
      <c r="EA27" s="461"/>
      <c r="EB27" s="461"/>
      <c r="EC27" s="461"/>
      <c r="ED27" s="461"/>
      <c r="EE27" s="461"/>
      <c r="EF27" s="461"/>
      <c r="EG27" s="461"/>
      <c r="EH27" s="461"/>
      <c r="EI27" s="461"/>
      <c r="EJ27" s="461"/>
      <c r="EK27" s="461"/>
      <c r="EL27" s="461"/>
      <c r="EM27" s="461"/>
      <c r="EN27" s="461"/>
      <c r="EO27" s="484"/>
      <c r="EP27" s="484"/>
      <c r="EQ27" s="484"/>
      <c r="ER27" s="484"/>
      <c r="ES27" s="484"/>
      <c r="ET27" s="484"/>
      <c r="EU27" s="484"/>
      <c r="EV27" s="484"/>
      <c r="EW27" s="484"/>
      <c r="EX27" s="484"/>
      <c r="EY27" s="484"/>
      <c r="EZ27" s="484"/>
      <c r="FA27" s="484"/>
      <c r="FB27" s="484"/>
      <c r="FC27" s="484"/>
      <c r="FD27" s="484"/>
      <c r="FE27" s="484"/>
      <c r="FF27" s="57"/>
      <c r="FG27" s="57"/>
      <c r="FH27" s="57"/>
      <c r="FI27" s="57"/>
      <c r="FJ27" s="57"/>
      <c r="FK27" s="57"/>
      <c r="FL27" s="57"/>
      <c r="FM27" s="57"/>
      <c r="FN27" s="57"/>
      <c r="FO27" s="57"/>
    </row>
    <row r="28" spans="1:171" s="58" customFormat="1" ht="15" customHeight="1" x14ac:dyDescent="0.2">
      <c r="A28" s="485" t="s">
        <v>164</v>
      </c>
      <c r="B28" s="485"/>
      <c r="C28" s="485"/>
      <c r="D28" s="485"/>
      <c r="E28" s="485"/>
      <c r="F28" s="485"/>
      <c r="G28" s="486" t="s">
        <v>163</v>
      </c>
      <c r="H28" s="486"/>
      <c r="I28" s="486"/>
      <c r="J28" s="486"/>
      <c r="K28" s="486"/>
      <c r="L28" s="486"/>
      <c r="M28" s="486"/>
      <c r="N28" s="486"/>
      <c r="O28" s="486"/>
      <c r="P28" s="486"/>
      <c r="Q28" s="486"/>
      <c r="R28" s="486"/>
      <c r="S28" s="486"/>
      <c r="T28" s="486"/>
      <c r="U28" s="486"/>
      <c r="V28" s="486"/>
      <c r="W28" s="486"/>
      <c r="X28" s="486"/>
      <c r="Y28" s="487">
        <v>1</v>
      </c>
      <c r="Z28" s="487"/>
      <c r="AA28" s="487"/>
      <c r="AB28" s="487"/>
      <c r="AC28" s="487"/>
      <c r="AD28" s="487"/>
      <c r="AE28" s="487"/>
      <c r="AF28" s="487"/>
      <c r="AG28" s="487"/>
      <c r="AH28" s="487"/>
      <c r="AI28" s="487"/>
      <c r="AJ28" s="487"/>
      <c r="AK28" s="487"/>
      <c r="AL28" s="487"/>
      <c r="AM28" s="487"/>
      <c r="AN28" s="487"/>
      <c r="AO28" s="461"/>
      <c r="AP28" s="461"/>
      <c r="AQ28" s="461"/>
      <c r="AR28" s="461"/>
      <c r="AS28" s="461"/>
      <c r="AT28" s="461"/>
      <c r="AU28" s="461"/>
      <c r="AV28" s="461"/>
      <c r="AW28" s="461"/>
      <c r="AX28" s="461"/>
      <c r="AY28" s="461"/>
      <c r="AZ28" s="461"/>
      <c r="BA28" s="461"/>
      <c r="BB28" s="461"/>
      <c r="BC28" s="461"/>
      <c r="BD28" s="461"/>
      <c r="BE28" s="461"/>
      <c r="BF28" s="461"/>
      <c r="BG28" s="461"/>
      <c r="BH28" s="461"/>
      <c r="BI28" s="461"/>
      <c r="BJ28" s="461"/>
      <c r="BK28" s="461"/>
      <c r="BL28" s="461"/>
      <c r="BM28" s="461"/>
      <c r="BN28" s="461"/>
      <c r="BO28" s="461"/>
      <c r="BP28" s="461"/>
      <c r="BQ28" s="461"/>
      <c r="BR28" s="461"/>
      <c r="BS28" s="461"/>
      <c r="BT28" s="461"/>
      <c r="BU28" s="461"/>
      <c r="BV28" s="461"/>
      <c r="BW28" s="461"/>
      <c r="BX28" s="461"/>
      <c r="BY28" s="461"/>
      <c r="BZ28" s="461"/>
      <c r="CA28" s="461"/>
      <c r="CB28" s="461"/>
      <c r="CC28" s="461"/>
      <c r="CD28" s="461"/>
      <c r="CE28" s="461"/>
      <c r="CF28" s="461"/>
      <c r="CG28" s="461"/>
      <c r="CH28" s="461"/>
      <c r="CI28" s="461"/>
      <c r="CJ28" s="461"/>
      <c r="CK28" s="461"/>
      <c r="CL28" s="461"/>
      <c r="CM28" s="461"/>
      <c r="CN28" s="461"/>
      <c r="CO28" s="461"/>
      <c r="CP28" s="461"/>
      <c r="CQ28" s="461"/>
      <c r="CR28" s="461"/>
      <c r="CS28" s="461"/>
      <c r="CT28" s="461"/>
      <c r="CU28" s="461"/>
      <c r="CV28" s="461"/>
      <c r="CW28" s="461"/>
      <c r="CX28" s="461"/>
      <c r="CY28" s="461"/>
      <c r="CZ28" s="461"/>
      <c r="DA28" s="461"/>
      <c r="DB28" s="461"/>
      <c r="DC28" s="461"/>
      <c r="DD28" s="461"/>
      <c r="DE28" s="461"/>
      <c r="DF28" s="461"/>
      <c r="DG28" s="461"/>
      <c r="DH28" s="461"/>
      <c r="DI28" s="461"/>
      <c r="DJ28" s="461"/>
      <c r="DK28" s="461"/>
      <c r="DL28" s="461"/>
      <c r="DM28" s="461"/>
      <c r="DN28" s="461"/>
      <c r="DO28" s="461"/>
      <c r="DP28" s="461"/>
      <c r="DQ28" s="461"/>
      <c r="DR28" s="461"/>
      <c r="DS28" s="461"/>
      <c r="DT28" s="461"/>
      <c r="DU28" s="461"/>
      <c r="DV28" s="461"/>
      <c r="DW28" s="461"/>
      <c r="DX28" s="461"/>
      <c r="DY28" s="461"/>
      <c r="DZ28" s="461"/>
      <c r="EA28" s="461"/>
      <c r="EB28" s="461"/>
      <c r="EC28" s="461"/>
      <c r="ED28" s="461"/>
      <c r="EE28" s="461"/>
      <c r="EF28" s="461"/>
      <c r="EG28" s="461"/>
      <c r="EH28" s="461"/>
      <c r="EI28" s="461"/>
      <c r="EJ28" s="461"/>
      <c r="EK28" s="461"/>
      <c r="EL28" s="461"/>
      <c r="EM28" s="461"/>
      <c r="EN28" s="461"/>
      <c r="EO28" s="484"/>
      <c r="EP28" s="484"/>
      <c r="EQ28" s="484"/>
      <c r="ER28" s="484"/>
      <c r="ES28" s="484"/>
      <c r="ET28" s="484"/>
      <c r="EU28" s="484"/>
      <c r="EV28" s="484"/>
      <c r="EW28" s="484"/>
      <c r="EX28" s="484"/>
      <c r="EY28" s="484"/>
      <c r="EZ28" s="484"/>
      <c r="FA28" s="484"/>
      <c r="FB28" s="484"/>
      <c r="FC28" s="484"/>
      <c r="FD28" s="484"/>
      <c r="FE28" s="484"/>
      <c r="FF28" s="57"/>
      <c r="FG28" s="57"/>
      <c r="FH28" s="57"/>
      <c r="FI28" s="57"/>
      <c r="FJ28" s="57"/>
      <c r="FK28" s="57"/>
      <c r="FL28" s="57"/>
      <c r="FM28" s="57"/>
      <c r="FN28" s="57"/>
      <c r="FO28" s="57"/>
    </row>
    <row r="29" spans="1:171" s="58" customFormat="1" ht="15" customHeight="1" x14ac:dyDescent="0.2">
      <c r="A29" s="485" t="s">
        <v>166</v>
      </c>
      <c r="B29" s="485"/>
      <c r="C29" s="485"/>
      <c r="D29" s="485"/>
      <c r="E29" s="485"/>
      <c r="F29" s="485"/>
      <c r="G29" s="486" t="s">
        <v>165</v>
      </c>
      <c r="H29" s="486"/>
      <c r="I29" s="486"/>
      <c r="J29" s="486"/>
      <c r="K29" s="486"/>
      <c r="L29" s="486"/>
      <c r="M29" s="486"/>
      <c r="N29" s="486"/>
      <c r="O29" s="486"/>
      <c r="P29" s="486"/>
      <c r="Q29" s="486"/>
      <c r="R29" s="486"/>
      <c r="S29" s="486"/>
      <c r="T29" s="486"/>
      <c r="U29" s="486"/>
      <c r="V29" s="486"/>
      <c r="W29" s="486"/>
      <c r="X29" s="486"/>
      <c r="Y29" s="487">
        <v>1</v>
      </c>
      <c r="Z29" s="487"/>
      <c r="AA29" s="487"/>
      <c r="AB29" s="487"/>
      <c r="AC29" s="487"/>
      <c r="AD29" s="487"/>
      <c r="AE29" s="487"/>
      <c r="AF29" s="487"/>
      <c r="AG29" s="487"/>
      <c r="AH29" s="487"/>
      <c r="AI29" s="487"/>
      <c r="AJ29" s="487"/>
      <c r="AK29" s="487"/>
      <c r="AL29" s="487"/>
      <c r="AM29" s="487"/>
      <c r="AN29" s="487"/>
      <c r="AO29" s="461"/>
      <c r="AP29" s="461"/>
      <c r="AQ29" s="461"/>
      <c r="AR29" s="461"/>
      <c r="AS29" s="461"/>
      <c r="AT29" s="461"/>
      <c r="AU29" s="461"/>
      <c r="AV29" s="461"/>
      <c r="AW29" s="461"/>
      <c r="AX29" s="461"/>
      <c r="AY29" s="461"/>
      <c r="AZ29" s="461"/>
      <c r="BA29" s="461"/>
      <c r="BB29" s="461"/>
      <c r="BC29" s="461"/>
      <c r="BD29" s="461"/>
      <c r="BE29" s="461"/>
      <c r="BF29" s="461"/>
      <c r="BG29" s="461"/>
      <c r="BH29" s="461"/>
      <c r="BI29" s="461"/>
      <c r="BJ29" s="461"/>
      <c r="BK29" s="461"/>
      <c r="BL29" s="461"/>
      <c r="BM29" s="461"/>
      <c r="BN29" s="461"/>
      <c r="BO29" s="461"/>
      <c r="BP29" s="461"/>
      <c r="BQ29" s="461"/>
      <c r="BR29" s="461"/>
      <c r="BS29" s="461"/>
      <c r="BT29" s="461"/>
      <c r="BU29" s="461"/>
      <c r="BV29" s="461"/>
      <c r="BW29" s="461"/>
      <c r="BX29" s="461"/>
      <c r="BY29" s="461"/>
      <c r="BZ29" s="461"/>
      <c r="CA29" s="461"/>
      <c r="CB29" s="461"/>
      <c r="CC29" s="461"/>
      <c r="CD29" s="461"/>
      <c r="CE29" s="461"/>
      <c r="CF29" s="461"/>
      <c r="CG29" s="461"/>
      <c r="CH29" s="461"/>
      <c r="CI29" s="461"/>
      <c r="CJ29" s="461"/>
      <c r="CK29" s="461"/>
      <c r="CL29" s="461"/>
      <c r="CM29" s="461"/>
      <c r="CN29" s="461"/>
      <c r="CO29" s="461"/>
      <c r="CP29" s="461"/>
      <c r="CQ29" s="461"/>
      <c r="CR29" s="461"/>
      <c r="CS29" s="461"/>
      <c r="CT29" s="461"/>
      <c r="CU29" s="461"/>
      <c r="CV29" s="461"/>
      <c r="CW29" s="461"/>
      <c r="CX29" s="461"/>
      <c r="CY29" s="461"/>
      <c r="CZ29" s="461"/>
      <c r="DA29" s="461"/>
      <c r="DB29" s="461"/>
      <c r="DC29" s="461"/>
      <c r="DD29" s="461"/>
      <c r="DE29" s="461"/>
      <c r="DF29" s="461"/>
      <c r="DG29" s="461"/>
      <c r="DH29" s="461"/>
      <c r="DI29" s="461"/>
      <c r="DJ29" s="461"/>
      <c r="DK29" s="461"/>
      <c r="DL29" s="461"/>
      <c r="DM29" s="461"/>
      <c r="DN29" s="461"/>
      <c r="DO29" s="461"/>
      <c r="DP29" s="461"/>
      <c r="DQ29" s="461"/>
      <c r="DR29" s="461"/>
      <c r="DS29" s="461"/>
      <c r="DT29" s="461"/>
      <c r="DU29" s="461"/>
      <c r="DV29" s="461"/>
      <c r="DW29" s="461"/>
      <c r="DX29" s="461"/>
      <c r="DY29" s="461"/>
      <c r="DZ29" s="461"/>
      <c r="EA29" s="461"/>
      <c r="EB29" s="461"/>
      <c r="EC29" s="461"/>
      <c r="ED29" s="461"/>
      <c r="EE29" s="461"/>
      <c r="EF29" s="461"/>
      <c r="EG29" s="461"/>
      <c r="EH29" s="461"/>
      <c r="EI29" s="461"/>
      <c r="EJ29" s="461"/>
      <c r="EK29" s="461"/>
      <c r="EL29" s="461"/>
      <c r="EM29" s="461"/>
      <c r="EN29" s="461"/>
      <c r="EO29" s="484"/>
      <c r="EP29" s="484"/>
      <c r="EQ29" s="484"/>
      <c r="ER29" s="484"/>
      <c r="ES29" s="484"/>
      <c r="ET29" s="484"/>
      <c r="EU29" s="484"/>
      <c r="EV29" s="484"/>
      <c r="EW29" s="484"/>
      <c r="EX29" s="484"/>
      <c r="EY29" s="484"/>
      <c r="EZ29" s="484"/>
      <c r="FA29" s="484"/>
      <c r="FB29" s="484"/>
      <c r="FC29" s="484"/>
      <c r="FD29" s="484"/>
      <c r="FE29" s="484"/>
      <c r="FF29" s="57"/>
      <c r="FG29" s="57"/>
      <c r="FH29" s="57"/>
      <c r="FI29" s="57"/>
      <c r="FJ29" s="57"/>
      <c r="FK29" s="57"/>
      <c r="FL29" s="57"/>
      <c r="FM29" s="57"/>
      <c r="FN29" s="57"/>
      <c r="FO29" s="57"/>
    </row>
    <row r="30" spans="1:171" s="58" customFormat="1" ht="15" customHeight="1" x14ac:dyDescent="0.2">
      <c r="A30" s="485" t="s">
        <v>168</v>
      </c>
      <c r="B30" s="485"/>
      <c r="C30" s="485"/>
      <c r="D30" s="485"/>
      <c r="E30" s="485"/>
      <c r="F30" s="485"/>
      <c r="G30" s="486" t="s">
        <v>167</v>
      </c>
      <c r="H30" s="486"/>
      <c r="I30" s="486"/>
      <c r="J30" s="486"/>
      <c r="K30" s="486"/>
      <c r="L30" s="486"/>
      <c r="M30" s="486"/>
      <c r="N30" s="486"/>
      <c r="O30" s="486"/>
      <c r="P30" s="486"/>
      <c r="Q30" s="486"/>
      <c r="R30" s="486"/>
      <c r="S30" s="486"/>
      <c r="T30" s="486"/>
      <c r="U30" s="486"/>
      <c r="V30" s="486"/>
      <c r="W30" s="486"/>
      <c r="X30" s="486"/>
      <c r="Y30" s="487">
        <v>1</v>
      </c>
      <c r="Z30" s="487"/>
      <c r="AA30" s="487"/>
      <c r="AB30" s="487"/>
      <c r="AC30" s="487"/>
      <c r="AD30" s="487"/>
      <c r="AE30" s="487"/>
      <c r="AF30" s="487"/>
      <c r="AG30" s="487"/>
      <c r="AH30" s="487"/>
      <c r="AI30" s="487"/>
      <c r="AJ30" s="487"/>
      <c r="AK30" s="487"/>
      <c r="AL30" s="487"/>
      <c r="AM30" s="487"/>
      <c r="AN30" s="487"/>
      <c r="AO30" s="461"/>
      <c r="AP30" s="461"/>
      <c r="AQ30" s="461"/>
      <c r="AR30" s="461"/>
      <c r="AS30" s="461"/>
      <c r="AT30" s="461"/>
      <c r="AU30" s="461"/>
      <c r="AV30" s="461"/>
      <c r="AW30" s="461"/>
      <c r="AX30" s="461"/>
      <c r="AY30" s="461"/>
      <c r="AZ30" s="461"/>
      <c r="BA30" s="461"/>
      <c r="BB30" s="461"/>
      <c r="BC30" s="461"/>
      <c r="BD30" s="461"/>
      <c r="BE30" s="461"/>
      <c r="BF30" s="461"/>
      <c r="BG30" s="461"/>
      <c r="BH30" s="461"/>
      <c r="BI30" s="461"/>
      <c r="BJ30" s="461"/>
      <c r="BK30" s="461"/>
      <c r="BL30" s="461"/>
      <c r="BM30" s="461"/>
      <c r="BN30" s="461"/>
      <c r="BO30" s="461"/>
      <c r="BP30" s="461"/>
      <c r="BQ30" s="461"/>
      <c r="BR30" s="461"/>
      <c r="BS30" s="461"/>
      <c r="BT30" s="461"/>
      <c r="BU30" s="461"/>
      <c r="BV30" s="461"/>
      <c r="BW30" s="461"/>
      <c r="BX30" s="461"/>
      <c r="BY30" s="461"/>
      <c r="BZ30" s="461"/>
      <c r="CA30" s="461"/>
      <c r="CB30" s="461"/>
      <c r="CC30" s="461"/>
      <c r="CD30" s="461"/>
      <c r="CE30" s="461"/>
      <c r="CF30" s="461"/>
      <c r="CG30" s="461"/>
      <c r="CH30" s="461"/>
      <c r="CI30" s="461"/>
      <c r="CJ30" s="461"/>
      <c r="CK30" s="461"/>
      <c r="CL30" s="461"/>
      <c r="CM30" s="461"/>
      <c r="CN30" s="461"/>
      <c r="CO30" s="461"/>
      <c r="CP30" s="461"/>
      <c r="CQ30" s="461"/>
      <c r="CR30" s="461"/>
      <c r="CS30" s="461"/>
      <c r="CT30" s="461"/>
      <c r="CU30" s="461"/>
      <c r="CV30" s="461"/>
      <c r="CW30" s="461"/>
      <c r="CX30" s="461"/>
      <c r="CY30" s="461"/>
      <c r="CZ30" s="461"/>
      <c r="DA30" s="461"/>
      <c r="DB30" s="461"/>
      <c r="DC30" s="461"/>
      <c r="DD30" s="461"/>
      <c r="DE30" s="461"/>
      <c r="DF30" s="461"/>
      <c r="DG30" s="461"/>
      <c r="DH30" s="461"/>
      <c r="DI30" s="461"/>
      <c r="DJ30" s="461"/>
      <c r="DK30" s="461"/>
      <c r="DL30" s="461"/>
      <c r="DM30" s="461"/>
      <c r="DN30" s="461"/>
      <c r="DO30" s="461"/>
      <c r="DP30" s="461"/>
      <c r="DQ30" s="461"/>
      <c r="DR30" s="461"/>
      <c r="DS30" s="461"/>
      <c r="DT30" s="461"/>
      <c r="DU30" s="461"/>
      <c r="DV30" s="461"/>
      <c r="DW30" s="461"/>
      <c r="DX30" s="461"/>
      <c r="DY30" s="461"/>
      <c r="DZ30" s="461"/>
      <c r="EA30" s="461"/>
      <c r="EB30" s="461"/>
      <c r="EC30" s="461"/>
      <c r="ED30" s="461"/>
      <c r="EE30" s="461"/>
      <c r="EF30" s="461"/>
      <c r="EG30" s="461"/>
      <c r="EH30" s="461"/>
      <c r="EI30" s="461"/>
      <c r="EJ30" s="461"/>
      <c r="EK30" s="461"/>
      <c r="EL30" s="461"/>
      <c r="EM30" s="461"/>
      <c r="EN30" s="461"/>
      <c r="EO30" s="484"/>
      <c r="EP30" s="484"/>
      <c r="EQ30" s="484"/>
      <c r="ER30" s="484"/>
      <c r="ES30" s="484"/>
      <c r="ET30" s="484"/>
      <c r="EU30" s="484"/>
      <c r="EV30" s="484"/>
      <c r="EW30" s="484"/>
      <c r="EX30" s="484"/>
      <c r="EY30" s="484"/>
      <c r="EZ30" s="484"/>
      <c r="FA30" s="484"/>
      <c r="FB30" s="484"/>
      <c r="FC30" s="484"/>
      <c r="FD30" s="484"/>
      <c r="FE30" s="484"/>
      <c r="FF30" s="57"/>
      <c r="FG30" s="57"/>
      <c r="FH30" s="57"/>
      <c r="FI30" s="57"/>
      <c r="FJ30" s="57"/>
      <c r="FK30" s="57"/>
      <c r="FL30" s="57"/>
      <c r="FM30" s="57"/>
      <c r="FN30" s="57"/>
      <c r="FO30" s="57"/>
    </row>
    <row r="31" spans="1:171" s="58" customFormat="1" ht="28.5" customHeight="1" x14ac:dyDescent="0.2">
      <c r="A31" s="485" t="s">
        <v>170</v>
      </c>
      <c r="B31" s="485"/>
      <c r="C31" s="485"/>
      <c r="D31" s="485"/>
      <c r="E31" s="485"/>
      <c r="F31" s="485"/>
      <c r="G31" s="486" t="s">
        <v>169</v>
      </c>
      <c r="H31" s="486"/>
      <c r="I31" s="486"/>
      <c r="J31" s="486"/>
      <c r="K31" s="486"/>
      <c r="L31" s="486"/>
      <c r="M31" s="486"/>
      <c r="N31" s="486"/>
      <c r="O31" s="486"/>
      <c r="P31" s="486"/>
      <c r="Q31" s="486"/>
      <c r="R31" s="486"/>
      <c r="S31" s="486"/>
      <c r="T31" s="486"/>
      <c r="U31" s="486"/>
      <c r="V31" s="486"/>
      <c r="W31" s="486"/>
      <c r="X31" s="486"/>
      <c r="Y31" s="487">
        <v>67.89</v>
      </c>
      <c r="Z31" s="487"/>
      <c r="AA31" s="487"/>
      <c r="AB31" s="487"/>
      <c r="AC31" s="487"/>
      <c r="AD31" s="487"/>
      <c r="AE31" s="487"/>
      <c r="AF31" s="487"/>
      <c r="AG31" s="487"/>
      <c r="AH31" s="487"/>
      <c r="AI31" s="487"/>
      <c r="AJ31" s="487"/>
      <c r="AK31" s="487"/>
      <c r="AL31" s="487"/>
      <c r="AM31" s="487"/>
      <c r="AN31" s="487"/>
      <c r="AO31" s="461"/>
      <c r="AP31" s="461"/>
      <c r="AQ31" s="461"/>
      <c r="AR31" s="461"/>
      <c r="AS31" s="461"/>
      <c r="AT31" s="461"/>
      <c r="AU31" s="461"/>
      <c r="AV31" s="461"/>
      <c r="AW31" s="461"/>
      <c r="AX31" s="461"/>
      <c r="AY31" s="461"/>
      <c r="AZ31" s="461"/>
      <c r="BA31" s="461"/>
      <c r="BB31" s="461"/>
      <c r="BC31" s="461"/>
      <c r="BD31" s="461"/>
      <c r="BE31" s="461"/>
      <c r="BF31" s="461"/>
      <c r="BG31" s="461"/>
      <c r="BH31" s="461"/>
      <c r="BI31" s="461"/>
      <c r="BJ31" s="461"/>
      <c r="BK31" s="461"/>
      <c r="BL31" s="461"/>
      <c r="BM31" s="461"/>
      <c r="BN31" s="461"/>
      <c r="BO31" s="461"/>
      <c r="BP31" s="461"/>
      <c r="BQ31" s="461"/>
      <c r="BR31" s="461"/>
      <c r="BS31" s="461"/>
      <c r="BT31" s="461"/>
      <c r="BU31" s="461"/>
      <c r="BV31" s="461"/>
      <c r="BW31" s="461"/>
      <c r="BX31" s="461"/>
      <c r="BY31" s="461"/>
      <c r="BZ31" s="461"/>
      <c r="CA31" s="461"/>
      <c r="CB31" s="461"/>
      <c r="CC31" s="461"/>
      <c r="CD31" s="461"/>
      <c r="CE31" s="461"/>
      <c r="CF31" s="461"/>
      <c r="CG31" s="461"/>
      <c r="CH31" s="461"/>
      <c r="CI31" s="461"/>
      <c r="CJ31" s="461"/>
      <c r="CK31" s="461"/>
      <c r="CL31" s="461"/>
      <c r="CM31" s="461"/>
      <c r="CN31" s="461"/>
      <c r="CO31" s="461"/>
      <c r="CP31" s="461"/>
      <c r="CQ31" s="461"/>
      <c r="CR31" s="461"/>
      <c r="CS31" s="461"/>
      <c r="CT31" s="461"/>
      <c r="CU31" s="461"/>
      <c r="CV31" s="461"/>
      <c r="CW31" s="461"/>
      <c r="CX31" s="461"/>
      <c r="CY31" s="461"/>
      <c r="CZ31" s="461"/>
      <c r="DA31" s="461"/>
      <c r="DB31" s="461"/>
      <c r="DC31" s="461"/>
      <c r="DD31" s="461"/>
      <c r="DE31" s="461"/>
      <c r="DF31" s="461"/>
      <c r="DG31" s="461"/>
      <c r="DH31" s="461"/>
      <c r="DI31" s="461"/>
      <c r="DJ31" s="461"/>
      <c r="DK31" s="461"/>
      <c r="DL31" s="461"/>
      <c r="DM31" s="461"/>
      <c r="DN31" s="461"/>
      <c r="DO31" s="461"/>
      <c r="DP31" s="461"/>
      <c r="DQ31" s="461"/>
      <c r="DR31" s="461"/>
      <c r="DS31" s="461"/>
      <c r="DT31" s="461"/>
      <c r="DU31" s="461"/>
      <c r="DV31" s="461"/>
      <c r="DW31" s="461"/>
      <c r="DX31" s="461"/>
      <c r="DY31" s="461"/>
      <c r="DZ31" s="461"/>
      <c r="EA31" s="461"/>
      <c r="EB31" s="461"/>
      <c r="EC31" s="461"/>
      <c r="ED31" s="461"/>
      <c r="EE31" s="461"/>
      <c r="EF31" s="461"/>
      <c r="EG31" s="461"/>
      <c r="EH31" s="461"/>
      <c r="EI31" s="461"/>
      <c r="EJ31" s="461"/>
      <c r="EK31" s="461"/>
      <c r="EL31" s="461"/>
      <c r="EM31" s="461"/>
      <c r="EN31" s="461"/>
      <c r="EO31" s="484"/>
      <c r="EP31" s="484"/>
      <c r="EQ31" s="484"/>
      <c r="ER31" s="484"/>
      <c r="ES31" s="484"/>
      <c r="ET31" s="484"/>
      <c r="EU31" s="484"/>
      <c r="EV31" s="484"/>
      <c r="EW31" s="484"/>
      <c r="EX31" s="484"/>
      <c r="EY31" s="484"/>
      <c r="EZ31" s="484"/>
      <c r="FA31" s="484"/>
      <c r="FB31" s="484"/>
      <c r="FC31" s="484"/>
      <c r="FD31" s="484"/>
      <c r="FE31" s="484"/>
      <c r="FF31" s="57"/>
      <c r="FG31" s="57"/>
      <c r="FH31" s="57"/>
      <c r="FI31" s="57"/>
      <c r="FJ31" s="57"/>
      <c r="FK31" s="57"/>
      <c r="FL31" s="57"/>
      <c r="FM31" s="57"/>
      <c r="FN31" s="57"/>
      <c r="FO31" s="57"/>
    </row>
    <row r="32" spans="1:171" s="58" customFormat="1" ht="48.75" customHeight="1" x14ac:dyDescent="0.2">
      <c r="A32" s="485" t="s">
        <v>172</v>
      </c>
      <c r="B32" s="485"/>
      <c r="C32" s="485"/>
      <c r="D32" s="485"/>
      <c r="E32" s="485"/>
      <c r="F32" s="485"/>
      <c r="G32" s="486" t="s">
        <v>171</v>
      </c>
      <c r="H32" s="486"/>
      <c r="I32" s="486"/>
      <c r="J32" s="486"/>
      <c r="K32" s="486"/>
      <c r="L32" s="486"/>
      <c r="M32" s="486"/>
      <c r="N32" s="486"/>
      <c r="O32" s="486"/>
      <c r="P32" s="486"/>
      <c r="Q32" s="486"/>
      <c r="R32" s="486"/>
      <c r="S32" s="486"/>
      <c r="T32" s="486"/>
      <c r="U32" s="486"/>
      <c r="V32" s="486"/>
      <c r="W32" s="486"/>
      <c r="X32" s="486"/>
      <c r="Y32" s="487">
        <v>1</v>
      </c>
      <c r="Z32" s="487"/>
      <c r="AA32" s="487"/>
      <c r="AB32" s="487"/>
      <c r="AC32" s="487"/>
      <c r="AD32" s="487"/>
      <c r="AE32" s="487"/>
      <c r="AF32" s="487"/>
      <c r="AG32" s="487"/>
      <c r="AH32" s="487"/>
      <c r="AI32" s="487"/>
      <c r="AJ32" s="487"/>
      <c r="AK32" s="487"/>
      <c r="AL32" s="487"/>
      <c r="AM32" s="487"/>
      <c r="AN32" s="487"/>
      <c r="AO32" s="461"/>
      <c r="AP32" s="461"/>
      <c r="AQ32" s="461"/>
      <c r="AR32" s="461"/>
      <c r="AS32" s="461"/>
      <c r="AT32" s="461"/>
      <c r="AU32" s="461"/>
      <c r="AV32" s="461"/>
      <c r="AW32" s="461"/>
      <c r="AX32" s="461"/>
      <c r="AY32" s="461"/>
      <c r="AZ32" s="461"/>
      <c r="BA32" s="461"/>
      <c r="BB32" s="461"/>
      <c r="BC32" s="461"/>
      <c r="BD32" s="461"/>
      <c r="BE32" s="461"/>
      <c r="BF32" s="461"/>
      <c r="BG32" s="461"/>
      <c r="BH32" s="461"/>
      <c r="BI32" s="461"/>
      <c r="BJ32" s="461"/>
      <c r="BK32" s="461"/>
      <c r="BL32" s="461"/>
      <c r="BM32" s="461"/>
      <c r="BN32" s="461"/>
      <c r="BO32" s="461"/>
      <c r="BP32" s="461"/>
      <c r="BQ32" s="461"/>
      <c r="BR32" s="461"/>
      <c r="BS32" s="461"/>
      <c r="BT32" s="461"/>
      <c r="BU32" s="461"/>
      <c r="BV32" s="461"/>
      <c r="BW32" s="461"/>
      <c r="BX32" s="461"/>
      <c r="BY32" s="461"/>
      <c r="BZ32" s="461"/>
      <c r="CA32" s="461"/>
      <c r="CB32" s="461"/>
      <c r="CC32" s="461"/>
      <c r="CD32" s="461"/>
      <c r="CE32" s="461"/>
      <c r="CF32" s="461"/>
      <c r="CG32" s="461"/>
      <c r="CH32" s="461"/>
      <c r="CI32" s="461"/>
      <c r="CJ32" s="461"/>
      <c r="CK32" s="461"/>
      <c r="CL32" s="461"/>
      <c r="CM32" s="461"/>
      <c r="CN32" s="461"/>
      <c r="CO32" s="461"/>
      <c r="CP32" s="461"/>
      <c r="CQ32" s="461"/>
      <c r="CR32" s="461"/>
      <c r="CS32" s="461"/>
      <c r="CT32" s="461"/>
      <c r="CU32" s="461"/>
      <c r="CV32" s="461"/>
      <c r="CW32" s="461"/>
      <c r="CX32" s="461"/>
      <c r="CY32" s="461"/>
      <c r="CZ32" s="461"/>
      <c r="DA32" s="461"/>
      <c r="DB32" s="461"/>
      <c r="DC32" s="461"/>
      <c r="DD32" s="461"/>
      <c r="DE32" s="461"/>
      <c r="DF32" s="461"/>
      <c r="DG32" s="461"/>
      <c r="DH32" s="461"/>
      <c r="DI32" s="461"/>
      <c r="DJ32" s="461"/>
      <c r="DK32" s="461"/>
      <c r="DL32" s="461"/>
      <c r="DM32" s="461"/>
      <c r="DN32" s="461"/>
      <c r="DO32" s="461"/>
      <c r="DP32" s="461"/>
      <c r="DQ32" s="461"/>
      <c r="DR32" s="461"/>
      <c r="DS32" s="461"/>
      <c r="DT32" s="461"/>
      <c r="DU32" s="461"/>
      <c r="DV32" s="461"/>
      <c r="DW32" s="461"/>
      <c r="DX32" s="461"/>
      <c r="DY32" s="461"/>
      <c r="DZ32" s="461"/>
      <c r="EA32" s="461"/>
      <c r="EB32" s="461"/>
      <c r="EC32" s="461"/>
      <c r="ED32" s="461"/>
      <c r="EE32" s="461"/>
      <c r="EF32" s="461"/>
      <c r="EG32" s="461"/>
      <c r="EH32" s="461"/>
      <c r="EI32" s="461"/>
      <c r="EJ32" s="461"/>
      <c r="EK32" s="461"/>
      <c r="EL32" s="461"/>
      <c r="EM32" s="461"/>
      <c r="EN32" s="461"/>
      <c r="EO32" s="484"/>
      <c r="EP32" s="484"/>
      <c r="EQ32" s="484"/>
      <c r="ER32" s="484"/>
      <c r="ES32" s="484"/>
      <c r="ET32" s="484"/>
      <c r="EU32" s="484"/>
      <c r="EV32" s="484"/>
      <c r="EW32" s="484"/>
      <c r="EX32" s="484"/>
      <c r="EY32" s="484"/>
      <c r="EZ32" s="484"/>
      <c r="FA32" s="484"/>
      <c r="FB32" s="484"/>
      <c r="FC32" s="484"/>
      <c r="FD32" s="484"/>
      <c r="FE32" s="484"/>
      <c r="FF32" s="57"/>
      <c r="FG32" s="57"/>
      <c r="FH32" s="57"/>
      <c r="FI32" s="57"/>
      <c r="FJ32" s="57"/>
      <c r="FK32" s="57"/>
      <c r="FL32" s="57"/>
      <c r="FM32" s="57"/>
      <c r="FN32" s="57"/>
      <c r="FO32" s="57"/>
    </row>
    <row r="33" spans="1:171" s="58" customFormat="1" ht="15" customHeight="1" x14ac:dyDescent="0.2">
      <c r="A33" s="485" t="s">
        <v>174</v>
      </c>
      <c r="B33" s="485"/>
      <c r="C33" s="485"/>
      <c r="D33" s="485"/>
      <c r="E33" s="485"/>
      <c r="F33" s="485"/>
      <c r="G33" s="486" t="s">
        <v>173</v>
      </c>
      <c r="H33" s="486"/>
      <c r="I33" s="486"/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86"/>
      <c r="U33" s="486"/>
      <c r="V33" s="486"/>
      <c r="W33" s="486"/>
      <c r="X33" s="486"/>
      <c r="Y33" s="487">
        <v>1</v>
      </c>
      <c r="Z33" s="487"/>
      <c r="AA33" s="487"/>
      <c r="AB33" s="487"/>
      <c r="AC33" s="487"/>
      <c r="AD33" s="487"/>
      <c r="AE33" s="487"/>
      <c r="AF33" s="487"/>
      <c r="AG33" s="487"/>
      <c r="AH33" s="487"/>
      <c r="AI33" s="487"/>
      <c r="AJ33" s="487"/>
      <c r="AK33" s="487"/>
      <c r="AL33" s="487"/>
      <c r="AM33" s="487"/>
      <c r="AN33" s="487"/>
      <c r="AO33" s="461"/>
      <c r="AP33" s="461"/>
      <c r="AQ33" s="461"/>
      <c r="AR33" s="461"/>
      <c r="AS33" s="461"/>
      <c r="AT33" s="461"/>
      <c r="AU33" s="461"/>
      <c r="AV33" s="461"/>
      <c r="AW33" s="461"/>
      <c r="AX33" s="461"/>
      <c r="AY33" s="461"/>
      <c r="AZ33" s="461"/>
      <c r="BA33" s="461"/>
      <c r="BB33" s="461"/>
      <c r="BC33" s="461"/>
      <c r="BD33" s="461"/>
      <c r="BE33" s="461"/>
      <c r="BF33" s="461"/>
      <c r="BG33" s="461"/>
      <c r="BH33" s="461"/>
      <c r="BI33" s="461"/>
      <c r="BJ33" s="461"/>
      <c r="BK33" s="461"/>
      <c r="BL33" s="461"/>
      <c r="BM33" s="461"/>
      <c r="BN33" s="461"/>
      <c r="BO33" s="461"/>
      <c r="BP33" s="461"/>
      <c r="BQ33" s="461"/>
      <c r="BR33" s="461"/>
      <c r="BS33" s="461"/>
      <c r="BT33" s="461"/>
      <c r="BU33" s="461"/>
      <c r="BV33" s="461"/>
      <c r="BW33" s="461"/>
      <c r="BX33" s="461"/>
      <c r="BY33" s="461"/>
      <c r="BZ33" s="461"/>
      <c r="CA33" s="461"/>
      <c r="CB33" s="461"/>
      <c r="CC33" s="461"/>
      <c r="CD33" s="461"/>
      <c r="CE33" s="461"/>
      <c r="CF33" s="461"/>
      <c r="CG33" s="461"/>
      <c r="CH33" s="461"/>
      <c r="CI33" s="461"/>
      <c r="CJ33" s="461"/>
      <c r="CK33" s="461"/>
      <c r="CL33" s="461"/>
      <c r="CM33" s="461"/>
      <c r="CN33" s="461"/>
      <c r="CO33" s="461"/>
      <c r="CP33" s="461"/>
      <c r="CQ33" s="461"/>
      <c r="CR33" s="461"/>
      <c r="CS33" s="461"/>
      <c r="CT33" s="461"/>
      <c r="CU33" s="461"/>
      <c r="CV33" s="461"/>
      <c r="CW33" s="461"/>
      <c r="CX33" s="461"/>
      <c r="CY33" s="461"/>
      <c r="CZ33" s="461"/>
      <c r="DA33" s="461"/>
      <c r="DB33" s="461"/>
      <c r="DC33" s="461"/>
      <c r="DD33" s="461"/>
      <c r="DE33" s="461"/>
      <c r="DF33" s="461"/>
      <c r="DG33" s="461"/>
      <c r="DH33" s="461"/>
      <c r="DI33" s="461"/>
      <c r="DJ33" s="461"/>
      <c r="DK33" s="461"/>
      <c r="DL33" s="461"/>
      <c r="DM33" s="461"/>
      <c r="DN33" s="461"/>
      <c r="DO33" s="461"/>
      <c r="DP33" s="461"/>
      <c r="DQ33" s="461"/>
      <c r="DR33" s="461"/>
      <c r="DS33" s="461"/>
      <c r="DT33" s="461"/>
      <c r="DU33" s="461"/>
      <c r="DV33" s="461"/>
      <c r="DW33" s="461"/>
      <c r="DX33" s="461"/>
      <c r="DY33" s="461"/>
      <c r="DZ33" s="461"/>
      <c r="EA33" s="461"/>
      <c r="EB33" s="461"/>
      <c r="EC33" s="461"/>
      <c r="ED33" s="461"/>
      <c r="EE33" s="461"/>
      <c r="EF33" s="461"/>
      <c r="EG33" s="461"/>
      <c r="EH33" s="461"/>
      <c r="EI33" s="461"/>
      <c r="EJ33" s="461"/>
      <c r="EK33" s="461"/>
      <c r="EL33" s="461"/>
      <c r="EM33" s="461"/>
      <c r="EN33" s="461"/>
      <c r="EO33" s="484"/>
      <c r="EP33" s="484"/>
      <c r="EQ33" s="484"/>
      <c r="ER33" s="484"/>
      <c r="ES33" s="484"/>
      <c r="ET33" s="484"/>
      <c r="EU33" s="484"/>
      <c r="EV33" s="484"/>
      <c r="EW33" s="484"/>
      <c r="EX33" s="484"/>
      <c r="EY33" s="484"/>
      <c r="EZ33" s="484"/>
      <c r="FA33" s="484"/>
      <c r="FB33" s="484"/>
      <c r="FC33" s="484"/>
      <c r="FD33" s="484"/>
      <c r="FE33" s="484"/>
      <c r="FF33" s="57"/>
      <c r="FG33" s="57"/>
      <c r="FH33" s="57"/>
      <c r="FI33" s="57"/>
      <c r="FJ33" s="57"/>
      <c r="FK33" s="57"/>
      <c r="FL33" s="57"/>
      <c r="FM33" s="57"/>
      <c r="FN33" s="57"/>
      <c r="FO33" s="57"/>
    </row>
    <row r="34" spans="1:171" s="58" customFormat="1" ht="18.75" customHeight="1" x14ac:dyDescent="0.2">
      <c r="A34" s="485" t="s">
        <v>176</v>
      </c>
      <c r="B34" s="485"/>
      <c r="C34" s="485"/>
      <c r="D34" s="485"/>
      <c r="E34" s="485"/>
      <c r="F34" s="485"/>
      <c r="G34" s="486" t="s">
        <v>175</v>
      </c>
      <c r="H34" s="486"/>
      <c r="I34" s="486"/>
      <c r="J34" s="486"/>
      <c r="K34" s="486"/>
      <c r="L34" s="486"/>
      <c r="M34" s="486"/>
      <c r="N34" s="486"/>
      <c r="O34" s="486"/>
      <c r="P34" s="486"/>
      <c r="Q34" s="486"/>
      <c r="R34" s="486"/>
      <c r="S34" s="486"/>
      <c r="T34" s="486"/>
      <c r="U34" s="486"/>
      <c r="V34" s="486"/>
      <c r="W34" s="486"/>
      <c r="X34" s="486"/>
      <c r="Y34" s="487">
        <f>1-0.25-0.5</f>
        <v>0.25</v>
      </c>
      <c r="Z34" s="487"/>
      <c r="AA34" s="487"/>
      <c r="AB34" s="487"/>
      <c r="AC34" s="487"/>
      <c r="AD34" s="487"/>
      <c r="AE34" s="487"/>
      <c r="AF34" s="487"/>
      <c r="AG34" s="487"/>
      <c r="AH34" s="487"/>
      <c r="AI34" s="487"/>
      <c r="AJ34" s="487"/>
      <c r="AK34" s="487"/>
      <c r="AL34" s="487"/>
      <c r="AM34" s="487"/>
      <c r="AN34" s="487"/>
      <c r="AO34" s="461"/>
      <c r="AP34" s="461"/>
      <c r="AQ34" s="461"/>
      <c r="AR34" s="461"/>
      <c r="AS34" s="461"/>
      <c r="AT34" s="461"/>
      <c r="AU34" s="461"/>
      <c r="AV34" s="461"/>
      <c r="AW34" s="461"/>
      <c r="AX34" s="461"/>
      <c r="AY34" s="461"/>
      <c r="AZ34" s="461"/>
      <c r="BA34" s="461"/>
      <c r="BB34" s="461"/>
      <c r="BC34" s="461"/>
      <c r="BD34" s="461"/>
      <c r="BE34" s="461"/>
      <c r="BF34" s="461"/>
      <c r="BG34" s="461"/>
      <c r="BH34" s="461"/>
      <c r="BI34" s="461"/>
      <c r="BJ34" s="461"/>
      <c r="BK34" s="461"/>
      <c r="BL34" s="461"/>
      <c r="BM34" s="461"/>
      <c r="BN34" s="461"/>
      <c r="BO34" s="461"/>
      <c r="BP34" s="461"/>
      <c r="BQ34" s="461"/>
      <c r="BR34" s="461"/>
      <c r="BS34" s="461"/>
      <c r="BT34" s="461"/>
      <c r="BU34" s="461"/>
      <c r="BV34" s="461"/>
      <c r="BW34" s="461"/>
      <c r="BX34" s="461"/>
      <c r="BY34" s="461"/>
      <c r="BZ34" s="461"/>
      <c r="CA34" s="461"/>
      <c r="CB34" s="461"/>
      <c r="CC34" s="461"/>
      <c r="CD34" s="461"/>
      <c r="CE34" s="461"/>
      <c r="CF34" s="461"/>
      <c r="CG34" s="461"/>
      <c r="CH34" s="461"/>
      <c r="CI34" s="461"/>
      <c r="CJ34" s="461"/>
      <c r="CK34" s="461"/>
      <c r="CL34" s="461"/>
      <c r="CM34" s="461"/>
      <c r="CN34" s="461"/>
      <c r="CO34" s="461"/>
      <c r="CP34" s="461"/>
      <c r="CQ34" s="461"/>
      <c r="CR34" s="461"/>
      <c r="CS34" s="461"/>
      <c r="CT34" s="461"/>
      <c r="CU34" s="461"/>
      <c r="CV34" s="461"/>
      <c r="CW34" s="461"/>
      <c r="CX34" s="461"/>
      <c r="CY34" s="461"/>
      <c r="CZ34" s="461"/>
      <c r="DA34" s="461"/>
      <c r="DB34" s="461"/>
      <c r="DC34" s="461"/>
      <c r="DD34" s="461"/>
      <c r="DE34" s="461"/>
      <c r="DF34" s="461"/>
      <c r="DG34" s="461"/>
      <c r="DH34" s="461"/>
      <c r="DI34" s="461"/>
      <c r="DJ34" s="461"/>
      <c r="DK34" s="461"/>
      <c r="DL34" s="461"/>
      <c r="DM34" s="461"/>
      <c r="DN34" s="461"/>
      <c r="DO34" s="461"/>
      <c r="DP34" s="461"/>
      <c r="DQ34" s="461"/>
      <c r="DR34" s="461"/>
      <c r="DS34" s="461"/>
      <c r="DT34" s="461"/>
      <c r="DU34" s="461"/>
      <c r="DV34" s="461"/>
      <c r="DW34" s="461"/>
      <c r="DX34" s="461"/>
      <c r="DY34" s="461"/>
      <c r="DZ34" s="461"/>
      <c r="EA34" s="461"/>
      <c r="EB34" s="461"/>
      <c r="EC34" s="461"/>
      <c r="ED34" s="461"/>
      <c r="EE34" s="461"/>
      <c r="EF34" s="461"/>
      <c r="EG34" s="461"/>
      <c r="EH34" s="461"/>
      <c r="EI34" s="461"/>
      <c r="EJ34" s="461"/>
      <c r="EK34" s="461"/>
      <c r="EL34" s="461"/>
      <c r="EM34" s="461"/>
      <c r="EN34" s="461"/>
      <c r="EO34" s="484"/>
      <c r="EP34" s="484"/>
      <c r="EQ34" s="484"/>
      <c r="ER34" s="484"/>
      <c r="ES34" s="484"/>
      <c r="ET34" s="484"/>
      <c r="EU34" s="484"/>
      <c r="EV34" s="484"/>
      <c r="EW34" s="484"/>
      <c r="EX34" s="484"/>
      <c r="EY34" s="484"/>
      <c r="EZ34" s="484"/>
      <c r="FA34" s="484"/>
      <c r="FB34" s="484"/>
      <c r="FC34" s="484"/>
      <c r="FD34" s="484"/>
      <c r="FE34" s="484"/>
      <c r="FF34" s="57"/>
      <c r="FG34" s="57"/>
      <c r="FH34" s="57"/>
      <c r="FI34" s="57"/>
      <c r="FJ34" s="57"/>
      <c r="FK34" s="57"/>
      <c r="FL34" s="57"/>
      <c r="FM34" s="57"/>
      <c r="FN34" s="57"/>
      <c r="FO34" s="57"/>
    </row>
    <row r="35" spans="1:171" s="58" customFormat="1" ht="15" customHeight="1" x14ac:dyDescent="0.2">
      <c r="A35" s="485" t="s">
        <v>178</v>
      </c>
      <c r="B35" s="485"/>
      <c r="C35" s="485"/>
      <c r="D35" s="485"/>
      <c r="E35" s="485"/>
      <c r="F35" s="485"/>
      <c r="G35" s="486" t="s">
        <v>177</v>
      </c>
      <c r="H35" s="486"/>
      <c r="I35" s="486"/>
      <c r="J35" s="486"/>
      <c r="K35" s="486"/>
      <c r="L35" s="486"/>
      <c r="M35" s="486"/>
      <c r="N35" s="486"/>
      <c r="O35" s="486"/>
      <c r="P35" s="486"/>
      <c r="Q35" s="486"/>
      <c r="R35" s="486"/>
      <c r="S35" s="486"/>
      <c r="T35" s="486"/>
      <c r="U35" s="486"/>
      <c r="V35" s="486"/>
      <c r="W35" s="486"/>
      <c r="X35" s="486"/>
      <c r="Y35" s="487">
        <v>0.5</v>
      </c>
      <c r="Z35" s="487"/>
      <c r="AA35" s="487"/>
      <c r="AB35" s="487"/>
      <c r="AC35" s="487"/>
      <c r="AD35" s="487"/>
      <c r="AE35" s="487"/>
      <c r="AF35" s="487"/>
      <c r="AG35" s="487"/>
      <c r="AH35" s="487"/>
      <c r="AI35" s="487"/>
      <c r="AJ35" s="487"/>
      <c r="AK35" s="487"/>
      <c r="AL35" s="487"/>
      <c r="AM35" s="487"/>
      <c r="AN35" s="487"/>
      <c r="AO35" s="461"/>
      <c r="AP35" s="461"/>
      <c r="AQ35" s="461"/>
      <c r="AR35" s="461"/>
      <c r="AS35" s="461"/>
      <c r="AT35" s="461"/>
      <c r="AU35" s="461"/>
      <c r="AV35" s="461"/>
      <c r="AW35" s="461"/>
      <c r="AX35" s="461"/>
      <c r="AY35" s="461"/>
      <c r="AZ35" s="461"/>
      <c r="BA35" s="461"/>
      <c r="BB35" s="461"/>
      <c r="BC35" s="461"/>
      <c r="BD35" s="461"/>
      <c r="BE35" s="461"/>
      <c r="BF35" s="461"/>
      <c r="BG35" s="461"/>
      <c r="BH35" s="461"/>
      <c r="BI35" s="461"/>
      <c r="BJ35" s="461"/>
      <c r="BK35" s="461"/>
      <c r="BL35" s="461"/>
      <c r="BM35" s="461"/>
      <c r="BN35" s="461"/>
      <c r="BO35" s="461"/>
      <c r="BP35" s="461"/>
      <c r="BQ35" s="461"/>
      <c r="BR35" s="461"/>
      <c r="BS35" s="461"/>
      <c r="BT35" s="461"/>
      <c r="BU35" s="461"/>
      <c r="BV35" s="461"/>
      <c r="BW35" s="461"/>
      <c r="BX35" s="461"/>
      <c r="BY35" s="461"/>
      <c r="BZ35" s="461"/>
      <c r="CA35" s="461"/>
      <c r="CB35" s="461"/>
      <c r="CC35" s="461"/>
      <c r="CD35" s="461"/>
      <c r="CE35" s="461"/>
      <c r="CF35" s="461"/>
      <c r="CG35" s="461"/>
      <c r="CH35" s="461"/>
      <c r="CI35" s="461"/>
      <c r="CJ35" s="461"/>
      <c r="CK35" s="461"/>
      <c r="CL35" s="461"/>
      <c r="CM35" s="461"/>
      <c r="CN35" s="461"/>
      <c r="CO35" s="461"/>
      <c r="CP35" s="461"/>
      <c r="CQ35" s="461"/>
      <c r="CR35" s="461"/>
      <c r="CS35" s="461"/>
      <c r="CT35" s="461"/>
      <c r="CU35" s="461"/>
      <c r="CV35" s="461"/>
      <c r="CW35" s="461"/>
      <c r="CX35" s="461"/>
      <c r="CY35" s="461"/>
      <c r="CZ35" s="461"/>
      <c r="DA35" s="461"/>
      <c r="DB35" s="461"/>
      <c r="DC35" s="461"/>
      <c r="DD35" s="461"/>
      <c r="DE35" s="461"/>
      <c r="DF35" s="461"/>
      <c r="DG35" s="461"/>
      <c r="DH35" s="461"/>
      <c r="DI35" s="461"/>
      <c r="DJ35" s="461"/>
      <c r="DK35" s="461"/>
      <c r="DL35" s="461"/>
      <c r="DM35" s="461"/>
      <c r="DN35" s="461"/>
      <c r="DO35" s="461"/>
      <c r="DP35" s="461"/>
      <c r="DQ35" s="461"/>
      <c r="DR35" s="461"/>
      <c r="DS35" s="461"/>
      <c r="DT35" s="461"/>
      <c r="DU35" s="461"/>
      <c r="DV35" s="461"/>
      <c r="DW35" s="461"/>
      <c r="DX35" s="461"/>
      <c r="DY35" s="461"/>
      <c r="DZ35" s="461"/>
      <c r="EA35" s="461"/>
      <c r="EB35" s="461"/>
      <c r="EC35" s="461"/>
      <c r="ED35" s="461"/>
      <c r="EE35" s="461"/>
      <c r="EF35" s="461"/>
      <c r="EG35" s="461"/>
      <c r="EH35" s="461"/>
      <c r="EI35" s="461"/>
      <c r="EJ35" s="461"/>
      <c r="EK35" s="461"/>
      <c r="EL35" s="461"/>
      <c r="EM35" s="461"/>
      <c r="EN35" s="461"/>
      <c r="EO35" s="484"/>
      <c r="EP35" s="484"/>
      <c r="EQ35" s="484"/>
      <c r="ER35" s="484"/>
      <c r="ES35" s="484"/>
      <c r="ET35" s="484"/>
      <c r="EU35" s="484"/>
      <c r="EV35" s="484"/>
      <c r="EW35" s="484"/>
      <c r="EX35" s="484"/>
      <c r="EY35" s="484"/>
      <c r="EZ35" s="484"/>
      <c r="FA35" s="484"/>
      <c r="FB35" s="484"/>
      <c r="FC35" s="484"/>
      <c r="FD35" s="484"/>
      <c r="FE35" s="484"/>
      <c r="FF35" s="57"/>
      <c r="FG35" s="57"/>
      <c r="FH35" s="57"/>
      <c r="FI35" s="57"/>
      <c r="FJ35" s="57"/>
      <c r="FK35" s="57"/>
      <c r="FL35" s="57"/>
      <c r="FM35" s="57"/>
      <c r="FN35" s="57"/>
      <c r="FO35" s="57"/>
    </row>
    <row r="36" spans="1:171" s="58" customFormat="1" ht="33.75" customHeight="1" x14ac:dyDescent="0.2">
      <c r="A36" s="485" t="s">
        <v>180</v>
      </c>
      <c r="B36" s="485"/>
      <c r="C36" s="485"/>
      <c r="D36" s="485"/>
      <c r="E36" s="485"/>
      <c r="F36" s="485"/>
      <c r="G36" s="486" t="s">
        <v>179</v>
      </c>
      <c r="H36" s="486"/>
      <c r="I36" s="486"/>
      <c r="J36" s="486"/>
      <c r="K36" s="486"/>
      <c r="L36" s="486"/>
      <c r="M36" s="486"/>
      <c r="N36" s="486"/>
      <c r="O36" s="486"/>
      <c r="P36" s="486"/>
      <c r="Q36" s="486"/>
      <c r="R36" s="486"/>
      <c r="S36" s="486"/>
      <c r="T36" s="486"/>
      <c r="U36" s="486"/>
      <c r="V36" s="486"/>
      <c r="W36" s="486"/>
      <c r="X36" s="486"/>
      <c r="Y36" s="487">
        <v>0.5</v>
      </c>
      <c r="Z36" s="487"/>
      <c r="AA36" s="487"/>
      <c r="AB36" s="487"/>
      <c r="AC36" s="487"/>
      <c r="AD36" s="487"/>
      <c r="AE36" s="487"/>
      <c r="AF36" s="487"/>
      <c r="AG36" s="487"/>
      <c r="AH36" s="487"/>
      <c r="AI36" s="487"/>
      <c r="AJ36" s="487"/>
      <c r="AK36" s="487"/>
      <c r="AL36" s="487"/>
      <c r="AM36" s="487"/>
      <c r="AN36" s="487"/>
      <c r="AO36" s="461"/>
      <c r="AP36" s="461"/>
      <c r="AQ36" s="461"/>
      <c r="AR36" s="461"/>
      <c r="AS36" s="461"/>
      <c r="AT36" s="461"/>
      <c r="AU36" s="461"/>
      <c r="AV36" s="461"/>
      <c r="AW36" s="461"/>
      <c r="AX36" s="461"/>
      <c r="AY36" s="461"/>
      <c r="AZ36" s="461"/>
      <c r="BA36" s="461"/>
      <c r="BB36" s="461"/>
      <c r="BC36" s="461"/>
      <c r="BD36" s="461"/>
      <c r="BE36" s="461"/>
      <c r="BF36" s="461"/>
      <c r="BG36" s="461"/>
      <c r="BH36" s="461"/>
      <c r="BI36" s="461"/>
      <c r="BJ36" s="461"/>
      <c r="BK36" s="461"/>
      <c r="BL36" s="461"/>
      <c r="BM36" s="461"/>
      <c r="BN36" s="461"/>
      <c r="BO36" s="461"/>
      <c r="BP36" s="461"/>
      <c r="BQ36" s="461"/>
      <c r="BR36" s="461"/>
      <c r="BS36" s="461"/>
      <c r="BT36" s="461"/>
      <c r="BU36" s="461"/>
      <c r="BV36" s="461"/>
      <c r="BW36" s="461"/>
      <c r="BX36" s="461"/>
      <c r="BY36" s="461"/>
      <c r="BZ36" s="461"/>
      <c r="CA36" s="461"/>
      <c r="CB36" s="461"/>
      <c r="CC36" s="461"/>
      <c r="CD36" s="461"/>
      <c r="CE36" s="461"/>
      <c r="CF36" s="461"/>
      <c r="CG36" s="461"/>
      <c r="CH36" s="461"/>
      <c r="CI36" s="461"/>
      <c r="CJ36" s="461"/>
      <c r="CK36" s="461"/>
      <c r="CL36" s="461"/>
      <c r="CM36" s="461"/>
      <c r="CN36" s="461"/>
      <c r="CO36" s="461"/>
      <c r="CP36" s="461"/>
      <c r="CQ36" s="461"/>
      <c r="CR36" s="461"/>
      <c r="CS36" s="461"/>
      <c r="CT36" s="461"/>
      <c r="CU36" s="461"/>
      <c r="CV36" s="461"/>
      <c r="CW36" s="461"/>
      <c r="CX36" s="461"/>
      <c r="CY36" s="461"/>
      <c r="CZ36" s="461"/>
      <c r="DA36" s="461"/>
      <c r="DB36" s="461"/>
      <c r="DC36" s="461"/>
      <c r="DD36" s="461"/>
      <c r="DE36" s="461"/>
      <c r="DF36" s="461"/>
      <c r="DG36" s="461"/>
      <c r="DH36" s="461"/>
      <c r="DI36" s="461"/>
      <c r="DJ36" s="461"/>
      <c r="DK36" s="461"/>
      <c r="DL36" s="461"/>
      <c r="DM36" s="461"/>
      <c r="DN36" s="461"/>
      <c r="DO36" s="461"/>
      <c r="DP36" s="461"/>
      <c r="DQ36" s="461"/>
      <c r="DR36" s="461"/>
      <c r="DS36" s="461"/>
      <c r="DT36" s="461"/>
      <c r="DU36" s="461"/>
      <c r="DV36" s="461"/>
      <c r="DW36" s="461"/>
      <c r="DX36" s="461"/>
      <c r="DY36" s="461"/>
      <c r="DZ36" s="461"/>
      <c r="EA36" s="461"/>
      <c r="EB36" s="461"/>
      <c r="EC36" s="461"/>
      <c r="ED36" s="461"/>
      <c r="EE36" s="461"/>
      <c r="EF36" s="461"/>
      <c r="EG36" s="461"/>
      <c r="EH36" s="461"/>
      <c r="EI36" s="461"/>
      <c r="EJ36" s="461"/>
      <c r="EK36" s="461"/>
      <c r="EL36" s="461"/>
      <c r="EM36" s="461"/>
      <c r="EN36" s="461"/>
      <c r="EO36" s="484"/>
      <c r="EP36" s="484"/>
      <c r="EQ36" s="484"/>
      <c r="ER36" s="484"/>
      <c r="ES36" s="484"/>
      <c r="ET36" s="484"/>
      <c r="EU36" s="484"/>
      <c r="EV36" s="484"/>
      <c r="EW36" s="484"/>
      <c r="EX36" s="484"/>
      <c r="EY36" s="484"/>
      <c r="EZ36" s="484"/>
      <c r="FA36" s="484"/>
      <c r="FB36" s="484"/>
      <c r="FC36" s="484"/>
      <c r="FD36" s="484"/>
      <c r="FE36" s="484"/>
      <c r="FF36" s="57"/>
      <c r="FG36" s="57"/>
      <c r="FH36" s="57"/>
      <c r="FI36" s="57"/>
      <c r="FJ36" s="57"/>
      <c r="FK36" s="57"/>
      <c r="FL36" s="57"/>
      <c r="FM36" s="57"/>
      <c r="FN36" s="57"/>
      <c r="FO36" s="57"/>
    </row>
    <row r="37" spans="1:171" s="58" customFormat="1" ht="15" customHeight="1" x14ac:dyDescent="0.2">
      <c r="A37" s="485" t="s">
        <v>182</v>
      </c>
      <c r="B37" s="485"/>
      <c r="C37" s="485"/>
      <c r="D37" s="485"/>
      <c r="E37" s="485"/>
      <c r="F37" s="485"/>
      <c r="G37" s="486" t="s">
        <v>181</v>
      </c>
      <c r="H37" s="486"/>
      <c r="I37" s="486"/>
      <c r="J37" s="486"/>
      <c r="K37" s="486"/>
      <c r="L37" s="486"/>
      <c r="M37" s="486"/>
      <c r="N37" s="486"/>
      <c r="O37" s="486"/>
      <c r="P37" s="486"/>
      <c r="Q37" s="486"/>
      <c r="R37" s="486"/>
      <c r="S37" s="486"/>
      <c r="T37" s="486"/>
      <c r="U37" s="486"/>
      <c r="V37" s="486"/>
      <c r="W37" s="486"/>
      <c r="X37" s="486"/>
      <c r="Y37" s="487">
        <v>1</v>
      </c>
      <c r="Z37" s="487"/>
      <c r="AA37" s="487"/>
      <c r="AB37" s="487"/>
      <c r="AC37" s="487"/>
      <c r="AD37" s="487"/>
      <c r="AE37" s="487"/>
      <c r="AF37" s="487"/>
      <c r="AG37" s="487"/>
      <c r="AH37" s="487"/>
      <c r="AI37" s="487"/>
      <c r="AJ37" s="487"/>
      <c r="AK37" s="487"/>
      <c r="AL37" s="487"/>
      <c r="AM37" s="487"/>
      <c r="AN37" s="487"/>
      <c r="AO37" s="461"/>
      <c r="AP37" s="461"/>
      <c r="AQ37" s="461"/>
      <c r="AR37" s="461"/>
      <c r="AS37" s="461"/>
      <c r="AT37" s="461"/>
      <c r="AU37" s="461"/>
      <c r="AV37" s="461"/>
      <c r="AW37" s="461"/>
      <c r="AX37" s="461"/>
      <c r="AY37" s="461"/>
      <c r="AZ37" s="461"/>
      <c r="BA37" s="461"/>
      <c r="BB37" s="461"/>
      <c r="BC37" s="461"/>
      <c r="BD37" s="461"/>
      <c r="BE37" s="461"/>
      <c r="BF37" s="461"/>
      <c r="BG37" s="461"/>
      <c r="BH37" s="461"/>
      <c r="BI37" s="461"/>
      <c r="BJ37" s="461"/>
      <c r="BK37" s="461"/>
      <c r="BL37" s="461"/>
      <c r="BM37" s="461"/>
      <c r="BN37" s="461"/>
      <c r="BO37" s="461"/>
      <c r="BP37" s="461"/>
      <c r="BQ37" s="461"/>
      <c r="BR37" s="461"/>
      <c r="BS37" s="461"/>
      <c r="BT37" s="461"/>
      <c r="BU37" s="461"/>
      <c r="BV37" s="461"/>
      <c r="BW37" s="461"/>
      <c r="BX37" s="461"/>
      <c r="BY37" s="461"/>
      <c r="BZ37" s="461"/>
      <c r="CA37" s="461"/>
      <c r="CB37" s="461"/>
      <c r="CC37" s="461"/>
      <c r="CD37" s="461"/>
      <c r="CE37" s="461"/>
      <c r="CF37" s="461"/>
      <c r="CG37" s="461"/>
      <c r="CH37" s="461"/>
      <c r="CI37" s="461"/>
      <c r="CJ37" s="461"/>
      <c r="CK37" s="461"/>
      <c r="CL37" s="461"/>
      <c r="CM37" s="461"/>
      <c r="CN37" s="461"/>
      <c r="CO37" s="461"/>
      <c r="CP37" s="461"/>
      <c r="CQ37" s="461"/>
      <c r="CR37" s="461"/>
      <c r="CS37" s="461"/>
      <c r="CT37" s="461"/>
      <c r="CU37" s="461"/>
      <c r="CV37" s="461"/>
      <c r="CW37" s="461"/>
      <c r="CX37" s="461"/>
      <c r="CY37" s="461"/>
      <c r="CZ37" s="461"/>
      <c r="DA37" s="461"/>
      <c r="DB37" s="461"/>
      <c r="DC37" s="461"/>
      <c r="DD37" s="461"/>
      <c r="DE37" s="461"/>
      <c r="DF37" s="461"/>
      <c r="DG37" s="461"/>
      <c r="DH37" s="461"/>
      <c r="DI37" s="461"/>
      <c r="DJ37" s="461"/>
      <c r="DK37" s="461"/>
      <c r="DL37" s="461"/>
      <c r="DM37" s="461"/>
      <c r="DN37" s="461"/>
      <c r="DO37" s="461"/>
      <c r="DP37" s="461"/>
      <c r="DQ37" s="461"/>
      <c r="DR37" s="461"/>
      <c r="DS37" s="461"/>
      <c r="DT37" s="461"/>
      <c r="DU37" s="461"/>
      <c r="DV37" s="461"/>
      <c r="DW37" s="461"/>
      <c r="DX37" s="461"/>
      <c r="DY37" s="461"/>
      <c r="DZ37" s="461"/>
      <c r="EA37" s="461"/>
      <c r="EB37" s="461"/>
      <c r="EC37" s="461"/>
      <c r="ED37" s="461"/>
      <c r="EE37" s="461"/>
      <c r="EF37" s="461"/>
      <c r="EG37" s="461"/>
      <c r="EH37" s="461"/>
      <c r="EI37" s="461"/>
      <c r="EJ37" s="461"/>
      <c r="EK37" s="461"/>
      <c r="EL37" s="461"/>
      <c r="EM37" s="461"/>
      <c r="EN37" s="461"/>
      <c r="EO37" s="484"/>
      <c r="EP37" s="484"/>
      <c r="EQ37" s="484"/>
      <c r="ER37" s="484"/>
      <c r="ES37" s="484"/>
      <c r="ET37" s="484"/>
      <c r="EU37" s="484"/>
      <c r="EV37" s="484"/>
      <c r="EW37" s="484"/>
      <c r="EX37" s="484"/>
      <c r="EY37" s="484"/>
      <c r="EZ37" s="484"/>
      <c r="FA37" s="484"/>
      <c r="FB37" s="484"/>
      <c r="FC37" s="484"/>
      <c r="FD37" s="484"/>
      <c r="FE37" s="484"/>
      <c r="FF37" s="57"/>
      <c r="FG37" s="57"/>
      <c r="FH37" s="57"/>
      <c r="FI37" s="57"/>
      <c r="FJ37" s="57"/>
      <c r="FK37" s="57"/>
      <c r="FL37" s="57"/>
      <c r="FM37" s="57"/>
      <c r="FN37" s="57"/>
      <c r="FO37" s="57"/>
    </row>
    <row r="38" spans="1:171" s="58" customFormat="1" ht="25.5" customHeight="1" x14ac:dyDescent="0.2">
      <c r="A38" s="485" t="s">
        <v>184</v>
      </c>
      <c r="B38" s="485"/>
      <c r="C38" s="485"/>
      <c r="D38" s="485"/>
      <c r="E38" s="485"/>
      <c r="F38" s="485"/>
      <c r="G38" s="486" t="s">
        <v>183</v>
      </c>
      <c r="H38" s="486"/>
      <c r="I38" s="486"/>
      <c r="J38" s="486"/>
      <c r="K38" s="486"/>
      <c r="L38" s="486"/>
      <c r="M38" s="486"/>
      <c r="N38" s="486"/>
      <c r="O38" s="486"/>
      <c r="P38" s="486"/>
      <c r="Q38" s="486"/>
      <c r="R38" s="486"/>
      <c r="S38" s="486"/>
      <c r="T38" s="486"/>
      <c r="U38" s="486"/>
      <c r="V38" s="486"/>
      <c r="W38" s="486"/>
      <c r="X38" s="486"/>
      <c r="Y38" s="487">
        <f>8</f>
        <v>8</v>
      </c>
      <c r="Z38" s="487"/>
      <c r="AA38" s="487"/>
      <c r="AB38" s="487"/>
      <c r="AC38" s="487"/>
      <c r="AD38" s="487"/>
      <c r="AE38" s="487"/>
      <c r="AF38" s="487"/>
      <c r="AG38" s="487"/>
      <c r="AH38" s="487"/>
      <c r="AI38" s="487"/>
      <c r="AJ38" s="487"/>
      <c r="AK38" s="487"/>
      <c r="AL38" s="487"/>
      <c r="AM38" s="487"/>
      <c r="AN38" s="487"/>
      <c r="AO38" s="461"/>
      <c r="AP38" s="461"/>
      <c r="AQ38" s="461"/>
      <c r="AR38" s="461"/>
      <c r="AS38" s="461"/>
      <c r="AT38" s="461"/>
      <c r="AU38" s="461"/>
      <c r="AV38" s="461"/>
      <c r="AW38" s="461"/>
      <c r="AX38" s="461"/>
      <c r="AY38" s="461"/>
      <c r="AZ38" s="461"/>
      <c r="BA38" s="461"/>
      <c r="BB38" s="461"/>
      <c r="BC38" s="461"/>
      <c r="BD38" s="461"/>
      <c r="BE38" s="461"/>
      <c r="BF38" s="461"/>
      <c r="BG38" s="461"/>
      <c r="BH38" s="461"/>
      <c r="BI38" s="461"/>
      <c r="BJ38" s="461"/>
      <c r="BK38" s="461"/>
      <c r="BL38" s="461"/>
      <c r="BM38" s="461"/>
      <c r="BN38" s="461"/>
      <c r="BO38" s="461"/>
      <c r="BP38" s="461"/>
      <c r="BQ38" s="461"/>
      <c r="BR38" s="461"/>
      <c r="BS38" s="461"/>
      <c r="BT38" s="461"/>
      <c r="BU38" s="461"/>
      <c r="BV38" s="461"/>
      <c r="BW38" s="461"/>
      <c r="BX38" s="461"/>
      <c r="BY38" s="461"/>
      <c r="BZ38" s="461"/>
      <c r="CA38" s="461"/>
      <c r="CB38" s="461"/>
      <c r="CC38" s="461"/>
      <c r="CD38" s="461"/>
      <c r="CE38" s="461"/>
      <c r="CF38" s="461"/>
      <c r="CG38" s="461"/>
      <c r="CH38" s="461"/>
      <c r="CI38" s="461"/>
      <c r="CJ38" s="461"/>
      <c r="CK38" s="461"/>
      <c r="CL38" s="461"/>
      <c r="CM38" s="461"/>
      <c r="CN38" s="461"/>
      <c r="CO38" s="461"/>
      <c r="CP38" s="461"/>
      <c r="CQ38" s="461"/>
      <c r="CR38" s="461"/>
      <c r="CS38" s="461"/>
      <c r="CT38" s="461"/>
      <c r="CU38" s="461"/>
      <c r="CV38" s="461"/>
      <c r="CW38" s="461"/>
      <c r="CX38" s="461"/>
      <c r="CY38" s="461"/>
      <c r="CZ38" s="461"/>
      <c r="DA38" s="461"/>
      <c r="DB38" s="461"/>
      <c r="DC38" s="461"/>
      <c r="DD38" s="461"/>
      <c r="DE38" s="461"/>
      <c r="DF38" s="461"/>
      <c r="DG38" s="461"/>
      <c r="DH38" s="461"/>
      <c r="DI38" s="461"/>
      <c r="DJ38" s="461"/>
      <c r="DK38" s="461"/>
      <c r="DL38" s="461"/>
      <c r="DM38" s="461"/>
      <c r="DN38" s="461"/>
      <c r="DO38" s="461"/>
      <c r="DP38" s="461"/>
      <c r="DQ38" s="461"/>
      <c r="DR38" s="461"/>
      <c r="DS38" s="461"/>
      <c r="DT38" s="461"/>
      <c r="DU38" s="461"/>
      <c r="DV38" s="461"/>
      <c r="DW38" s="461"/>
      <c r="DX38" s="461"/>
      <c r="DY38" s="461"/>
      <c r="DZ38" s="461"/>
      <c r="EA38" s="461"/>
      <c r="EB38" s="461"/>
      <c r="EC38" s="461"/>
      <c r="ED38" s="461"/>
      <c r="EE38" s="461"/>
      <c r="EF38" s="461"/>
      <c r="EG38" s="461"/>
      <c r="EH38" s="461"/>
      <c r="EI38" s="461"/>
      <c r="EJ38" s="461"/>
      <c r="EK38" s="461"/>
      <c r="EL38" s="461"/>
      <c r="EM38" s="461"/>
      <c r="EN38" s="461"/>
      <c r="EO38" s="484"/>
      <c r="EP38" s="484"/>
      <c r="EQ38" s="484"/>
      <c r="ER38" s="484"/>
      <c r="ES38" s="484"/>
      <c r="ET38" s="484"/>
      <c r="EU38" s="484"/>
      <c r="EV38" s="484"/>
      <c r="EW38" s="484"/>
      <c r="EX38" s="484"/>
      <c r="EY38" s="484"/>
      <c r="EZ38" s="484"/>
      <c r="FA38" s="484"/>
      <c r="FB38" s="484"/>
      <c r="FC38" s="484"/>
      <c r="FD38" s="484"/>
      <c r="FE38" s="484"/>
      <c r="FF38" s="57"/>
      <c r="FG38" s="57"/>
      <c r="FH38" s="57"/>
      <c r="FI38" s="57"/>
      <c r="FJ38" s="57"/>
      <c r="FK38" s="57"/>
      <c r="FL38" s="57"/>
      <c r="FM38" s="57"/>
      <c r="FN38" s="57"/>
      <c r="FO38" s="57"/>
    </row>
    <row r="39" spans="1:171" s="58" customFormat="1" ht="41.25" customHeight="1" x14ac:dyDescent="0.2">
      <c r="A39" s="485" t="s">
        <v>186</v>
      </c>
      <c r="B39" s="485"/>
      <c r="C39" s="485"/>
      <c r="D39" s="485"/>
      <c r="E39" s="485"/>
      <c r="F39" s="485"/>
      <c r="G39" s="486" t="s">
        <v>185</v>
      </c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6"/>
      <c r="X39" s="486"/>
      <c r="Y39" s="487">
        <f>4-2</f>
        <v>2</v>
      </c>
      <c r="Z39" s="487"/>
      <c r="AA39" s="487"/>
      <c r="AB39" s="487"/>
      <c r="AC39" s="487"/>
      <c r="AD39" s="487"/>
      <c r="AE39" s="487"/>
      <c r="AF39" s="487"/>
      <c r="AG39" s="487"/>
      <c r="AH39" s="487"/>
      <c r="AI39" s="487"/>
      <c r="AJ39" s="487"/>
      <c r="AK39" s="487"/>
      <c r="AL39" s="487"/>
      <c r="AM39" s="487"/>
      <c r="AN39" s="487"/>
      <c r="AO39" s="461"/>
      <c r="AP39" s="461"/>
      <c r="AQ39" s="461"/>
      <c r="AR39" s="461"/>
      <c r="AS39" s="461"/>
      <c r="AT39" s="461"/>
      <c r="AU39" s="461"/>
      <c r="AV39" s="461"/>
      <c r="AW39" s="461"/>
      <c r="AX39" s="461"/>
      <c r="AY39" s="461"/>
      <c r="AZ39" s="461"/>
      <c r="BA39" s="461"/>
      <c r="BB39" s="461"/>
      <c r="BC39" s="461"/>
      <c r="BD39" s="461"/>
      <c r="BE39" s="461"/>
      <c r="BF39" s="461"/>
      <c r="BG39" s="461"/>
      <c r="BH39" s="461"/>
      <c r="BI39" s="461"/>
      <c r="BJ39" s="461"/>
      <c r="BK39" s="461"/>
      <c r="BL39" s="461"/>
      <c r="BM39" s="461"/>
      <c r="BN39" s="461"/>
      <c r="BO39" s="461"/>
      <c r="BP39" s="461"/>
      <c r="BQ39" s="461"/>
      <c r="BR39" s="461"/>
      <c r="BS39" s="461"/>
      <c r="BT39" s="461"/>
      <c r="BU39" s="461"/>
      <c r="BV39" s="461"/>
      <c r="BW39" s="461"/>
      <c r="BX39" s="461"/>
      <c r="BY39" s="461"/>
      <c r="BZ39" s="461"/>
      <c r="CA39" s="461"/>
      <c r="CB39" s="461"/>
      <c r="CC39" s="461"/>
      <c r="CD39" s="461"/>
      <c r="CE39" s="461"/>
      <c r="CF39" s="461"/>
      <c r="CG39" s="461"/>
      <c r="CH39" s="461"/>
      <c r="CI39" s="461"/>
      <c r="CJ39" s="461"/>
      <c r="CK39" s="461"/>
      <c r="CL39" s="461"/>
      <c r="CM39" s="461"/>
      <c r="CN39" s="461"/>
      <c r="CO39" s="461"/>
      <c r="CP39" s="461"/>
      <c r="CQ39" s="461"/>
      <c r="CR39" s="461"/>
      <c r="CS39" s="461"/>
      <c r="CT39" s="461"/>
      <c r="CU39" s="461"/>
      <c r="CV39" s="461"/>
      <c r="CW39" s="461"/>
      <c r="CX39" s="461"/>
      <c r="CY39" s="461"/>
      <c r="CZ39" s="461"/>
      <c r="DA39" s="461"/>
      <c r="DB39" s="461"/>
      <c r="DC39" s="461"/>
      <c r="DD39" s="461"/>
      <c r="DE39" s="461"/>
      <c r="DF39" s="461"/>
      <c r="DG39" s="461"/>
      <c r="DH39" s="461"/>
      <c r="DI39" s="461"/>
      <c r="DJ39" s="461"/>
      <c r="DK39" s="461"/>
      <c r="DL39" s="461"/>
      <c r="DM39" s="461"/>
      <c r="DN39" s="461"/>
      <c r="DO39" s="461"/>
      <c r="DP39" s="461"/>
      <c r="DQ39" s="461"/>
      <c r="DR39" s="461"/>
      <c r="DS39" s="461"/>
      <c r="DT39" s="461"/>
      <c r="DU39" s="461"/>
      <c r="DV39" s="461"/>
      <c r="DW39" s="461"/>
      <c r="DX39" s="461"/>
      <c r="DY39" s="461"/>
      <c r="DZ39" s="461"/>
      <c r="EA39" s="461"/>
      <c r="EB39" s="461"/>
      <c r="EC39" s="461"/>
      <c r="ED39" s="461"/>
      <c r="EE39" s="461"/>
      <c r="EF39" s="461"/>
      <c r="EG39" s="461"/>
      <c r="EH39" s="461"/>
      <c r="EI39" s="461"/>
      <c r="EJ39" s="461"/>
      <c r="EK39" s="461"/>
      <c r="EL39" s="461"/>
      <c r="EM39" s="461"/>
      <c r="EN39" s="461"/>
      <c r="EO39" s="484"/>
      <c r="EP39" s="484"/>
      <c r="EQ39" s="484"/>
      <c r="ER39" s="484"/>
      <c r="ES39" s="484"/>
      <c r="ET39" s="484"/>
      <c r="EU39" s="484"/>
      <c r="EV39" s="484"/>
      <c r="EW39" s="484"/>
      <c r="EX39" s="484"/>
      <c r="EY39" s="484"/>
      <c r="EZ39" s="484"/>
      <c r="FA39" s="484"/>
      <c r="FB39" s="484"/>
      <c r="FC39" s="484"/>
      <c r="FD39" s="484"/>
      <c r="FE39" s="484"/>
      <c r="FF39" s="57"/>
      <c r="FG39" s="57"/>
      <c r="FH39" s="57"/>
      <c r="FI39" s="57"/>
      <c r="FJ39" s="57"/>
      <c r="FK39" s="57"/>
      <c r="FL39" s="57"/>
      <c r="FM39" s="57"/>
      <c r="FN39" s="57"/>
      <c r="FO39" s="57"/>
    </row>
    <row r="40" spans="1:171" s="58" customFormat="1" ht="15" customHeight="1" x14ac:dyDescent="0.2">
      <c r="A40" s="485" t="s">
        <v>188</v>
      </c>
      <c r="B40" s="485"/>
      <c r="C40" s="485"/>
      <c r="D40" s="485"/>
      <c r="E40" s="485"/>
      <c r="F40" s="485"/>
      <c r="G40" s="486" t="s">
        <v>187</v>
      </c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6"/>
      <c r="X40" s="486"/>
      <c r="Y40" s="487">
        <f>1.5-0.5</f>
        <v>1</v>
      </c>
      <c r="Z40" s="487"/>
      <c r="AA40" s="487"/>
      <c r="AB40" s="487"/>
      <c r="AC40" s="487"/>
      <c r="AD40" s="487"/>
      <c r="AE40" s="487"/>
      <c r="AF40" s="487"/>
      <c r="AG40" s="487"/>
      <c r="AH40" s="487"/>
      <c r="AI40" s="487"/>
      <c r="AJ40" s="487"/>
      <c r="AK40" s="487"/>
      <c r="AL40" s="487"/>
      <c r="AM40" s="487"/>
      <c r="AN40" s="487"/>
      <c r="AO40" s="461"/>
      <c r="AP40" s="461"/>
      <c r="AQ40" s="461"/>
      <c r="AR40" s="461"/>
      <c r="AS40" s="461"/>
      <c r="AT40" s="461"/>
      <c r="AU40" s="461"/>
      <c r="AV40" s="461"/>
      <c r="AW40" s="461"/>
      <c r="AX40" s="461"/>
      <c r="AY40" s="461"/>
      <c r="AZ40" s="461"/>
      <c r="BA40" s="461"/>
      <c r="BB40" s="461"/>
      <c r="BC40" s="461"/>
      <c r="BD40" s="461"/>
      <c r="BE40" s="461"/>
      <c r="BF40" s="461"/>
      <c r="BG40" s="461"/>
      <c r="BH40" s="461"/>
      <c r="BI40" s="461"/>
      <c r="BJ40" s="461"/>
      <c r="BK40" s="461"/>
      <c r="BL40" s="461"/>
      <c r="BM40" s="461"/>
      <c r="BN40" s="461"/>
      <c r="BO40" s="461"/>
      <c r="BP40" s="461"/>
      <c r="BQ40" s="461"/>
      <c r="BR40" s="461"/>
      <c r="BS40" s="461"/>
      <c r="BT40" s="461"/>
      <c r="BU40" s="461"/>
      <c r="BV40" s="461"/>
      <c r="BW40" s="461"/>
      <c r="BX40" s="461"/>
      <c r="BY40" s="461"/>
      <c r="BZ40" s="461"/>
      <c r="CA40" s="461"/>
      <c r="CB40" s="461"/>
      <c r="CC40" s="461"/>
      <c r="CD40" s="461"/>
      <c r="CE40" s="461"/>
      <c r="CF40" s="461"/>
      <c r="CG40" s="461"/>
      <c r="CH40" s="461"/>
      <c r="CI40" s="461"/>
      <c r="CJ40" s="461"/>
      <c r="CK40" s="461"/>
      <c r="CL40" s="461"/>
      <c r="CM40" s="461"/>
      <c r="CN40" s="461"/>
      <c r="CO40" s="461"/>
      <c r="CP40" s="461"/>
      <c r="CQ40" s="461"/>
      <c r="CR40" s="461"/>
      <c r="CS40" s="461"/>
      <c r="CT40" s="461"/>
      <c r="CU40" s="461"/>
      <c r="CV40" s="461"/>
      <c r="CW40" s="461"/>
      <c r="CX40" s="461"/>
      <c r="CY40" s="461"/>
      <c r="CZ40" s="461"/>
      <c r="DA40" s="461"/>
      <c r="DB40" s="461"/>
      <c r="DC40" s="461"/>
      <c r="DD40" s="461"/>
      <c r="DE40" s="461"/>
      <c r="DF40" s="461"/>
      <c r="DG40" s="461"/>
      <c r="DH40" s="461"/>
      <c r="DI40" s="461"/>
      <c r="DJ40" s="461"/>
      <c r="DK40" s="461"/>
      <c r="DL40" s="461"/>
      <c r="DM40" s="461"/>
      <c r="DN40" s="461"/>
      <c r="DO40" s="461"/>
      <c r="DP40" s="461"/>
      <c r="DQ40" s="461"/>
      <c r="DR40" s="461"/>
      <c r="DS40" s="461"/>
      <c r="DT40" s="461"/>
      <c r="DU40" s="461"/>
      <c r="DV40" s="461"/>
      <c r="DW40" s="461"/>
      <c r="DX40" s="461"/>
      <c r="DY40" s="461"/>
      <c r="DZ40" s="461"/>
      <c r="EA40" s="461"/>
      <c r="EB40" s="461"/>
      <c r="EC40" s="461"/>
      <c r="ED40" s="461"/>
      <c r="EE40" s="461"/>
      <c r="EF40" s="461"/>
      <c r="EG40" s="461"/>
      <c r="EH40" s="461"/>
      <c r="EI40" s="461"/>
      <c r="EJ40" s="461"/>
      <c r="EK40" s="461"/>
      <c r="EL40" s="461"/>
      <c r="EM40" s="461"/>
      <c r="EN40" s="461"/>
      <c r="EO40" s="484"/>
      <c r="EP40" s="484"/>
      <c r="EQ40" s="484"/>
      <c r="ER40" s="484"/>
      <c r="ES40" s="484"/>
      <c r="ET40" s="484"/>
      <c r="EU40" s="484"/>
      <c r="EV40" s="484"/>
      <c r="EW40" s="484"/>
      <c r="EX40" s="484"/>
      <c r="EY40" s="484"/>
      <c r="EZ40" s="484"/>
      <c r="FA40" s="484"/>
      <c r="FB40" s="484"/>
      <c r="FC40" s="484"/>
      <c r="FD40" s="484"/>
      <c r="FE40" s="484"/>
      <c r="FF40" s="57"/>
      <c r="FG40" s="57"/>
      <c r="FH40" s="57"/>
      <c r="FI40" s="57"/>
      <c r="FJ40" s="57"/>
      <c r="FK40" s="57"/>
      <c r="FL40" s="57"/>
      <c r="FM40" s="57"/>
      <c r="FN40" s="57"/>
      <c r="FO40" s="57"/>
    </row>
    <row r="41" spans="1:171" s="58" customFormat="1" ht="42" customHeight="1" x14ac:dyDescent="0.2">
      <c r="A41" s="485" t="s">
        <v>189</v>
      </c>
      <c r="B41" s="485"/>
      <c r="C41" s="485"/>
      <c r="D41" s="485"/>
      <c r="E41" s="485"/>
      <c r="F41" s="485"/>
      <c r="G41" s="486" t="s">
        <v>192</v>
      </c>
      <c r="H41" s="486"/>
      <c r="I41" s="486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6"/>
      <c r="X41" s="486"/>
      <c r="Y41" s="487">
        <v>0.5</v>
      </c>
      <c r="Z41" s="487"/>
      <c r="AA41" s="487"/>
      <c r="AB41" s="487"/>
      <c r="AC41" s="487"/>
      <c r="AD41" s="487"/>
      <c r="AE41" s="487"/>
      <c r="AF41" s="487"/>
      <c r="AG41" s="487"/>
      <c r="AH41" s="487"/>
      <c r="AI41" s="487"/>
      <c r="AJ41" s="487"/>
      <c r="AK41" s="487"/>
      <c r="AL41" s="487"/>
      <c r="AM41" s="487"/>
      <c r="AN41" s="487"/>
      <c r="AO41" s="461"/>
      <c r="AP41" s="461"/>
      <c r="AQ41" s="461"/>
      <c r="AR41" s="461"/>
      <c r="AS41" s="461"/>
      <c r="AT41" s="461"/>
      <c r="AU41" s="461"/>
      <c r="AV41" s="461"/>
      <c r="AW41" s="461"/>
      <c r="AX41" s="461"/>
      <c r="AY41" s="461"/>
      <c r="AZ41" s="461"/>
      <c r="BA41" s="461"/>
      <c r="BB41" s="461"/>
      <c r="BC41" s="461"/>
      <c r="BD41" s="461"/>
      <c r="BE41" s="461"/>
      <c r="BF41" s="461"/>
      <c r="BG41" s="461"/>
      <c r="BH41" s="461"/>
      <c r="BI41" s="461"/>
      <c r="BJ41" s="461"/>
      <c r="BK41" s="461"/>
      <c r="BL41" s="461"/>
      <c r="BM41" s="461"/>
      <c r="BN41" s="461"/>
      <c r="BO41" s="461"/>
      <c r="BP41" s="461"/>
      <c r="BQ41" s="461"/>
      <c r="BR41" s="461"/>
      <c r="BS41" s="461"/>
      <c r="BT41" s="461"/>
      <c r="BU41" s="461"/>
      <c r="BV41" s="461"/>
      <c r="BW41" s="461"/>
      <c r="BX41" s="461"/>
      <c r="BY41" s="461"/>
      <c r="BZ41" s="461"/>
      <c r="CA41" s="461"/>
      <c r="CB41" s="461"/>
      <c r="CC41" s="461"/>
      <c r="CD41" s="461"/>
      <c r="CE41" s="461"/>
      <c r="CF41" s="461"/>
      <c r="CG41" s="461"/>
      <c r="CH41" s="461"/>
      <c r="CI41" s="461"/>
      <c r="CJ41" s="461"/>
      <c r="CK41" s="461"/>
      <c r="CL41" s="461"/>
      <c r="CM41" s="461"/>
      <c r="CN41" s="461"/>
      <c r="CO41" s="461"/>
      <c r="CP41" s="461"/>
      <c r="CQ41" s="461"/>
      <c r="CR41" s="461"/>
      <c r="CS41" s="461"/>
      <c r="CT41" s="461"/>
      <c r="CU41" s="461"/>
      <c r="CV41" s="461"/>
      <c r="CW41" s="461"/>
      <c r="CX41" s="461"/>
      <c r="CY41" s="461"/>
      <c r="CZ41" s="461"/>
      <c r="DA41" s="461"/>
      <c r="DB41" s="461"/>
      <c r="DC41" s="461"/>
      <c r="DD41" s="461"/>
      <c r="DE41" s="461"/>
      <c r="DF41" s="461"/>
      <c r="DG41" s="461"/>
      <c r="DH41" s="461"/>
      <c r="DI41" s="461"/>
      <c r="DJ41" s="461"/>
      <c r="DK41" s="461"/>
      <c r="DL41" s="461"/>
      <c r="DM41" s="461"/>
      <c r="DN41" s="461"/>
      <c r="DO41" s="461"/>
      <c r="DP41" s="461"/>
      <c r="DQ41" s="461"/>
      <c r="DR41" s="461"/>
      <c r="DS41" s="461"/>
      <c r="DT41" s="461"/>
      <c r="DU41" s="461"/>
      <c r="DV41" s="461"/>
      <c r="DW41" s="461"/>
      <c r="DX41" s="461"/>
      <c r="DY41" s="461"/>
      <c r="DZ41" s="461"/>
      <c r="EA41" s="461"/>
      <c r="EB41" s="461"/>
      <c r="EC41" s="461"/>
      <c r="ED41" s="461"/>
      <c r="EE41" s="461"/>
      <c r="EF41" s="461"/>
      <c r="EG41" s="461"/>
      <c r="EH41" s="461"/>
      <c r="EI41" s="461"/>
      <c r="EJ41" s="461"/>
      <c r="EK41" s="461"/>
      <c r="EL41" s="461"/>
      <c r="EM41" s="461"/>
      <c r="EN41" s="461"/>
      <c r="EO41" s="484"/>
      <c r="EP41" s="484"/>
      <c r="EQ41" s="484"/>
      <c r="ER41" s="484"/>
      <c r="ES41" s="484"/>
      <c r="ET41" s="484"/>
      <c r="EU41" s="484"/>
      <c r="EV41" s="484"/>
      <c r="EW41" s="484"/>
      <c r="EX41" s="484"/>
      <c r="EY41" s="484"/>
      <c r="EZ41" s="484"/>
      <c r="FA41" s="484"/>
      <c r="FB41" s="484"/>
      <c r="FC41" s="484"/>
      <c r="FD41" s="484"/>
      <c r="FE41" s="484"/>
      <c r="FF41" s="57"/>
      <c r="FG41" s="57"/>
      <c r="FH41" s="57"/>
      <c r="FI41" s="57"/>
      <c r="FJ41" s="57"/>
      <c r="FK41" s="57"/>
      <c r="FL41" s="57"/>
      <c r="FM41" s="57"/>
      <c r="FN41" s="57"/>
      <c r="FO41" s="57"/>
    </row>
    <row r="42" spans="1:171" s="58" customFormat="1" ht="31.5" customHeight="1" x14ac:dyDescent="0.2">
      <c r="A42" s="485" t="s">
        <v>345</v>
      </c>
      <c r="B42" s="485"/>
      <c r="C42" s="485"/>
      <c r="D42" s="485"/>
      <c r="E42" s="485"/>
      <c r="F42" s="485"/>
      <c r="G42" s="486" t="s">
        <v>190</v>
      </c>
      <c r="H42" s="486"/>
      <c r="I42" s="486"/>
      <c r="J42" s="486"/>
      <c r="K42" s="486"/>
      <c r="L42" s="486"/>
      <c r="M42" s="486"/>
      <c r="N42" s="486"/>
      <c r="O42" s="486"/>
      <c r="P42" s="486"/>
      <c r="Q42" s="486"/>
      <c r="R42" s="486"/>
      <c r="S42" s="486"/>
      <c r="T42" s="486"/>
      <c r="U42" s="486"/>
      <c r="V42" s="486"/>
      <c r="W42" s="486"/>
      <c r="X42" s="486"/>
      <c r="Y42" s="487">
        <v>3</v>
      </c>
      <c r="Z42" s="487"/>
      <c r="AA42" s="487"/>
      <c r="AB42" s="487"/>
      <c r="AC42" s="487"/>
      <c r="AD42" s="487"/>
      <c r="AE42" s="487"/>
      <c r="AF42" s="487"/>
      <c r="AG42" s="487"/>
      <c r="AH42" s="487"/>
      <c r="AI42" s="487"/>
      <c r="AJ42" s="487"/>
      <c r="AK42" s="487"/>
      <c r="AL42" s="487"/>
      <c r="AM42" s="487"/>
      <c r="AN42" s="487"/>
      <c r="AO42" s="461"/>
      <c r="AP42" s="461"/>
      <c r="AQ42" s="461"/>
      <c r="AR42" s="461"/>
      <c r="AS42" s="461"/>
      <c r="AT42" s="461"/>
      <c r="AU42" s="461"/>
      <c r="AV42" s="461"/>
      <c r="AW42" s="461"/>
      <c r="AX42" s="461"/>
      <c r="AY42" s="461"/>
      <c r="AZ42" s="461"/>
      <c r="BA42" s="461"/>
      <c r="BB42" s="461"/>
      <c r="BC42" s="461"/>
      <c r="BD42" s="461"/>
      <c r="BE42" s="461"/>
      <c r="BF42" s="461"/>
      <c r="BG42" s="461"/>
      <c r="BH42" s="461"/>
      <c r="BI42" s="461"/>
      <c r="BJ42" s="461"/>
      <c r="BK42" s="461"/>
      <c r="BL42" s="461"/>
      <c r="BM42" s="461"/>
      <c r="BN42" s="461"/>
      <c r="BO42" s="461"/>
      <c r="BP42" s="461"/>
      <c r="BQ42" s="461"/>
      <c r="BR42" s="461"/>
      <c r="BS42" s="461"/>
      <c r="BT42" s="461"/>
      <c r="BU42" s="461"/>
      <c r="BV42" s="461"/>
      <c r="BW42" s="461"/>
      <c r="BX42" s="461"/>
      <c r="BY42" s="461"/>
      <c r="BZ42" s="461"/>
      <c r="CA42" s="461"/>
      <c r="CB42" s="461"/>
      <c r="CC42" s="461"/>
      <c r="CD42" s="461"/>
      <c r="CE42" s="461"/>
      <c r="CF42" s="461"/>
      <c r="CG42" s="461"/>
      <c r="CH42" s="461"/>
      <c r="CI42" s="461"/>
      <c r="CJ42" s="461"/>
      <c r="CK42" s="461"/>
      <c r="CL42" s="461"/>
      <c r="CM42" s="461"/>
      <c r="CN42" s="461"/>
      <c r="CO42" s="461"/>
      <c r="CP42" s="461"/>
      <c r="CQ42" s="461"/>
      <c r="CR42" s="461"/>
      <c r="CS42" s="461"/>
      <c r="CT42" s="461"/>
      <c r="CU42" s="461"/>
      <c r="CV42" s="461"/>
      <c r="CW42" s="461"/>
      <c r="CX42" s="461"/>
      <c r="CY42" s="461"/>
      <c r="CZ42" s="461"/>
      <c r="DA42" s="461"/>
      <c r="DB42" s="461"/>
      <c r="DC42" s="461"/>
      <c r="DD42" s="461"/>
      <c r="DE42" s="461"/>
      <c r="DF42" s="461"/>
      <c r="DG42" s="461"/>
      <c r="DH42" s="461"/>
      <c r="DI42" s="461"/>
      <c r="DJ42" s="461"/>
      <c r="DK42" s="461"/>
      <c r="DL42" s="461"/>
      <c r="DM42" s="461"/>
      <c r="DN42" s="461"/>
      <c r="DO42" s="461"/>
      <c r="DP42" s="461"/>
      <c r="DQ42" s="461"/>
      <c r="DR42" s="461"/>
      <c r="DS42" s="461"/>
      <c r="DT42" s="461"/>
      <c r="DU42" s="461"/>
      <c r="DV42" s="461"/>
      <c r="DW42" s="461"/>
      <c r="DX42" s="461"/>
      <c r="DY42" s="461"/>
      <c r="DZ42" s="461"/>
      <c r="EA42" s="461"/>
      <c r="EB42" s="461"/>
      <c r="EC42" s="461"/>
      <c r="ED42" s="461"/>
      <c r="EE42" s="461"/>
      <c r="EF42" s="461"/>
      <c r="EG42" s="461"/>
      <c r="EH42" s="461"/>
      <c r="EI42" s="461"/>
      <c r="EJ42" s="461"/>
      <c r="EK42" s="461"/>
      <c r="EL42" s="461"/>
      <c r="EM42" s="461"/>
      <c r="EN42" s="461"/>
      <c r="EO42" s="484"/>
      <c r="EP42" s="484"/>
      <c r="EQ42" s="484"/>
      <c r="ER42" s="484"/>
      <c r="ES42" s="484"/>
      <c r="ET42" s="484"/>
      <c r="EU42" s="484"/>
      <c r="EV42" s="484"/>
      <c r="EW42" s="484"/>
      <c r="EX42" s="484"/>
      <c r="EY42" s="484"/>
      <c r="EZ42" s="484"/>
      <c r="FA42" s="484"/>
      <c r="FB42" s="484"/>
      <c r="FC42" s="484"/>
      <c r="FD42" s="484"/>
      <c r="FE42" s="484"/>
      <c r="FF42" s="57"/>
      <c r="FG42" s="57"/>
      <c r="FH42" s="57"/>
      <c r="FI42" s="57"/>
      <c r="FJ42" s="57"/>
      <c r="FK42" s="57"/>
      <c r="FL42" s="57"/>
      <c r="FM42" s="57"/>
      <c r="FN42" s="57"/>
      <c r="FO42" s="57"/>
    </row>
    <row r="43" spans="1:171" s="58" customFormat="1" ht="31.5" customHeight="1" x14ac:dyDescent="0.2">
      <c r="A43" s="485" t="s">
        <v>402</v>
      </c>
      <c r="B43" s="485"/>
      <c r="C43" s="485"/>
      <c r="D43" s="485"/>
      <c r="E43" s="485"/>
      <c r="F43" s="485"/>
      <c r="G43" s="486" t="s">
        <v>346</v>
      </c>
      <c r="H43" s="486"/>
      <c r="I43" s="486"/>
      <c r="J43" s="486"/>
      <c r="K43" s="486"/>
      <c r="L43" s="486"/>
      <c r="M43" s="486"/>
      <c r="N43" s="486"/>
      <c r="O43" s="486"/>
      <c r="P43" s="486"/>
      <c r="Q43" s="486"/>
      <c r="R43" s="486"/>
      <c r="S43" s="486"/>
      <c r="T43" s="486"/>
      <c r="U43" s="486"/>
      <c r="V43" s="486"/>
      <c r="W43" s="486"/>
      <c r="X43" s="486"/>
      <c r="Y43" s="487">
        <v>1</v>
      </c>
      <c r="Z43" s="487"/>
      <c r="AA43" s="487"/>
      <c r="AB43" s="487"/>
      <c r="AC43" s="487"/>
      <c r="AD43" s="487"/>
      <c r="AE43" s="487"/>
      <c r="AF43" s="487"/>
      <c r="AG43" s="487"/>
      <c r="AH43" s="487"/>
      <c r="AI43" s="487"/>
      <c r="AJ43" s="487"/>
      <c r="AK43" s="487"/>
      <c r="AL43" s="487"/>
      <c r="AM43" s="487"/>
      <c r="AN43" s="487"/>
      <c r="AO43" s="461"/>
      <c r="AP43" s="461"/>
      <c r="AQ43" s="461"/>
      <c r="AR43" s="461"/>
      <c r="AS43" s="461"/>
      <c r="AT43" s="461"/>
      <c r="AU43" s="461"/>
      <c r="AV43" s="461"/>
      <c r="AW43" s="461"/>
      <c r="AX43" s="461"/>
      <c r="AY43" s="461"/>
      <c r="AZ43" s="461"/>
      <c r="BA43" s="461"/>
      <c r="BB43" s="461"/>
      <c r="BC43" s="461"/>
      <c r="BD43" s="461"/>
      <c r="BE43" s="461"/>
      <c r="BF43" s="461"/>
      <c r="BG43" s="461"/>
      <c r="BH43" s="461"/>
      <c r="BI43" s="461"/>
      <c r="BJ43" s="461"/>
      <c r="BK43" s="461"/>
      <c r="BL43" s="461"/>
      <c r="BM43" s="461"/>
      <c r="BN43" s="461"/>
      <c r="BO43" s="461"/>
      <c r="BP43" s="461"/>
      <c r="BQ43" s="461"/>
      <c r="BR43" s="461"/>
      <c r="BS43" s="461"/>
      <c r="BT43" s="461"/>
      <c r="BU43" s="461"/>
      <c r="BV43" s="461"/>
      <c r="BW43" s="461"/>
      <c r="BX43" s="461"/>
      <c r="BY43" s="461"/>
      <c r="BZ43" s="461"/>
      <c r="CA43" s="461"/>
      <c r="CB43" s="461"/>
      <c r="CC43" s="461"/>
      <c r="CD43" s="461"/>
      <c r="CE43" s="461"/>
      <c r="CF43" s="461"/>
      <c r="CG43" s="461"/>
      <c r="CH43" s="461"/>
      <c r="CI43" s="461"/>
      <c r="CJ43" s="461"/>
      <c r="CK43" s="461"/>
      <c r="CL43" s="461"/>
      <c r="CM43" s="461"/>
      <c r="CN43" s="461"/>
      <c r="CO43" s="461"/>
      <c r="CP43" s="461"/>
      <c r="CQ43" s="461"/>
      <c r="CR43" s="461"/>
      <c r="CS43" s="461"/>
      <c r="CT43" s="461"/>
      <c r="CU43" s="461"/>
      <c r="CV43" s="461"/>
      <c r="CW43" s="461"/>
      <c r="CX43" s="461"/>
      <c r="CY43" s="461"/>
      <c r="CZ43" s="461"/>
      <c r="DA43" s="461"/>
      <c r="DB43" s="461"/>
      <c r="DC43" s="461"/>
      <c r="DD43" s="461"/>
      <c r="DE43" s="461"/>
      <c r="DF43" s="461"/>
      <c r="DG43" s="461"/>
      <c r="DH43" s="461"/>
      <c r="DI43" s="461"/>
      <c r="DJ43" s="461"/>
      <c r="DK43" s="461"/>
      <c r="DL43" s="461"/>
      <c r="DM43" s="461"/>
      <c r="DN43" s="461"/>
      <c r="DO43" s="461"/>
      <c r="DP43" s="461"/>
      <c r="DQ43" s="461"/>
      <c r="DR43" s="461"/>
      <c r="DS43" s="461"/>
      <c r="DT43" s="461"/>
      <c r="DU43" s="461"/>
      <c r="DV43" s="461"/>
      <c r="DW43" s="461"/>
      <c r="DX43" s="461"/>
      <c r="DY43" s="461"/>
      <c r="DZ43" s="461"/>
      <c r="EA43" s="461"/>
      <c r="EB43" s="461"/>
      <c r="EC43" s="461"/>
      <c r="ED43" s="461"/>
      <c r="EE43" s="461"/>
      <c r="EF43" s="461"/>
      <c r="EG43" s="461"/>
      <c r="EH43" s="461"/>
      <c r="EI43" s="461"/>
      <c r="EJ43" s="461"/>
      <c r="EK43" s="461"/>
      <c r="EL43" s="461"/>
      <c r="EM43" s="461"/>
      <c r="EN43" s="461"/>
      <c r="EO43" s="484"/>
      <c r="EP43" s="484"/>
      <c r="EQ43" s="484"/>
      <c r="ER43" s="484"/>
      <c r="ES43" s="484"/>
      <c r="ET43" s="484"/>
      <c r="EU43" s="484"/>
      <c r="EV43" s="484"/>
      <c r="EW43" s="484"/>
      <c r="EX43" s="484"/>
      <c r="EY43" s="484"/>
      <c r="EZ43" s="484"/>
      <c r="FA43" s="484"/>
      <c r="FB43" s="484"/>
      <c r="FC43" s="484"/>
      <c r="FD43" s="484"/>
      <c r="FE43" s="484"/>
      <c r="FF43" s="57"/>
      <c r="FG43" s="57"/>
      <c r="FH43" s="57"/>
      <c r="FI43" s="57"/>
      <c r="FJ43" s="57"/>
      <c r="FK43" s="57"/>
      <c r="FL43" s="57"/>
      <c r="FM43" s="57"/>
      <c r="FN43" s="57"/>
      <c r="FO43" s="57"/>
    </row>
    <row r="44" spans="1:171" s="58" customFormat="1" ht="31.5" customHeight="1" x14ac:dyDescent="0.2">
      <c r="A44" s="485" t="s">
        <v>435</v>
      </c>
      <c r="B44" s="485"/>
      <c r="C44" s="485"/>
      <c r="D44" s="485"/>
      <c r="E44" s="485"/>
      <c r="F44" s="485"/>
      <c r="G44" s="486" t="s">
        <v>403</v>
      </c>
      <c r="H44" s="486"/>
      <c r="I44" s="486"/>
      <c r="J44" s="486"/>
      <c r="K44" s="486"/>
      <c r="L44" s="486"/>
      <c r="M44" s="486"/>
      <c r="N44" s="486"/>
      <c r="O44" s="486"/>
      <c r="P44" s="486"/>
      <c r="Q44" s="486"/>
      <c r="R44" s="486"/>
      <c r="S44" s="486"/>
      <c r="T44" s="486"/>
      <c r="U44" s="486"/>
      <c r="V44" s="486"/>
      <c r="W44" s="486"/>
      <c r="X44" s="486"/>
      <c r="Y44" s="487">
        <v>0.25</v>
      </c>
      <c r="Z44" s="487"/>
      <c r="AA44" s="487"/>
      <c r="AB44" s="487"/>
      <c r="AC44" s="487"/>
      <c r="AD44" s="487"/>
      <c r="AE44" s="487"/>
      <c r="AF44" s="487"/>
      <c r="AG44" s="487"/>
      <c r="AH44" s="487"/>
      <c r="AI44" s="487"/>
      <c r="AJ44" s="487"/>
      <c r="AK44" s="487"/>
      <c r="AL44" s="487"/>
      <c r="AM44" s="487"/>
      <c r="AN44" s="487"/>
      <c r="AO44" s="461"/>
      <c r="AP44" s="461"/>
      <c r="AQ44" s="461"/>
      <c r="AR44" s="461"/>
      <c r="AS44" s="461"/>
      <c r="AT44" s="461"/>
      <c r="AU44" s="461"/>
      <c r="AV44" s="461"/>
      <c r="AW44" s="461"/>
      <c r="AX44" s="461"/>
      <c r="AY44" s="461"/>
      <c r="AZ44" s="461"/>
      <c r="BA44" s="461"/>
      <c r="BB44" s="461"/>
      <c r="BC44" s="461"/>
      <c r="BD44" s="461"/>
      <c r="BE44" s="461"/>
      <c r="BF44" s="461"/>
      <c r="BG44" s="461"/>
      <c r="BH44" s="461"/>
      <c r="BI44" s="461"/>
      <c r="BJ44" s="461"/>
      <c r="BK44" s="461"/>
      <c r="BL44" s="461"/>
      <c r="BM44" s="461"/>
      <c r="BN44" s="461"/>
      <c r="BO44" s="461"/>
      <c r="BP44" s="461"/>
      <c r="BQ44" s="461"/>
      <c r="BR44" s="461"/>
      <c r="BS44" s="461"/>
      <c r="BT44" s="461"/>
      <c r="BU44" s="461"/>
      <c r="BV44" s="461"/>
      <c r="BW44" s="461"/>
      <c r="BX44" s="461"/>
      <c r="BY44" s="461"/>
      <c r="BZ44" s="461"/>
      <c r="CA44" s="461"/>
      <c r="CB44" s="461"/>
      <c r="CC44" s="461"/>
      <c r="CD44" s="461"/>
      <c r="CE44" s="461"/>
      <c r="CF44" s="461"/>
      <c r="CG44" s="461"/>
      <c r="CH44" s="461"/>
      <c r="CI44" s="461"/>
      <c r="CJ44" s="461"/>
      <c r="CK44" s="461"/>
      <c r="CL44" s="461"/>
      <c r="CM44" s="461"/>
      <c r="CN44" s="461"/>
      <c r="CO44" s="461"/>
      <c r="CP44" s="461"/>
      <c r="CQ44" s="461"/>
      <c r="CR44" s="461"/>
      <c r="CS44" s="461"/>
      <c r="CT44" s="461"/>
      <c r="CU44" s="461"/>
      <c r="CV44" s="461"/>
      <c r="CW44" s="461"/>
      <c r="CX44" s="461"/>
      <c r="CY44" s="461"/>
      <c r="CZ44" s="461"/>
      <c r="DA44" s="461"/>
      <c r="DB44" s="461"/>
      <c r="DC44" s="461"/>
      <c r="DD44" s="461"/>
      <c r="DE44" s="461"/>
      <c r="DF44" s="461"/>
      <c r="DG44" s="461"/>
      <c r="DH44" s="461"/>
      <c r="DI44" s="461"/>
      <c r="DJ44" s="461"/>
      <c r="DK44" s="461"/>
      <c r="DL44" s="461"/>
      <c r="DM44" s="461"/>
      <c r="DN44" s="461"/>
      <c r="DO44" s="461"/>
      <c r="DP44" s="461"/>
      <c r="DQ44" s="461"/>
      <c r="DR44" s="461"/>
      <c r="DS44" s="461"/>
      <c r="DT44" s="461"/>
      <c r="DU44" s="461"/>
      <c r="DV44" s="461"/>
      <c r="DW44" s="461"/>
      <c r="DX44" s="461"/>
      <c r="DY44" s="461"/>
      <c r="DZ44" s="461"/>
      <c r="EA44" s="461"/>
      <c r="EB44" s="461"/>
      <c r="EC44" s="461"/>
      <c r="ED44" s="461"/>
      <c r="EE44" s="461"/>
      <c r="EF44" s="461"/>
      <c r="EG44" s="461"/>
      <c r="EH44" s="461"/>
      <c r="EI44" s="461"/>
      <c r="EJ44" s="461"/>
      <c r="EK44" s="461"/>
      <c r="EL44" s="461"/>
      <c r="EM44" s="461"/>
      <c r="EN44" s="461"/>
      <c r="EO44" s="484"/>
      <c r="EP44" s="484"/>
      <c r="EQ44" s="484"/>
      <c r="ER44" s="484"/>
      <c r="ES44" s="484"/>
      <c r="ET44" s="484"/>
      <c r="EU44" s="484"/>
      <c r="EV44" s="484"/>
      <c r="EW44" s="484"/>
      <c r="EX44" s="484"/>
      <c r="EY44" s="484"/>
      <c r="EZ44" s="484"/>
      <c r="FA44" s="484"/>
      <c r="FB44" s="484"/>
      <c r="FC44" s="484"/>
      <c r="FD44" s="484"/>
      <c r="FE44" s="484"/>
      <c r="FF44" s="57"/>
      <c r="FG44" s="57"/>
      <c r="FH44" s="57"/>
      <c r="FI44" s="57"/>
      <c r="FJ44" s="57"/>
      <c r="FK44" s="57"/>
      <c r="FL44" s="57"/>
      <c r="FM44" s="57"/>
      <c r="FN44" s="57"/>
      <c r="FO44" s="57"/>
    </row>
    <row r="45" spans="1:171" s="185" customFormat="1" ht="15" customHeight="1" x14ac:dyDescent="0.2">
      <c r="A45" s="495" t="s">
        <v>191</v>
      </c>
      <c r="B45" s="496"/>
      <c r="C45" s="496"/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6"/>
      <c r="P45" s="496"/>
      <c r="Q45" s="496"/>
      <c r="R45" s="496"/>
      <c r="S45" s="496"/>
      <c r="T45" s="496"/>
      <c r="U45" s="496"/>
      <c r="V45" s="496"/>
      <c r="W45" s="496"/>
      <c r="X45" s="497"/>
      <c r="Y45" s="498">
        <f>SUM(Y22:AN44)</f>
        <v>99.09</v>
      </c>
      <c r="Z45" s="498"/>
      <c r="AA45" s="498"/>
      <c r="AB45" s="498"/>
      <c r="AC45" s="498"/>
      <c r="AD45" s="498"/>
      <c r="AE45" s="498"/>
      <c r="AF45" s="498"/>
      <c r="AG45" s="498"/>
      <c r="AH45" s="498"/>
      <c r="AI45" s="498"/>
      <c r="AJ45" s="498"/>
      <c r="AK45" s="498"/>
      <c r="AL45" s="498"/>
      <c r="AM45" s="498"/>
      <c r="AN45" s="498"/>
      <c r="AO45" s="499">
        <f>SUM(AO22:BE43)</f>
        <v>0</v>
      </c>
      <c r="AP45" s="499"/>
      <c r="AQ45" s="499"/>
      <c r="AR45" s="499"/>
      <c r="AS45" s="499"/>
      <c r="AT45" s="499"/>
      <c r="AU45" s="499"/>
      <c r="AV45" s="499"/>
      <c r="AW45" s="499"/>
      <c r="AX45" s="499"/>
      <c r="AY45" s="499"/>
      <c r="AZ45" s="499"/>
      <c r="BA45" s="499"/>
      <c r="BB45" s="499"/>
      <c r="BC45" s="499"/>
      <c r="BD45" s="499"/>
      <c r="BE45" s="499"/>
      <c r="BF45" s="499">
        <f>SUM(BF22:BW43)</f>
        <v>0</v>
      </c>
      <c r="BG45" s="499"/>
      <c r="BH45" s="499"/>
      <c r="BI45" s="499"/>
      <c r="BJ45" s="499"/>
      <c r="BK45" s="499"/>
      <c r="BL45" s="499"/>
      <c r="BM45" s="499"/>
      <c r="BN45" s="499"/>
      <c r="BO45" s="499"/>
      <c r="BP45" s="499"/>
      <c r="BQ45" s="499"/>
      <c r="BR45" s="499"/>
      <c r="BS45" s="499"/>
      <c r="BT45" s="499"/>
      <c r="BU45" s="499"/>
      <c r="BV45" s="499"/>
      <c r="BW45" s="499"/>
      <c r="BX45" s="499">
        <f>SUM(BX22:CP43)</f>
        <v>0</v>
      </c>
      <c r="BY45" s="499"/>
      <c r="BZ45" s="499"/>
      <c r="CA45" s="499"/>
      <c r="CB45" s="499"/>
      <c r="CC45" s="499"/>
      <c r="CD45" s="499"/>
      <c r="CE45" s="499"/>
      <c r="CF45" s="499"/>
      <c r="CG45" s="499"/>
      <c r="CH45" s="499"/>
      <c r="CI45" s="499"/>
      <c r="CJ45" s="499"/>
      <c r="CK45" s="499"/>
      <c r="CL45" s="499"/>
      <c r="CM45" s="499"/>
      <c r="CN45" s="499"/>
      <c r="CO45" s="499"/>
      <c r="CP45" s="499"/>
      <c r="CQ45" s="499">
        <f>SUM(CQ22:DH43)</f>
        <v>0</v>
      </c>
      <c r="CR45" s="499"/>
      <c r="CS45" s="499"/>
      <c r="CT45" s="499"/>
      <c r="CU45" s="499"/>
      <c r="CV45" s="499"/>
      <c r="CW45" s="499"/>
      <c r="CX45" s="499"/>
      <c r="CY45" s="499"/>
      <c r="CZ45" s="499"/>
      <c r="DA45" s="499"/>
      <c r="DB45" s="499"/>
      <c r="DC45" s="499"/>
      <c r="DD45" s="499"/>
      <c r="DE45" s="499"/>
      <c r="DF45" s="499"/>
      <c r="DG45" s="499"/>
      <c r="DH45" s="499"/>
      <c r="DI45" s="499">
        <f>SUM(DI22:DX43)</f>
        <v>0</v>
      </c>
      <c r="DJ45" s="499"/>
      <c r="DK45" s="499"/>
      <c r="DL45" s="499"/>
      <c r="DM45" s="499"/>
      <c r="DN45" s="499"/>
      <c r="DO45" s="499"/>
      <c r="DP45" s="499"/>
      <c r="DQ45" s="499"/>
      <c r="DR45" s="499"/>
      <c r="DS45" s="499"/>
      <c r="DT45" s="499"/>
      <c r="DU45" s="499"/>
      <c r="DV45" s="499"/>
      <c r="DW45" s="499"/>
      <c r="DX45" s="499"/>
      <c r="DY45" s="499">
        <f>SUM(DY22:EN43)</f>
        <v>0</v>
      </c>
      <c r="DZ45" s="499"/>
      <c r="EA45" s="499"/>
      <c r="EB45" s="499"/>
      <c r="EC45" s="499"/>
      <c r="ED45" s="499"/>
      <c r="EE45" s="499"/>
      <c r="EF45" s="499"/>
      <c r="EG45" s="499"/>
      <c r="EH45" s="499"/>
      <c r="EI45" s="499"/>
      <c r="EJ45" s="499"/>
      <c r="EK45" s="499"/>
      <c r="EL45" s="499"/>
      <c r="EM45" s="499"/>
      <c r="EN45" s="499"/>
      <c r="EO45" s="501">
        <f>37819848.44</f>
        <v>37819848.439999998</v>
      </c>
      <c r="EP45" s="501"/>
      <c r="EQ45" s="501"/>
      <c r="ER45" s="501"/>
      <c r="ES45" s="501"/>
      <c r="ET45" s="501"/>
      <c r="EU45" s="501"/>
      <c r="EV45" s="501"/>
      <c r="EW45" s="501"/>
      <c r="EX45" s="501"/>
      <c r="EY45" s="501"/>
      <c r="EZ45" s="501"/>
      <c r="FA45" s="501"/>
      <c r="FB45" s="501"/>
      <c r="FC45" s="501"/>
      <c r="FD45" s="501"/>
      <c r="FE45" s="501"/>
      <c r="FF45" s="184"/>
      <c r="FG45" s="184"/>
      <c r="FH45" s="184"/>
      <c r="FI45" s="184"/>
      <c r="FJ45" s="184"/>
      <c r="FK45" s="184"/>
      <c r="FL45" s="184"/>
      <c r="FM45" s="184"/>
      <c r="FN45" s="184"/>
      <c r="FO45" s="184"/>
    </row>
    <row r="46" spans="1:171" x14ac:dyDescent="0.2">
      <c r="EO46" s="502"/>
      <c r="EP46" s="503"/>
      <c r="EQ46" s="503"/>
      <c r="ER46" s="503"/>
      <c r="ES46" s="503"/>
      <c r="ET46" s="503"/>
      <c r="EU46" s="503"/>
      <c r="EV46" s="503"/>
      <c r="EW46" s="503"/>
      <c r="EX46" s="503"/>
      <c r="EY46" s="503"/>
      <c r="EZ46" s="503"/>
      <c r="FA46" s="503"/>
      <c r="FB46" s="503"/>
      <c r="FC46" s="503"/>
      <c r="FD46" s="503"/>
      <c r="FE46" s="503"/>
    </row>
    <row r="47" spans="1:171" x14ac:dyDescent="0.2">
      <c r="EP47" s="505"/>
      <c r="EQ47" s="505"/>
      <c r="ER47" s="505"/>
      <c r="ES47" s="505"/>
      <c r="ET47" s="505"/>
      <c r="EU47" s="505"/>
      <c r="EV47" s="505"/>
      <c r="EW47" s="505"/>
      <c r="EX47" s="505"/>
      <c r="EY47" s="505"/>
      <c r="EZ47" s="505"/>
      <c r="FA47" s="505"/>
      <c r="FB47" s="505"/>
      <c r="FC47" s="505"/>
      <c r="FD47" s="505"/>
      <c r="FE47" s="505"/>
    </row>
    <row r="51" spans="95:136" x14ac:dyDescent="0.2">
      <c r="CS51" s="504">
        <f>EP47/Y45/12</f>
        <v>0</v>
      </c>
      <c r="CT51" s="500"/>
      <c r="CU51" s="500"/>
      <c r="CV51" s="500"/>
      <c r="CW51" s="500"/>
      <c r="CX51" s="500"/>
      <c r="CY51" s="500"/>
      <c r="CZ51" s="500"/>
      <c r="DA51" s="500"/>
      <c r="DB51" s="500"/>
      <c r="DC51" s="500"/>
      <c r="DD51" s="500"/>
      <c r="DE51" s="500"/>
      <c r="DF51" s="500"/>
      <c r="DG51" s="500"/>
      <c r="DH51" s="500"/>
      <c r="DI51" s="500"/>
      <c r="DL51" s="505">
        <f>EP47/12</f>
        <v>0</v>
      </c>
      <c r="DM51" s="500"/>
      <c r="DN51" s="500"/>
      <c r="DO51" s="500"/>
      <c r="DP51" s="500"/>
      <c r="DQ51" s="500"/>
      <c r="DR51" s="500"/>
      <c r="DS51" s="500"/>
      <c r="DT51" s="500"/>
      <c r="DU51" s="500"/>
      <c r="DV51" s="500"/>
      <c r="DW51" s="500"/>
      <c r="DX51" s="500"/>
      <c r="DY51" s="500"/>
      <c r="DZ51" s="500"/>
      <c r="EA51" s="500"/>
      <c r="EB51" s="500"/>
      <c r="EC51" s="500"/>
      <c r="ED51" s="500"/>
      <c r="EE51" s="500"/>
      <c r="EF51" s="500"/>
    </row>
    <row r="53" spans="95:136" x14ac:dyDescent="0.2">
      <c r="CQ53" s="500"/>
      <c r="CR53" s="500"/>
      <c r="CS53" s="500"/>
      <c r="CT53" s="500"/>
      <c r="CU53" s="500"/>
      <c r="CV53" s="500"/>
      <c r="CW53" s="500"/>
      <c r="CX53" s="500"/>
      <c r="CY53" s="500"/>
      <c r="CZ53" s="500"/>
      <c r="DA53" s="500"/>
      <c r="DB53" s="500"/>
      <c r="DC53" s="500"/>
      <c r="DD53" s="500"/>
      <c r="DE53" s="500"/>
      <c r="DF53" s="500"/>
      <c r="DG53" s="500"/>
      <c r="DH53" s="500"/>
      <c r="DI53" s="500"/>
      <c r="DJ53" s="500"/>
      <c r="DK53" s="500"/>
    </row>
  </sheetData>
  <mergeCells count="273">
    <mergeCell ref="EO42:FE42"/>
    <mergeCell ref="A42:F42"/>
    <mergeCell ref="G42:X42"/>
    <mergeCell ref="Y42:AN42"/>
    <mergeCell ref="AO42:BE42"/>
    <mergeCell ref="BF42:BW42"/>
    <mergeCell ref="BX42:CP42"/>
    <mergeCell ref="CQ44:DH44"/>
    <mergeCell ref="DI44:DX44"/>
    <mergeCell ref="DY44:EN44"/>
    <mergeCell ref="EO44:FE44"/>
    <mergeCell ref="A44:F44"/>
    <mergeCell ref="G44:X44"/>
    <mergeCell ref="Y44:AN44"/>
    <mergeCell ref="AO44:BE44"/>
    <mergeCell ref="BF44:BW44"/>
    <mergeCell ref="BX44:CP44"/>
    <mergeCell ref="CQ53:DK53"/>
    <mergeCell ref="DY45:EN45"/>
    <mergeCell ref="EO45:FE45"/>
    <mergeCell ref="EO46:FE46"/>
    <mergeCell ref="CS51:DI51"/>
    <mergeCell ref="DL51:EF51"/>
    <mergeCell ref="EP47:FE47"/>
    <mergeCell ref="DI43:DX43"/>
    <mergeCell ref="DY43:EN43"/>
    <mergeCell ref="EO43:FE43"/>
    <mergeCell ref="DI45:DX45"/>
    <mergeCell ref="DI41:DX41"/>
    <mergeCell ref="DY41:EN41"/>
    <mergeCell ref="CQ42:DH42"/>
    <mergeCell ref="DI42:DX42"/>
    <mergeCell ref="DY42:EN42"/>
    <mergeCell ref="A43:F43"/>
    <mergeCell ref="G43:X43"/>
    <mergeCell ref="Y43:AN43"/>
    <mergeCell ref="AO43:BE43"/>
    <mergeCell ref="BF43:BW43"/>
    <mergeCell ref="BX43:CP43"/>
    <mergeCell ref="CQ43:DH43"/>
    <mergeCell ref="AO41:BE41"/>
    <mergeCell ref="BF41:BW41"/>
    <mergeCell ref="BX41:CP41"/>
    <mergeCell ref="CQ41:DH41"/>
    <mergeCell ref="A45:X45"/>
    <mergeCell ref="Y45:AN45"/>
    <mergeCell ref="AO45:BE45"/>
    <mergeCell ref="BF45:BW45"/>
    <mergeCell ref="BX45:CP45"/>
    <mergeCell ref="CQ45:DH45"/>
    <mergeCell ref="EO39:FE39"/>
    <mergeCell ref="A40:F40"/>
    <mergeCell ref="G40:X40"/>
    <mergeCell ref="Y40:AN40"/>
    <mergeCell ref="AO40:BE40"/>
    <mergeCell ref="BF40:BW40"/>
    <mergeCell ref="BX40:CP40"/>
    <mergeCell ref="CQ40:DH40"/>
    <mergeCell ref="EO41:FE41"/>
    <mergeCell ref="EO40:FE40"/>
    <mergeCell ref="A39:F39"/>
    <mergeCell ref="G39:X39"/>
    <mergeCell ref="Y39:AN39"/>
    <mergeCell ref="AO39:BE39"/>
    <mergeCell ref="BF39:BW39"/>
    <mergeCell ref="BX39:CP39"/>
    <mergeCell ref="CQ39:DH39"/>
    <mergeCell ref="DI39:DX39"/>
    <mergeCell ref="DY39:EN39"/>
    <mergeCell ref="DI40:DX40"/>
    <mergeCell ref="DY40:EN40"/>
    <mergeCell ref="A41:F41"/>
    <mergeCell ref="G41:X41"/>
    <mergeCell ref="Y41:AN41"/>
    <mergeCell ref="EO37:FE37"/>
    <mergeCell ref="A38:F38"/>
    <mergeCell ref="G38:X38"/>
    <mergeCell ref="Y38:AN38"/>
    <mergeCell ref="AO38:BE38"/>
    <mergeCell ref="BF38:BW38"/>
    <mergeCell ref="BX38:CP38"/>
    <mergeCell ref="CQ38:DH38"/>
    <mergeCell ref="DI38:DX38"/>
    <mergeCell ref="DY38:EN38"/>
    <mergeCell ref="EO38:FE38"/>
    <mergeCell ref="A37:F37"/>
    <mergeCell ref="G37:X37"/>
    <mergeCell ref="Y37:AN37"/>
    <mergeCell ref="AO37:BE37"/>
    <mergeCell ref="BF37:BW37"/>
    <mergeCell ref="BX37:CP37"/>
    <mergeCell ref="CQ37:DH37"/>
    <mergeCell ref="DI37:DX37"/>
    <mergeCell ref="DY37:EN37"/>
    <mergeCell ref="EO35:FE35"/>
    <mergeCell ref="A36:F36"/>
    <mergeCell ref="G36:X36"/>
    <mergeCell ref="Y36:AN36"/>
    <mergeCell ref="AO36:BE36"/>
    <mergeCell ref="BF36:BW36"/>
    <mergeCell ref="BX36:CP36"/>
    <mergeCell ref="CQ36:DH36"/>
    <mergeCell ref="DI36:DX36"/>
    <mergeCell ref="DY36:EN36"/>
    <mergeCell ref="EO36:FE36"/>
    <mergeCell ref="A35:F35"/>
    <mergeCell ref="G35:X35"/>
    <mergeCell ref="Y35:AN35"/>
    <mergeCell ref="AO35:BE35"/>
    <mergeCell ref="BF35:BW35"/>
    <mergeCell ref="BX35:CP35"/>
    <mergeCell ref="CQ35:DH35"/>
    <mergeCell ref="DI35:DX35"/>
    <mergeCell ref="DY35:EN35"/>
    <mergeCell ref="EO33:FE33"/>
    <mergeCell ref="A34:F34"/>
    <mergeCell ref="G34:X34"/>
    <mergeCell ref="Y34:AN34"/>
    <mergeCell ref="AO34:BE34"/>
    <mergeCell ref="BF34:BW34"/>
    <mergeCell ref="BX34:CP34"/>
    <mergeCell ref="CQ34:DH34"/>
    <mergeCell ref="DI34:DX34"/>
    <mergeCell ref="DY34:EN34"/>
    <mergeCell ref="EO34:FE34"/>
    <mergeCell ref="A33:F33"/>
    <mergeCell ref="G33:X33"/>
    <mergeCell ref="Y33:AN33"/>
    <mergeCell ref="AO33:BE33"/>
    <mergeCell ref="BF33:BW33"/>
    <mergeCell ref="BX33:CP33"/>
    <mergeCell ref="CQ33:DH33"/>
    <mergeCell ref="DI33:DX33"/>
    <mergeCell ref="DY33:EN33"/>
    <mergeCell ref="EO31:FE31"/>
    <mergeCell ref="A32:F32"/>
    <mergeCell ref="G32:X32"/>
    <mergeCell ref="Y32:AN32"/>
    <mergeCell ref="AO32:BE32"/>
    <mergeCell ref="BF32:BW32"/>
    <mergeCell ref="BX32:CP32"/>
    <mergeCell ref="CQ32:DH32"/>
    <mergeCell ref="DI32:DX32"/>
    <mergeCell ref="DY32:EN32"/>
    <mergeCell ref="EO32:FE32"/>
    <mergeCell ref="A31:F31"/>
    <mergeCell ref="G31:X31"/>
    <mergeCell ref="Y31:AN31"/>
    <mergeCell ref="AO31:BE31"/>
    <mergeCell ref="BF31:BW31"/>
    <mergeCell ref="BX31:CP31"/>
    <mergeCell ref="CQ31:DH31"/>
    <mergeCell ref="DI31:DX31"/>
    <mergeCell ref="DY31:EN31"/>
    <mergeCell ref="EO29:FE29"/>
    <mergeCell ref="A30:F30"/>
    <mergeCell ref="G30:X30"/>
    <mergeCell ref="Y30:AN30"/>
    <mergeCell ref="AO30:BE30"/>
    <mergeCell ref="BF30:BW30"/>
    <mergeCell ref="BX30:CP30"/>
    <mergeCell ref="CQ30:DH30"/>
    <mergeCell ref="DI30:DX30"/>
    <mergeCell ref="DY30:EN30"/>
    <mergeCell ref="EO30:FE30"/>
    <mergeCell ref="A29:F29"/>
    <mergeCell ref="G29:X29"/>
    <mergeCell ref="Y29:AN29"/>
    <mergeCell ref="AO29:BE29"/>
    <mergeCell ref="BF29:BW29"/>
    <mergeCell ref="BX29:CP29"/>
    <mergeCell ref="CQ29:DH29"/>
    <mergeCell ref="DI29:DX29"/>
    <mergeCell ref="DY29:EN29"/>
    <mergeCell ref="EO27:FE27"/>
    <mergeCell ref="A28:F28"/>
    <mergeCell ref="G28:X28"/>
    <mergeCell ref="Y28:AN28"/>
    <mergeCell ref="AO28:BE28"/>
    <mergeCell ref="BF28:BW28"/>
    <mergeCell ref="BX28:CP28"/>
    <mergeCell ref="CQ28:DH28"/>
    <mergeCell ref="DI28:DX28"/>
    <mergeCell ref="DY28:EN28"/>
    <mergeCell ref="EO28:FE28"/>
    <mergeCell ref="A27:F27"/>
    <mergeCell ref="G27:X27"/>
    <mergeCell ref="Y27:AN27"/>
    <mergeCell ref="AO27:BE27"/>
    <mergeCell ref="BF27:BW27"/>
    <mergeCell ref="BX27:CP27"/>
    <mergeCell ref="CQ27:DH27"/>
    <mergeCell ref="DI27:DX27"/>
    <mergeCell ref="DY27:EN27"/>
    <mergeCell ref="A26:F26"/>
    <mergeCell ref="G26:X26"/>
    <mergeCell ref="Y26:AN26"/>
    <mergeCell ref="AO26:BE26"/>
    <mergeCell ref="BF26:BW26"/>
    <mergeCell ref="BX26:CP26"/>
    <mergeCell ref="CQ26:DH26"/>
    <mergeCell ref="DY26:EN26"/>
    <mergeCell ref="EO26:FE26"/>
    <mergeCell ref="EO23:FE23"/>
    <mergeCell ref="A25:F25"/>
    <mergeCell ref="G25:X25"/>
    <mergeCell ref="Y25:AN25"/>
    <mergeCell ref="AO25:BE25"/>
    <mergeCell ref="BF25:BW25"/>
    <mergeCell ref="BX25:CP25"/>
    <mergeCell ref="BF24:BW24"/>
    <mergeCell ref="BX24:CP24"/>
    <mergeCell ref="CQ25:DH25"/>
    <mergeCell ref="DI25:DX25"/>
    <mergeCell ref="DY25:EN25"/>
    <mergeCell ref="EO25:FE25"/>
    <mergeCell ref="A23:F23"/>
    <mergeCell ref="G23:X23"/>
    <mergeCell ref="Y23:AN23"/>
    <mergeCell ref="AO23:BE23"/>
    <mergeCell ref="BF23:BW23"/>
    <mergeCell ref="BX23:CP23"/>
    <mergeCell ref="CQ23:DH23"/>
    <mergeCell ref="DI23:DX23"/>
    <mergeCell ref="DY23:EN23"/>
    <mergeCell ref="DI21:DX21"/>
    <mergeCell ref="DY21:EN21"/>
    <mergeCell ref="EO21:FE21"/>
    <mergeCell ref="A22:F22"/>
    <mergeCell ref="G22:X22"/>
    <mergeCell ref="Y22:AN22"/>
    <mergeCell ref="AO22:BE22"/>
    <mergeCell ref="BF22:BW22"/>
    <mergeCell ref="BX22:CP22"/>
    <mergeCell ref="CQ22:DH22"/>
    <mergeCell ref="DI22:DX22"/>
    <mergeCell ref="DY22:EN22"/>
    <mergeCell ref="EO22:FE22"/>
    <mergeCell ref="AO19:BE20"/>
    <mergeCell ref="BF19:DH19"/>
    <mergeCell ref="BF20:BW20"/>
    <mergeCell ref="BX20:CP20"/>
    <mergeCell ref="CQ20:DH20"/>
    <mergeCell ref="A21:F21"/>
    <mergeCell ref="G21:X21"/>
    <mergeCell ref="Y21:AN21"/>
    <mergeCell ref="AO21:BE21"/>
    <mergeCell ref="BF21:BW21"/>
    <mergeCell ref="BX21:CP21"/>
    <mergeCell ref="DA2:FE2"/>
    <mergeCell ref="A8:FE8"/>
    <mergeCell ref="A10:FE10"/>
    <mergeCell ref="X12:FE12"/>
    <mergeCell ref="A14:AO14"/>
    <mergeCell ref="AP14:FE14"/>
    <mergeCell ref="DI26:DX26"/>
    <mergeCell ref="A16:FE16"/>
    <mergeCell ref="A18:F20"/>
    <mergeCell ref="G18:X20"/>
    <mergeCell ref="Y18:AN20"/>
    <mergeCell ref="AO18:DH18"/>
    <mergeCell ref="CQ21:DH21"/>
    <mergeCell ref="DI18:DX20"/>
    <mergeCell ref="DY18:EN20"/>
    <mergeCell ref="EO18:FE20"/>
    <mergeCell ref="CQ24:DH24"/>
    <mergeCell ref="DI24:DX24"/>
    <mergeCell ref="DY24:EN24"/>
    <mergeCell ref="EO24:FE24"/>
    <mergeCell ref="A24:F24"/>
    <mergeCell ref="G24:X24"/>
    <mergeCell ref="Y24:AN24"/>
    <mergeCell ref="AO24:BE24"/>
  </mergeCells>
  <phoneticPr fontId="0" type="noConversion"/>
  <pageMargins left="0.39370078740157483" right="0.39370078740157483" top="0.78740157480314965" bottom="0.39370078740157483" header="0.27559055118110237" footer="0.27559055118110237"/>
  <pageSetup paperSize="9" scale="70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DX86"/>
  <sheetViews>
    <sheetView view="pageBreakPreview" topLeftCell="A43" zoomScaleNormal="100" zoomScaleSheetLayoutView="100" workbookViewId="0">
      <selection activeCell="E45" sqref="E45:BD45"/>
    </sheetView>
  </sheetViews>
  <sheetFormatPr defaultColWidth="1.140625" defaultRowHeight="12.75" x14ac:dyDescent="0.2"/>
  <cols>
    <col min="1" max="1" width="4.140625" style="7" customWidth="1"/>
    <col min="2" max="4" width="1.140625" style="7" hidden="1" customWidth="1"/>
    <col min="5" max="34" width="1.140625" style="7"/>
    <col min="35" max="35" width="10" style="7" customWidth="1"/>
    <col min="36" max="79" width="1.140625" style="7"/>
    <col min="80" max="80" width="2.42578125" style="7" customWidth="1"/>
    <col min="81" max="81" width="17.28515625" style="60" customWidth="1"/>
    <col min="82" max="82" width="19.85546875" style="60" customWidth="1"/>
    <col min="83" max="83" width="23.7109375" style="60" customWidth="1"/>
    <col min="84" max="84" width="25.140625" style="124" customWidth="1"/>
    <col min="85" max="85" width="29.42578125" style="16" customWidth="1"/>
    <col min="86" max="86" width="32.5703125" style="61" customWidth="1"/>
    <col min="87" max="107" width="10.85546875" style="16" customWidth="1"/>
    <col min="108" max="121" width="1.140625" style="16"/>
    <col min="122" max="16384" width="1.140625" style="7"/>
  </cols>
  <sheetData>
    <row r="1" spans="1:128" s="3" customFormat="1" ht="15.75" x14ac:dyDescent="0.25">
      <c r="A1" s="518" t="s">
        <v>12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  <c r="BK1" s="518"/>
      <c r="BL1" s="518"/>
      <c r="BM1" s="518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518"/>
      <c r="BZ1" s="518"/>
      <c r="CA1" s="518"/>
      <c r="CB1" s="518"/>
      <c r="CC1" s="122"/>
      <c r="CD1" s="122"/>
      <c r="CE1" s="122"/>
      <c r="CF1" s="147"/>
      <c r="CG1" s="24"/>
      <c r="CH1" s="122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</row>
    <row r="2" spans="1:128" s="1" customFormat="1" ht="15.75" x14ac:dyDescent="0.25">
      <c r="A2" s="3" t="s">
        <v>2</v>
      </c>
      <c r="T2" s="534" t="s">
        <v>294</v>
      </c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  <c r="AI2" s="534"/>
      <c r="AJ2" s="534"/>
      <c r="AK2" s="534"/>
      <c r="AL2" s="534"/>
      <c r="AM2" s="534"/>
      <c r="AN2" s="534"/>
      <c r="AO2" s="534"/>
      <c r="AP2" s="534"/>
      <c r="AQ2" s="534"/>
      <c r="AR2" s="534"/>
      <c r="AS2" s="534"/>
      <c r="AT2" s="534"/>
      <c r="AU2" s="534"/>
      <c r="AV2" s="534"/>
      <c r="AW2" s="534"/>
      <c r="AX2" s="534"/>
      <c r="AY2" s="534"/>
      <c r="AZ2" s="534"/>
      <c r="BA2" s="534"/>
      <c r="BB2" s="534"/>
      <c r="BC2" s="534"/>
      <c r="BD2" s="534"/>
      <c r="BE2" s="534"/>
      <c r="BF2" s="534"/>
      <c r="BG2" s="534"/>
      <c r="BH2" s="534"/>
      <c r="BI2" s="534"/>
      <c r="BJ2" s="534"/>
      <c r="BK2" s="534"/>
      <c r="BL2" s="534"/>
      <c r="BM2" s="534"/>
      <c r="BN2" s="534"/>
      <c r="BO2" s="534"/>
      <c r="BP2" s="534"/>
      <c r="BQ2" s="534"/>
      <c r="BR2" s="534"/>
      <c r="BS2" s="534"/>
      <c r="BT2" s="534"/>
      <c r="BU2" s="534"/>
      <c r="BV2" s="534"/>
      <c r="BW2" s="534"/>
      <c r="BX2" s="534"/>
      <c r="BY2" s="534"/>
      <c r="BZ2" s="534"/>
      <c r="CA2" s="534"/>
      <c r="CB2" s="534"/>
      <c r="CC2" s="142"/>
      <c r="CD2" s="142"/>
      <c r="CE2" s="142"/>
      <c r="CF2" s="142"/>
      <c r="CG2" s="19"/>
      <c r="CH2" s="148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20"/>
      <c r="DX2" s="12"/>
    </row>
    <row r="3" spans="1:128" s="4" customFormat="1" ht="9.75" x14ac:dyDescent="0.2">
      <c r="A3" s="6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143"/>
      <c r="CD3" s="143"/>
      <c r="CE3" s="143"/>
      <c r="CF3" s="143"/>
      <c r="CG3" s="21"/>
      <c r="CH3" s="149"/>
      <c r="CI3" s="21"/>
      <c r="CJ3" s="21"/>
      <c r="CK3" s="21"/>
      <c r="CL3" s="21"/>
      <c r="CM3" s="21"/>
      <c r="CN3" s="21"/>
      <c r="CO3" s="21"/>
      <c r="CP3" s="21"/>
      <c r="CQ3" s="21"/>
      <c r="CR3" s="21"/>
      <c r="CS3" s="21"/>
      <c r="CT3" s="21"/>
      <c r="CU3" s="21"/>
      <c r="CV3" s="21"/>
      <c r="CW3" s="21"/>
      <c r="CX3" s="21"/>
      <c r="CY3" s="21"/>
      <c r="CZ3" s="21"/>
      <c r="DA3" s="21"/>
      <c r="DB3" s="21"/>
      <c r="DC3" s="21"/>
      <c r="DD3" s="21"/>
      <c r="DE3" s="21"/>
      <c r="DF3" s="21"/>
      <c r="DG3" s="21"/>
      <c r="DH3" s="21"/>
      <c r="DI3" s="21"/>
      <c r="DJ3" s="21"/>
      <c r="DK3" s="21"/>
      <c r="DL3" s="21"/>
      <c r="DM3" s="21"/>
      <c r="DN3" s="21"/>
      <c r="DO3" s="21"/>
      <c r="DP3" s="21"/>
      <c r="DQ3" s="21"/>
      <c r="DX3" s="13"/>
    </row>
    <row r="4" spans="1:128" s="1" customFormat="1" ht="15" customHeight="1" x14ac:dyDescent="0.25">
      <c r="A4" s="3" t="s">
        <v>3</v>
      </c>
      <c r="AH4" s="536" t="s">
        <v>129</v>
      </c>
      <c r="AI4" s="536"/>
      <c r="AJ4" s="536"/>
      <c r="AK4" s="536"/>
      <c r="AL4" s="536"/>
      <c r="AM4" s="536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  <c r="BB4" s="536"/>
      <c r="BC4" s="536"/>
      <c r="BD4" s="536"/>
      <c r="BE4" s="536"/>
      <c r="BF4" s="536"/>
      <c r="BG4" s="536"/>
      <c r="BH4" s="536"/>
      <c r="BI4" s="536"/>
      <c r="BJ4" s="536"/>
      <c r="BK4" s="536"/>
      <c r="BL4" s="536"/>
      <c r="BM4" s="536"/>
      <c r="BN4" s="536"/>
      <c r="BO4" s="536"/>
      <c r="BP4" s="536"/>
      <c r="BQ4" s="536"/>
      <c r="BR4" s="536"/>
      <c r="BS4" s="536"/>
      <c r="BT4" s="536"/>
      <c r="BU4" s="536"/>
      <c r="BV4" s="536"/>
      <c r="BW4" s="536"/>
      <c r="BX4" s="536"/>
      <c r="BY4" s="536"/>
      <c r="BZ4" s="536"/>
      <c r="CA4" s="536"/>
      <c r="CB4" s="536"/>
      <c r="CC4" s="144"/>
      <c r="CD4" s="144"/>
      <c r="CE4" s="144"/>
      <c r="CF4" s="144"/>
      <c r="CG4" s="22"/>
      <c r="CH4" s="144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3"/>
      <c r="DX4" s="12"/>
    </row>
    <row r="5" spans="1:128" s="4" customFormat="1" ht="8.25" x14ac:dyDescent="0.15">
      <c r="CC5" s="145"/>
      <c r="CD5" s="145"/>
      <c r="CE5" s="145"/>
      <c r="CF5" s="145"/>
      <c r="CG5" s="25"/>
      <c r="CH5" s="14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</row>
    <row r="6" spans="1:128" x14ac:dyDescent="0.2">
      <c r="A6" s="519" t="s">
        <v>5</v>
      </c>
      <c r="B6" s="520"/>
      <c r="C6" s="520"/>
      <c r="D6" s="523"/>
      <c r="E6" s="519" t="s">
        <v>13</v>
      </c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520"/>
      <c r="AE6" s="520"/>
      <c r="AF6" s="520"/>
      <c r="AG6" s="520"/>
      <c r="AH6" s="520"/>
      <c r="AI6" s="523"/>
      <c r="AJ6" s="519" t="s">
        <v>14</v>
      </c>
      <c r="AK6" s="520"/>
      <c r="AL6" s="520"/>
      <c r="AM6" s="520"/>
      <c r="AN6" s="520"/>
      <c r="AO6" s="520"/>
      <c r="AP6" s="520"/>
      <c r="AQ6" s="520"/>
      <c r="AR6" s="520"/>
      <c r="AS6" s="520"/>
      <c r="AT6" s="520"/>
      <c r="AU6" s="520"/>
      <c r="AV6" s="520"/>
      <c r="AW6" s="523"/>
      <c r="AX6" s="519" t="s">
        <v>18</v>
      </c>
      <c r="AY6" s="520"/>
      <c r="AZ6" s="520"/>
      <c r="BA6" s="520"/>
      <c r="BB6" s="520"/>
      <c r="BC6" s="520"/>
      <c r="BD6" s="520"/>
      <c r="BE6" s="520"/>
      <c r="BF6" s="523"/>
      <c r="BG6" s="519" t="s">
        <v>18</v>
      </c>
      <c r="BH6" s="520"/>
      <c r="BI6" s="520"/>
      <c r="BJ6" s="520"/>
      <c r="BK6" s="520"/>
      <c r="BL6" s="520"/>
      <c r="BM6" s="520"/>
      <c r="BN6" s="520"/>
      <c r="BO6" s="523"/>
      <c r="BP6" s="519" t="s">
        <v>22</v>
      </c>
      <c r="BQ6" s="520"/>
      <c r="BR6" s="520"/>
      <c r="BS6" s="520"/>
      <c r="BT6" s="520"/>
      <c r="BU6" s="520"/>
      <c r="BV6" s="520"/>
      <c r="BW6" s="520"/>
      <c r="BX6" s="520"/>
      <c r="BY6" s="520"/>
      <c r="BZ6" s="520"/>
      <c r="CA6" s="520"/>
      <c r="CB6" s="520"/>
      <c r="CC6" s="124"/>
      <c r="CD6" s="124"/>
      <c r="CE6" s="124"/>
      <c r="CH6" s="124"/>
    </row>
    <row r="7" spans="1:128" x14ac:dyDescent="0.2">
      <c r="A7" s="521" t="s">
        <v>6</v>
      </c>
      <c r="B7" s="522"/>
      <c r="C7" s="522"/>
      <c r="D7" s="537"/>
      <c r="E7" s="521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522"/>
      <c r="AE7" s="522"/>
      <c r="AF7" s="522"/>
      <c r="AG7" s="522"/>
      <c r="AH7" s="522"/>
      <c r="AI7" s="537"/>
      <c r="AJ7" s="521" t="s">
        <v>15</v>
      </c>
      <c r="AK7" s="522"/>
      <c r="AL7" s="522"/>
      <c r="AM7" s="522"/>
      <c r="AN7" s="522"/>
      <c r="AO7" s="522"/>
      <c r="AP7" s="522"/>
      <c r="AQ7" s="522"/>
      <c r="AR7" s="522"/>
      <c r="AS7" s="522"/>
      <c r="AT7" s="522"/>
      <c r="AU7" s="522"/>
      <c r="AV7" s="522"/>
      <c r="AW7" s="537"/>
      <c r="AX7" s="521" t="s">
        <v>19</v>
      </c>
      <c r="AY7" s="522"/>
      <c r="AZ7" s="522"/>
      <c r="BA7" s="522"/>
      <c r="BB7" s="522"/>
      <c r="BC7" s="522"/>
      <c r="BD7" s="522"/>
      <c r="BE7" s="522"/>
      <c r="BF7" s="537"/>
      <c r="BG7" s="521" t="s">
        <v>21</v>
      </c>
      <c r="BH7" s="522"/>
      <c r="BI7" s="522"/>
      <c r="BJ7" s="522"/>
      <c r="BK7" s="522"/>
      <c r="BL7" s="522"/>
      <c r="BM7" s="522"/>
      <c r="BN7" s="522"/>
      <c r="BO7" s="537"/>
      <c r="BP7" s="521" t="s">
        <v>88</v>
      </c>
      <c r="BQ7" s="522"/>
      <c r="BR7" s="522"/>
      <c r="BS7" s="522"/>
      <c r="BT7" s="522"/>
      <c r="BU7" s="522"/>
      <c r="BV7" s="522"/>
      <c r="BW7" s="522"/>
      <c r="BX7" s="522"/>
      <c r="BY7" s="522"/>
      <c r="BZ7" s="522"/>
      <c r="CA7" s="522"/>
      <c r="CB7" s="522"/>
      <c r="CC7" s="124"/>
      <c r="CD7" s="124"/>
      <c r="CE7" s="124"/>
      <c r="CH7" s="124"/>
    </row>
    <row r="8" spans="1:128" x14ac:dyDescent="0.2">
      <c r="A8" s="521"/>
      <c r="B8" s="522"/>
      <c r="C8" s="522"/>
      <c r="D8" s="537"/>
      <c r="E8" s="521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37"/>
      <c r="AJ8" s="521" t="s">
        <v>16</v>
      </c>
      <c r="AK8" s="522"/>
      <c r="AL8" s="522"/>
      <c r="AM8" s="522"/>
      <c r="AN8" s="522"/>
      <c r="AO8" s="522"/>
      <c r="AP8" s="522"/>
      <c r="AQ8" s="522"/>
      <c r="AR8" s="522"/>
      <c r="AS8" s="522"/>
      <c r="AT8" s="522"/>
      <c r="AU8" s="522"/>
      <c r="AV8" s="522"/>
      <c r="AW8" s="537"/>
      <c r="AX8" s="521" t="s">
        <v>20</v>
      </c>
      <c r="AY8" s="522"/>
      <c r="AZ8" s="522"/>
      <c r="BA8" s="522"/>
      <c r="BB8" s="522"/>
      <c r="BC8" s="522"/>
      <c r="BD8" s="522"/>
      <c r="BE8" s="522"/>
      <c r="BF8" s="537"/>
      <c r="BG8" s="521"/>
      <c r="BH8" s="522"/>
      <c r="BI8" s="522"/>
      <c r="BJ8" s="522"/>
      <c r="BK8" s="522"/>
      <c r="BL8" s="522"/>
      <c r="BM8" s="522"/>
      <c r="BN8" s="522"/>
      <c r="BO8" s="537"/>
      <c r="BP8" s="521"/>
      <c r="BQ8" s="522"/>
      <c r="BR8" s="522"/>
      <c r="BS8" s="522"/>
      <c r="BT8" s="522"/>
      <c r="BU8" s="522"/>
      <c r="BV8" s="522"/>
      <c r="BW8" s="522"/>
      <c r="BX8" s="522"/>
      <c r="BY8" s="522"/>
      <c r="BZ8" s="522"/>
      <c r="CA8" s="522"/>
      <c r="CB8" s="522"/>
      <c r="CC8" s="124"/>
      <c r="CD8" s="124"/>
      <c r="CE8" s="124"/>
      <c r="CH8" s="124"/>
    </row>
    <row r="9" spans="1:128" x14ac:dyDescent="0.2">
      <c r="A9" s="531"/>
      <c r="B9" s="532"/>
      <c r="C9" s="532"/>
      <c r="D9" s="533"/>
      <c r="E9" s="531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  <c r="W9" s="532"/>
      <c r="X9" s="532"/>
      <c r="Y9" s="532"/>
      <c r="Z9" s="532"/>
      <c r="AA9" s="532"/>
      <c r="AB9" s="532"/>
      <c r="AC9" s="532"/>
      <c r="AD9" s="532"/>
      <c r="AE9" s="532"/>
      <c r="AF9" s="532"/>
      <c r="AG9" s="532"/>
      <c r="AH9" s="532"/>
      <c r="AI9" s="533"/>
      <c r="AJ9" s="531" t="s">
        <v>17</v>
      </c>
      <c r="AK9" s="532"/>
      <c r="AL9" s="532"/>
      <c r="AM9" s="532"/>
      <c r="AN9" s="532"/>
      <c r="AO9" s="532"/>
      <c r="AP9" s="532"/>
      <c r="AQ9" s="532"/>
      <c r="AR9" s="532"/>
      <c r="AS9" s="532"/>
      <c r="AT9" s="532"/>
      <c r="AU9" s="532"/>
      <c r="AV9" s="532"/>
      <c r="AW9" s="533"/>
      <c r="AX9" s="531"/>
      <c r="AY9" s="532"/>
      <c r="AZ9" s="532"/>
      <c r="BA9" s="532"/>
      <c r="BB9" s="532"/>
      <c r="BC9" s="532"/>
      <c r="BD9" s="532"/>
      <c r="BE9" s="532"/>
      <c r="BF9" s="533"/>
      <c r="BG9" s="531"/>
      <c r="BH9" s="532"/>
      <c r="BI9" s="532"/>
      <c r="BJ9" s="532"/>
      <c r="BK9" s="532"/>
      <c r="BL9" s="532"/>
      <c r="BM9" s="532"/>
      <c r="BN9" s="532"/>
      <c r="BO9" s="533"/>
      <c r="BP9" s="531"/>
      <c r="BQ9" s="532"/>
      <c r="BR9" s="532"/>
      <c r="BS9" s="532"/>
      <c r="BT9" s="532"/>
      <c r="BU9" s="532"/>
      <c r="BV9" s="532"/>
      <c r="BW9" s="532"/>
      <c r="BX9" s="532"/>
      <c r="BY9" s="532"/>
      <c r="BZ9" s="532"/>
      <c r="CA9" s="532"/>
      <c r="CB9" s="532"/>
      <c r="CC9" s="124"/>
      <c r="CD9" s="124"/>
      <c r="CE9" s="124"/>
      <c r="CH9" s="124"/>
    </row>
    <row r="10" spans="1:128" ht="15.75" x14ac:dyDescent="0.25">
      <c r="A10" s="531">
        <v>1</v>
      </c>
      <c r="B10" s="532"/>
      <c r="C10" s="532"/>
      <c r="D10" s="533"/>
      <c r="E10" s="531">
        <v>2</v>
      </c>
      <c r="F10" s="532"/>
      <c r="G10" s="532"/>
      <c r="H10" s="532"/>
      <c r="I10" s="532"/>
      <c r="J10" s="532"/>
      <c r="K10" s="532"/>
      <c r="L10" s="532"/>
      <c r="M10" s="532"/>
      <c r="N10" s="532"/>
      <c r="O10" s="532"/>
      <c r="P10" s="532"/>
      <c r="Q10" s="532"/>
      <c r="R10" s="532"/>
      <c r="S10" s="532"/>
      <c r="T10" s="532"/>
      <c r="U10" s="532"/>
      <c r="V10" s="532"/>
      <c r="W10" s="532"/>
      <c r="X10" s="532"/>
      <c r="Y10" s="532"/>
      <c r="Z10" s="532"/>
      <c r="AA10" s="532"/>
      <c r="AB10" s="532"/>
      <c r="AC10" s="532"/>
      <c r="AD10" s="532"/>
      <c r="AE10" s="532"/>
      <c r="AF10" s="532"/>
      <c r="AG10" s="532"/>
      <c r="AH10" s="532"/>
      <c r="AI10" s="533"/>
      <c r="AJ10" s="531">
        <v>3</v>
      </c>
      <c r="AK10" s="532"/>
      <c r="AL10" s="532"/>
      <c r="AM10" s="532"/>
      <c r="AN10" s="532"/>
      <c r="AO10" s="532"/>
      <c r="AP10" s="532"/>
      <c r="AQ10" s="532"/>
      <c r="AR10" s="532"/>
      <c r="AS10" s="532"/>
      <c r="AT10" s="532"/>
      <c r="AU10" s="532"/>
      <c r="AV10" s="532"/>
      <c r="AW10" s="533"/>
      <c r="AX10" s="531">
        <v>4</v>
      </c>
      <c r="AY10" s="532"/>
      <c r="AZ10" s="532"/>
      <c r="BA10" s="532"/>
      <c r="BB10" s="532"/>
      <c r="BC10" s="532"/>
      <c r="BD10" s="532"/>
      <c r="BE10" s="532"/>
      <c r="BF10" s="533"/>
      <c r="BG10" s="531">
        <v>5</v>
      </c>
      <c r="BH10" s="532"/>
      <c r="BI10" s="532"/>
      <c r="BJ10" s="532"/>
      <c r="BK10" s="532"/>
      <c r="BL10" s="532"/>
      <c r="BM10" s="532"/>
      <c r="BN10" s="532"/>
      <c r="BO10" s="533"/>
      <c r="BP10" s="531">
        <v>6</v>
      </c>
      <c r="BQ10" s="532"/>
      <c r="BR10" s="532"/>
      <c r="BS10" s="532"/>
      <c r="BT10" s="532"/>
      <c r="BU10" s="532"/>
      <c r="BV10" s="532"/>
      <c r="BW10" s="532"/>
      <c r="BX10" s="532"/>
      <c r="BY10" s="532"/>
      <c r="BZ10" s="532"/>
      <c r="CA10" s="532"/>
      <c r="CB10" s="532"/>
      <c r="CC10" s="59" t="s">
        <v>193</v>
      </c>
      <c r="CD10" s="59" t="s">
        <v>194</v>
      </c>
      <c r="CE10" s="59" t="s">
        <v>298</v>
      </c>
      <c r="CF10" s="150" t="s">
        <v>296</v>
      </c>
      <c r="CH10" s="124"/>
    </row>
    <row r="11" spans="1:128" x14ac:dyDescent="0.2">
      <c r="A11" s="506">
        <v>1</v>
      </c>
      <c r="B11" s="507"/>
      <c r="C11" s="507"/>
      <c r="D11" s="508"/>
      <c r="E11" s="506" t="s">
        <v>318</v>
      </c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8"/>
      <c r="AJ11" s="512"/>
      <c r="AK11" s="513"/>
      <c r="AL11" s="513"/>
      <c r="AM11" s="513"/>
      <c r="AN11" s="513"/>
      <c r="AO11" s="513"/>
      <c r="AP11" s="513"/>
      <c r="AQ11" s="513"/>
      <c r="AR11" s="513"/>
      <c r="AS11" s="513"/>
      <c r="AT11" s="513"/>
      <c r="AU11" s="513"/>
      <c r="AV11" s="513"/>
      <c r="AW11" s="514"/>
      <c r="AX11" s="512"/>
      <c r="AY11" s="513"/>
      <c r="AZ11" s="513"/>
      <c r="BA11" s="513"/>
      <c r="BB11" s="513"/>
      <c r="BC11" s="513"/>
      <c r="BD11" s="513"/>
      <c r="BE11" s="513"/>
      <c r="BF11" s="514"/>
      <c r="BG11" s="512"/>
      <c r="BH11" s="513"/>
      <c r="BI11" s="513"/>
      <c r="BJ11" s="513"/>
      <c r="BK11" s="513"/>
      <c r="BL11" s="513"/>
      <c r="BM11" s="513"/>
      <c r="BN11" s="513"/>
      <c r="BO11" s="514"/>
      <c r="BP11" s="538"/>
      <c r="BQ11" s="539"/>
      <c r="BR11" s="539"/>
      <c r="BS11" s="539"/>
      <c r="BT11" s="539"/>
      <c r="BU11" s="539"/>
      <c r="BV11" s="539"/>
      <c r="BW11" s="539"/>
      <c r="BX11" s="539"/>
      <c r="BY11" s="539"/>
      <c r="BZ11" s="539"/>
      <c r="CA11" s="539"/>
      <c r="CB11" s="539"/>
      <c r="CE11" s="60">
        <f>CC11-CD11</f>
        <v>0</v>
      </c>
      <c r="CF11" s="60">
        <f>BP11-CC11</f>
        <v>0</v>
      </c>
      <c r="CH11" s="124"/>
    </row>
    <row r="12" spans="1:128" x14ac:dyDescent="0.2">
      <c r="A12" s="506"/>
      <c r="B12" s="507"/>
      <c r="C12" s="507"/>
      <c r="D12" s="508"/>
      <c r="E12" s="506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8"/>
      <c r="AJ12" s="512"/>
      <c r="AK12" s="513"/>
      <c r="AL12" s="513"/>
      <c r="AM12" s="513"/>
      <c r="AN12" s="513"/>
      <c r="AO12" s="513"/>
      <c r="AP12" s="513"/>
      <c r="AQ12" s="513"/>
      <c r="AR12" s="513"/>
      <c r="AS12" s="513"/>
      <c r="AT12" s="513"/>
      <c r="AU12" s="513"/>
      <c r="AV12" s="513"/>
      <c r="AW12" s="514"/>
      <c r="AX12" s="512"/>
      <c r="AY12" s="513"/>
      <c r="AZ12" s="513"/>
      <c r="BA12" s="513"/>
      <c r="BB12" s="513"/>
      <c r="BC12" s="513"/>
      <c r="BD12" s="513"/>
      <c r="BE12" s="513"/>
      <c r="BF12" s="514"/>
      <c r="BG12" s="512"/>
      <c r="BH12" s="513"/>
      <c r="BI12" s="513"/>
      <c r="BJ12" s="513"/>
      <c r="BK12" s="513"/>
      <c r="BL12" s="513"/>
      <c r="BM12" s="513"/>
      <c r="BN12" s="513"/>
      <c r="BO12" s="514"/>
      <c r="BP12" s="538"/>
      <c r="BQ12" s="539"/>
      <c r="BR12" s="539"/>
      <c r="BS12" s="539"/>
      <c r="BT12" s="539"/>
      <c r="BU12" s="539"/>
      <c r="BV12" s="539"/>
      <c r="BW12" s="539"/>
      <c r="BX12" s="539"/>
      <c r="BY12" s="539"/>
      <c r="BZ12" s="539"/>
      <c r="CA12" s="539"/>
      <c r="CB12" s="539"/>
      <c r="CC12" s="124"/>
      <c r="CD12" s="124"/>
      <c r="CE12" s="124"/>
      <c r="CH12" s="124"/>
    </row>
    <row r="13" spans="1:128" s="155" customFormat="1" x14ac:dyDescent="0.2">
      <c r="A13" s="597"/>
      <c r="B13" s="598"/>
      <c r="C13" s="598"/>
      <c r="D13" s="599"/>
      <c r="E13" s="593" t="s">
        <v>10</v>
      </c>
      <c r="F13" s="594"/>
      <c r="G13" s="594"/>
      <c r="H13" s="594"/>
      <c r="I13" s="594"/>
      <c r="J13" s="594"/>
      <c r="K13" s="594"/>
      <c r="L13" s="594"/>
      <c r="M13" s="594"/>
      <c r="N13" s="594"/>
      <c r="O13" s="594"/>
      <c r="P13" s="594"/>
      <c r="Q13" s="594"/>
      <c r="R13" s="594"/>
      <c r="S13" s="594"/>
      <c r="T13" s="594"/>
      <c r="U13" s="594"/>
      <c r="V13" s="594"/>
      <c r="W13" s="594"/>
      <c r="X13" s="594"/>
      <c r="Y13" s="594"/>
      <c r="Z13" s="594"/>
      <c r="AA13" s="594"/>
      <c r="AB13" s="594"/>
      <c r="AC13" s="594"/>
      <c r="AD13" s="594"/>
      <c r="AE13" s="594"/>
      <c r="AF13" s="594"/>
      <c r="AG13" s="594"/>
      <c r="AH13" s="594"/>
      <c r="AI13" s="595"/>
      <c r="AJ13" s="528" t="s">
        <v>11</v>
      </c>
      <c r="AK13" s="529"/>
      <c r="AL13" s="529"/>
      <c r="AM13" s="529"/>
      <c r="AN13" s="529"/>
      <c r="AO13" s="529"/>
      <c r="AP13" s="529"/>
      <c r="AQ13" s="529"/>
      <c r="AR13" s="529"/>
      <c r="AS13" s="529"/>
      <c r="AT13" s="529"/>
      <c r="AU13" s="529"/>
      <c r="AV13" s="529"/>
      <c r="AW13" s="530"/>
      <c r="AX13" s="528" t="s">
        <v>11</v>
      </c>
      <c r="AY13" s="529"/>
      <c r="AZ13" s="529"/>
      <c r="BA13" s="529"/>
      <c r="BB13" s="529"/>
      <c r="BC13" s="529"/>
      <c r="BD13" s="529"/>
      <c r="BE13" s="529"/>
      <c r="BF13" s="530"/>
      <c r="BG13" s="528" t="s">
        <v>11</v>
      </c>
      <c r="BH13" s="529"/>
      <c r="BI13" s="529"/>
      <c r="BJ13" s="529"/>
      <c r="BK13" s="529"/>
      <c r="BL13" s="529"/>
      <c r="BM13" s="529"/>
      <c r="BN13" s="529"/>
      <c r="BO13" s="530"/>
      <c r="BP13" s="541">
        <f>BP11+BP12</f>
        <v>0</v>
      </c>
      <c r="BQ13" s="542"/>
      <c r="BR13" s="542"/>
      <c r="BS13" s="542"/>
      <c r="BT13" s="542"/>
      <c r="BU13" s="542"/>
      <c r="BV13" s="542"/>
      <c r="BW13" s="542"/>
      <c r="BX13" s="542"/>
      <c r="BY13" s="542"/>
      <c r="BZ13" s="542"/>
      <c r="CA13" s="542"/>
      <c r="CB13" s="542"/>
      <c r="CC13" s="158"/>
      <c r="CD13" s="158"/>
      <c r="CE13" s="158"/>
      <c r="CF13" s="158"/>
      <c r="CG13" s="159"/>
      <c r="CH13" s="158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59"/>
      <c r="DK13" s="159"/>
      <c r="DL13" s="159"/>
      <c r="DM13" s="159"/>
      <c r="DN13" s="159"/>
      <c r="DO13" s="159"/>
      <c r="DP13" s="159"/>
      <c r="DQ13" s="159"/>
    </row>
    <row r="14" spans="1:128" s="3" customFormat="1" ht="15.75" x14ac:dyDescent="0.25">
      <c r="A14" s="518" t="s">
        <v>311</v>
      </c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8"/>
      <c r="AX14" s="518"/>
      <c r="AY14" s="518"/>
      <c r="AZ14" s="518"/>
      <c r="BA14" s="518"/>
      <c r="BB14" s="518"/>
      <c r="BC14" s="518"/>
      <c r="BD14" s="518"/>
      <c r="BE14" s="518"/>
      <c r="BF14" s="518"/>
      <c r="BG14" s="518"/>
      <c r="BH14" s="518"/>
      <c r="BI14" s="518"/>
      <c r="BJ14" s="518"/>
      <c r="BK14" s="518"/>
      <c r="BL14" s="518"/>
      <c r="BM14" s="518"/>
      <c r="BN14" s="518"/>
      <c r="BO14" s="518"/>
      <c r="BP14" s="518"/>
      <c r="BQ14" s="518"/>
      <c r="BR14" s="518"/>
      <c r="BS14" s="518"/>
      <c r="BT14" s="518"/>
      <c r="BU14" s="518"/>
      <c r="BV14" s="518"/>
      <c r="BW14" s="518"/>
      <c r="BX14" s="518"/>
      <c r="BY14" s="518"/>
      <c r="BZ14" s="518"/>
      <c r="CA14" s="518"/>
      <c r="CB14" s="518"/>
      <c r="CC14" s="122"/>
      <c r="CD14" s="122"/>
      <c r="CE14" s="122"/>
      <c r="CF14" s="122"/>
      <c r="CG14" s="24"/>
      <c r="CH14" s="122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</row>
    <row r="15" spans="1:128" s="187" customFormat="1" ht="30" customHeight="1" x14ac:dyDescent="0.2">
      <c r="A15" s="189" t="s">
        <v>3</v>
      </c>
      <c r="B15" s="189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540" t="s">
        <v>317</v>
      </c>
      <c r="AJ15" s="540"/>
      <c r="AK15" s="540"/>
      <c r="AL15" s="540"/>
      <c r="AM15" s="540"/>
      <c r="AN15" s="540"/>
      <c r="AO15" s="540"/>
      <c r="AP15" s="540"/>
      <c r="AQ15" s="540"/>
      <c r="AR15" s="540"/>
      <c r="AS15" s="540"/>
      <c r="AT15" s="540"/>
      <c r="AU15" s="540"/>
      <c r="AV15" s="540"/>
      <c r="AW15" s="540"/>
      <c r="AX15" s="540"/>
      <c r="AY15" s="540"/>
      <c r="AZ15" s="540"/>
      <c r="BA15" s="540"/>
      <c r="BB15" s="540"/>
      <c r="BC15" s="540"/>
      <c r="BD15" s="540"/>
      <c r="BE15" s="540"/>
      <c r="BF15" s="540"/>
      <c r="BG15" s="540"/>
      <c r="BH15" s="540"/>
      <c r="BI15" s="540"/>
      <c r="BJ15" s="540"/>
      <c r="BK15" s="540"/>
      <c r="BL15" s="540"/>
      <c r="BM15" s="540"/>
      <c r="BN15" s="540"/>
      <c r="BO15" s="540"/>
      <c r="BP15" s="540"/>
      <c r="BQ15" s="540"/>
      <c r="BR15" s="540"/>
      <c r="BS15" s="540"/>
      <c r="BT15" s="540"/>
      <c r="BU15" s="540"/>
      <c r="BV15" s="540"/>
      <c r="BW15" s="540"/>
      <c r="BX15" s="540"/>
      <c r="BY15" s="540"/>
      <c r="BZ15" s="540"/>
      <c r="CA15" s="540"/>
      <c r="CB15" s="540"/>
    </row>
    <row r="16" spans="1:128" s="4" customFormat="1" ht="8.25" x14ac:dyDescent="0.15">
      <c r="CC16" s="145"/>
      <c r="CD16" s="145"/>
      <c r="CE16" s="145"/>
      <c r="CF16" s="145"/>
      <c r="CG16" s="25"/>
      <c r="CH16" s="14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</row>
    <row r="17" spans="1:121" x14ac:dyDescent="0.2">
      <c r="A17" s="519" t="s">
        <v>5</v>
      </c>
      <c r="B17" s="520"/>
      <c r="C17" s="520"/>
      <c r="D17" s="523"/>
      <c r="E17" s="519" t="s">
        <v>13</v>
      </c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0"/>
      <c r="AI17" s="523"/>
      <c r="AJ17" s="519" t="s">
        <v>23</v>
      </c>
      <c r="AK17" s="520"/>
      <c r="AL17" s="520"/>
      <c r="AM17" s="520"/>
      <c r="AN17" s="520"/>
      <c r="AO17" s="520"/>
      <c r="AP17" s="520"/>
      <c r="AQ17" s="520"/>
      <c r="AR17" s="520"/>
      <c r="AS17" s="520"/>
      <c r="AT17" s="523"/>
      <c r="AU17" s="519" t="s">
        <v>18</v>
      </c>
      <c r="AV17" s="520"/>
      <c r="AW17" s="520"/>
      <c r="AX17" s="520"/>
      <c r="AY17" s="520"/>
      <c r="AZ17" s="520"/>
      <c r="BA17" s="520"/>
      <c r="BB17" s="520"/>
      <c r="BC17" s="520"/>
      <c r="BD17" s="523"/>
      <c r="BE17" s="519" t="s">
        <v>29</v>
      </c>
      <c r="BF17" s="520"/>
      <c r="BG17" s="520"/>
      <c r="BH17" s="520"/>
      <c r="BI17" s="520"/>
      <c r="BJ17" s="520"/>
      <c r="BK17" s="520"/>
      <c r="BL17" s="520"/>
      <c r="BM17" s="520"/>
      <c r="BN17" s="520"/>
      <c r="BO17" s="523"/>
      <c r="BP17" s="519" t="s">
        <v>22</v>
      </c>
      <c r="BQ17" s="520"/>
      <c r="BR17" s="520"/>
      <c r="BS17" s="520"/>
      <c r="BT17" s="520"/>
      <c r="BU17" s="520"/>
      <c r="BV17" s="520"/>
      <c r="BW17" s="520"/>
      <c r="BX17" s="520"/>
      <c r="BY17" s="520"/>
      <c r="BZ17" s="520"/>
      <c r="CA17" s="520"/>
      <c r="CB17" s="520"/>
      <c r="CC17" s="124"/>
      <c r="CD17" s="124"/>
      <c r="CE17" s="124"/>
      <c r="CH17" s="124"/>
    </row>
    <row r="18" spans="1:121" x14ac:dyDescent="0.2">
      <c r="A18" s="521" t="s">
        <v>6</v>
      </c>
      <c r="B18" s="522"/>
      <c r="C18" s="522"/>
      <c r="D18" s="537"/>
      <c r="E18" s="521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37"/>
      <c r="AJ18" s="521" t="s">
        <v>19</v>
      </c>
      <c r="AK18" s="522"/>
      <c r="AL18" s="522"/>
      <c r="AM18" s="522"/>
      <c r="AN18" s="522"/>
      <c r="AO18" s="522"/>
      <c r="AP18" s="522"/>
      <c r="AQ18" s="522"/>
      <c r="AR18" s="522"/>
      <c r="AS18" s="522"/>
      <c r="AT18" s="537"/>
      <c r="AU18" s="521" t="s">
        <v>26</v>
      </c>
      <c r="AV18" s="522"/>
      <c r="AW18" s="522"/>
      <c r="AX18" s="522"/>
      <c r="AY18" s="522"/>
      <c r="AZ18" s="522"/>
      <c r="BA18" s="522"/>
      <c r="BB18" s="522"/>
      <c r="BC18" s="522"/>
      <c r="BD18" s="537"/>
      <c r="BE18" s="521" t="s">
        <v>30</v>
      </c>
      <c r="BF18" s="522"/>
      <c r="BG18" s="522"/>
      <c r="BH18" s="522"/>
      <c r="BI18" s="522"/>
      <c r="BJ18" s="522"/>
      <c r="BK18" s="522"/>
      <c r="BL18" s="522"/>
      <c r="BM18" s="522"/>
      <c r="BN18" s="522"/>
      <c r="BO18" s="537"/>
      <c r="BP18" s="521" t="s">
        <v>88</v>
      </c>
      <c r="BQ18" s="522"/>
      <c r="BR18" s="522"/>
      <c r="BS18" s="522"/>
      <c r="BT18" s="522"/>
      <c r="BU18" s="522"/>
      <c r="BV18" s="522"/>
      <c r="BW18" s="522"/>
      <c r="BX18" s="522"/>
      <c r="BY18" s="522"/>
      <c r="BZ18" s="522"/>
      <c r="CA18" s="522"/>
      <c r="CB18" s="522"/>
      <c r="CC18" s="124"/>
      <c r="CD18" s="124"/>
      <c r="CE18" s="124"/>
      <c r="CH18" s="124"/>
    </row>
    <row r="19" spans="1:121" x14ac:dyDescent="0.2">
      <c r="A19" s="521"/>
      <c r="B19" s="522"/>
      <c r="C19" s="522"/>
      <c r="D19" s="537"/>
      <c r="E19" s="521"/>
      <c r="F19" s="522"/>
      <c r="G19" s="522"/>
      <c r="H19" s="522"/>
      <c r="I19" s="522"/>
      <c r="J19" s="522"/>
      <c r="K19" s="522"/>
      <c r="L19" s="522"/>
      <c r="M19" s="522"/>
      <c r="N19" s="522"/>
      <c r="O19" s="522"/>
      <c r="P19" s="522"/>
      <c r="Q19" s="522"/>
      <c r="R19" s="522"/>
      <c r="S19" s="522"/>
      <c r="T19" s="522"/>
      <c r="U19" s="522"/>
      <c r="V19" s="522"/>
      <c r="W19" s="522"/>
      <c r="X19" s="522"/>
      <c r="Y19" s="522"/>
      <c r="Z19" s="522"/>
      <c r="AA19" s="522"/>
      <c r="AB19" s="522"/>
      <c r="AC19" s="522"/>
      <c r="AD19" s="522"/>
      <c r="AE19" s="522"/>
      <c r="AF19" s="522"/>
      <c r="AG19" s="522"/>
      <c r="AH19" s="522"/>
      <c r="AI19" s="537"/>
      <c r="AJ19" s="521" t="s">
        <v>24</v>
      </c>
      <c r="AK19" s="522"/>
      <c r="AL19" s="522"/>
      <c r="AM19" s="522"/>
      <c r="AN19" s="522"/>
      <c r="AO19" s="522"/>
      <c r="AP19" s="522"/>
      <c r="AQ19" s="522"/>
      <c r="AR19" s="522"/>
      <c r="AS19" s="522"/>
      <c r="AT19" s="537"/>
      <c r="AU19" s="521" t="s">
        <v>27</v>
      </c>
      <c r="AV19" s="522"/>
      <c r="AW19" s="522"/>
      <c r="AX19" s="522"/>
      <c r="AY19" s="522"/>
      <c r="AZ19" s="522"/>
      <c r="BA19" s="522"/>
      <c r="BB19" s="522"/>
      <c r="BC19" s="522"/>
      <c r="BD19" s="537"/>
      <c r="BE19" s="521" t="s">
        <v>32</v>
      </c>
      <c r="BF19" s="522"/>
      <c r="BG19" s="522"/>
      <c r="BH19" s="522"/>
      <c r="BI19" s="522"/>
      <c r="BJ19" s="522"/>
      <c r="BK19" s="522"/>
      <c r="BL19" s="522"/>
      <c r="BM19" s="522"/>
      <c r="BN19" s="522"/>
      <c r="BO19" s="537"/>
      <c r="BP19" s="521"/>
      <c r="BQ19" s="522"/>
      <c r="BR19" s="522"/>
      <c r="BS19" s="522"/>
      <c r="BT19" s="522"/>
      <c r="BU19" s="522"/>
      <c r="BV19" s="522"/>
      <c r="BW19" s="522"/>
      <c r="BX19" s="522"/>
      <c r="BY19" s="522"/>
      <c r="BZ19" s="522"/>
      <c r="CA19" s="522"/>
      <c r="CB19" s="522"/>
      <c r="CC19" s="124"/>
      <c r="CD19" s="124"/>
      <c r="CE19" s="124"/>
      <c r="CH19" s="124"/>
    </row>
    <row r="20" spans="1:121" x14ac:dyDescent="0.2">
      <c r="A20" s="531"/>
      <c r="B20" s="532"/>
      <c r="C20" s="532"/>
      <c r="D20" s="533"/>
      <c r="E20" s="531"/>
      <c r="F20" s="532"/>
      <c r="G20" s="532"/>
      <c r="H20" s="532"/>
      <c r="I20" s="532"/>
      <c r="J20" s="532"/>
      <c r="K20" s="532"/>
      <c r="L20" s="532"/>
      <c r="M20" s="532"/>
      <c r="N20" s="532"/>
      <c r="O20" s="532"/>
      <c r="P20" s="532"/>
      <c r="Q20" s="532"/>
      <c r="R20" s="532"/>
      <c r="S20" s="532"/>
      <c r="T20" s="532"/>
      <c r="U20" s="532"/>
      <c r="V20" s="532"/>
      <c r="W20" s="532"/>
      <c r="X20" s="532"/>
      <c r="Y20" s="532"/>
      <c r="Z20" s="532"/>
      <c r="AA20" s="532"/>
      <c r="AB20" s="532"/>
      <c r="AC20" s="532"/>
      <c r="AD20" s="532"/>
      <c r="AE20" s="532"/>
      <c r="AF20" s="532"/>
      <c r="AG20" s="532"/>
      <c r="AH20" s="532"/>
      <c r="AI20" s="533"/>
      <c r="AJ20" s="531" t="s">
        <v>25</v>
      </c>
      <c r="AK20" s="532"/>
      <c r="AL20" s="532"/>
      <c r="AM20" s="532"/>
      <c r="AN20" s="532"/>
      <c r="AO20" s="532"/>
      <c r="AP20" s="532"/>
      <c r="AQ20" s="532"/>
      <c r="AR20" s="532"/>
      <c r="AS20" s="532"/>
      <c r="AT20" s="533"/>
      <c r="AU20" s="531" t="s">
        <v>28</v>
      </c>
      <c r="AV20" s="532"/>
      <c r="AW20" s="532"/>
      <c r="AX20" s="532"/>
      <c r="AY20" s="532"/>
      <c r="AZ20" s="532"/>
      <c r="BA20" s="532"/>
      <c r="BB20" s="532"/>
      <c r="BC20" s="532"/>
      <c r="BD20" s="533"/>
      <c r="BE20" s="531" t="s">
        <v>31</v>
      </c>
      <c r="BF20" s="532"/>
      <c r="BG20" s="532"/>
      <c r="BH20" s="532"/>
      <c r="BI20" s="532"/>
      <c r="BJ20" s="532"/>
      <c r="BK20" s="532"/>
      <c r="BL20" s="532"/>
      <c r="BM20" s="532"/>
      <c r="BN20" s="532"/>
      <c r="BO20" s="533"/>
      <c r="BP20" s="531"/>
      <c r="BQ20" s="532"/>
      <c r="BR20" s="532"/>
      <c r="BS20" s="532"/>
      <c r="BT20" s="532"/>
      <c r="BU20" s="532"/>
      <c r="BV20" s="532"/>
      <c r="BW20" s="532"/>
      <c r="BX20" s="532"/>
      <c r="BY20" s="532"/>
      <c r="BZ20" s="532"/>
      <c r="CA20" s="532"/>
      <c r="CB20" s="532"/>
      <c r="CC20" s="124"/>
      <c r="CD20" s="124"/>
      <c r="CE20" s="124"/>
      <c r="CH20" s="124"/>
    </row>
    <row r="21" spans="1:121" ht="15.75" x14ac:dyDescent="0.25">
      <c r="A21" s="531">
        <v>1</v>
      </c>
      <c r="B21" s="532"/>
      <c r="C21" s="532"/>
      <c r="D21" s="533"/>
      <c r="E21" s="531">
        <v>2</v>
      </c>
      <c r="F21" s="532"/>
      <c r="G21" s="532"/>
      <c r="H21" s="532"/>
      <c r="I21" s="532"/>
      <c r="J21" s="532"/>
      <c r="K21" s="532"/>
      <c r="L21" s="532"/>
      <c r="M21" s="532"/>
      <c r="N21" s="532"/>
      <c r="O21" s="532"/>
      <c r="P21" s="532"/>
      <c r="Q21" s="532"/>
      <c r="R21" s="532"/>
      <c r="S21" s="532"/>
      <c r="T21" s="532"/>
      <c r="U21" s="532"/>
      <c r="V21" s="532"/>
      <c r="W21" s="532"/>
      <c r="X21" s="532"/>
      <c r="Y21" s="532"/>
      <c r="Z21" s="532"/>
      <c r="AA21" s="532"/>
      <c r="AB21" s="532"/>
      <c r="AC21" s="532"/>
      <c r="AD21" s="532"/>
      <c r="AE21" s="532"/>
      <c r="AF21" s="532"/>
      <c r="AG21" s="532"/>
      <c r="AH21" s="532"/>
      <c r="AI21" s="533"/>
      <c r="AJ21" s="531">
        <v>3</v>
      </c>
      <c r="AK21" s="532"/>
      <c r="AL21" s="532"/>
      <c r="AM21" s="532"/>
      <c r="AN21" s="532"/>
      <c r="AO21" s="532"/>
      <c r="AP21" s="532"/>
      <c r="AQ21" s="532"/>
      <c r="AR21" s="532"/>
      <c r="AS21" s="532"/>
      <c r="AT21" s="533"/>
      <c r="AU21" s="531">
        <v>4</v>
      </c>
      <c r="AV21" s="532"/>
      <c r="AW21" s="532"/>
      <c r="AX21" s="532"/>
      <c r="AY21" s="532"/>
      <c r="AZ21" s="532"/>
      <c r="BA21" s="532"/>
      <c r="BB21" s="532"/>
      <c r="BC21" s="532"/>
      <c r="BD21" s="533"/>
      <c r="BE21" s="531">
        <v>5</v>
      </c>
      <c r="BF21" s="532"/>
      <c r="BG21" s="532"/>
      <c r="BH21" s="532"/>
      <c r="BI21" s="532"/>
      <c r="BJ21" s="532"/>
      <c r="BK21" s="532"/>
      <c r="BL21" s="532"/>
      <c r="BM21" s="532"/>
      <c r="BN21" s="532"/>
      <c r="BO21" s="533"/>
      <c r="BP21" s="531">
        <v>6</v>
      </c>
      <c r="BQ21" s="532"/>
      <c r="BR21" s="532"/>
      <c r="BS21" s="532"/>
      <c r="BT21" s="532"/>
      <c r="BU21" s="532"/>
      <c r="BV21" s="532"/>
      <c r="BW21" s="532"/>
      <c r="BX21" s="532"/>
      <c r="BY21" s="532"/>
      <c r="BZ21" s="532"/>
      <c r="CA21" s="532"/>
      <c r="CB21" s="533"/>
      <c r="CC21" s="59" t="s">
        <v>193</v>
      </c>
      <c r="CD21" s="59" t="s">
        <v>194</v>
      </c>
      <c r="CE21" s="59" t="s">
        <v>298</v>
      </c>
      <c r="CF21" s="150" t="s">
        <v>296</v>
      </c>
      <c r="CG21" s="24"/>
      <c r="CH21" s="124"/>
    </row>
    <row r="22" spans="1:121" x14ac:dyDescent="0.2">
      <c r="A22" s="506">
        <v>1</v>
      </c>
      <c r="B22" s="507"/>
      <c r="C22" s="507"/>
      <c r="D22" s="508"/>
      <c r="E22" s="525" t="s">
        <v>313</v>
      </c>
      <c r="F22" s="526"/>
      <c r="G22" s="526"/>
      <c r="H22" s="526"/>
      <c r="I22" s="526"/>
      <c r="J22" s="526"/>
      <c r="K22" s="526"/>
      <c r="L22" s="526"/>
      <c r="M22" s="526"/>
      <c r="N22" s="526"/>
      <c r="O22" s="526"/>
      <c r="P22" s="526"/>
      <c r="Q22" s="526"/>
      <c r="R22" s="526"/>
      <c r="S22" s="526"/>
      <c r="T22" s="526"/>
      <c r="U22" s="526"/>
      <c r="V22" s="526"/>
      <c r="W22" s="526"/>
      <c r="X22" s="526"/>
      <c r="Y22" s="526"/>
      <c r="Z22" s="526"/>
      <c r="AA22" s="526"/>
      <c r="AB22" s="526"/>
      <c r="AC22" s="526"/>
      <c r="AD22" s="526"/>
      <c r="AE22" s="526"/>
      <c r="AF22" s="526"/>
      <c r="AG22" s="526"/>
      <c r="AH22" s="526"/>
      <c r="AI22" s="527"/>
      <c r="AJ22" s="512"/>
      <c r="AK22" s="513"/>
      <c r="AL22" s="513"/>
      <c r="AM22" s="513"/>
      <c r="AN22" s="513"/>
      <c r="AO22" s="513"/>
      <c r="AP22" s="513"/>
      <c r="AQ22" s="513"/>
      <c r="AR22" s="513"/>
      <c r="AS22" s="513"/>
      <c r="AT22" s="514"/>
      <c r="AU22" s="512"/>
      <c r="AV22" s="513"/>
      <c r="AW22" s="513"/>
      <c r="AX22" s="513"/>
      <c r="AY22" s="513"/>
      <c r="AZ22" s="513"/>
      <c r="BA22" s="513"/>
      <c r="BB22" s="513"/>
      <c r="BC22" s="513"/>
      <c r="BD22" s="514"/>
      <c r="BE22" s="512"/>
      <c r="BF22" s="513"/>
      <c r="BG22" s="513"/>
      <c r="BH22" s="513"/>
      <c r="BI22" s="513"/>
      <c r="BJ22" s="513"/>
      <c r="BK22" s="513"/>
      <c r="BL22" s="513"/>
      <c r="BM22" s="513"/>
      <c r="BN22" s="513"/>
      <c r="BO22" s="514"/>
      <c r="BP22" s="515">
        <f>3719008.26</f>
        <v>3719008.26</v>
      </c>
      <c r="BQ22" s="516"/>
      <c r="BR22" s="516"/>
      <c r="BS22" s="516"/>
      <c r="BT22" s="516"/>
      <c r="BU22" s="516"/>
      <c r="BV22" s="516"/>
      <c r="BW22" s="516"/>
      <c r="BX22" s="516"/>
      <c r="BY22" s="516"/>
      <c r="BZ22" s="516"/>
      <c r="CA22" s="516"/>
      <c r="CB22" s="517"/>
      <c r="CE22" s="60">
        <f t="shared" ref="CE22:CE29" si="0">CC22-CD22</f>
        <v>0</v>
      </c>
      <c r="CF22" s="60">
        <f t="shared" ref="CF22:CF29" si="1">BP22-CC22</f>
        <v>3719008.26</v>
      </c>
      <c r="CH22" s="124"/>
    </row>
    <row r="23" spans="1:121" x14ac:dyDescent="0.2">
      <c r="A23" s="506">
        <v>2</v>
      </c>
      <c r="B23" s="507"/>
      <c r="C23" s="507"/>
      <c r="D23" s="508"/>
      <c r="E23" s="525" t="s">
        <v>312</v>
      </c>
      <c r="F23" s="526"/>
      <c r="G23" s="526"/>
      <c r="H23" s="526"/>
      <c r="I23" s="526"/>
      <c r="J23" s="526"/>
      <c r="K23" s="526"/>
      <c r="L23" s="526"/>
      <c r="M23" s="526"/>
      <c r="N23" s="526"/>
      <c r="O23" s="526"/>
      <c r="P23" s="526"/>
      <c r="Q23" s="526"/>
      <c r="R23" s="526"/>
      <c r="S23" s="526"/>
      <c r="T23" s="526"/>
      <c r="U23" s="526"/>
      <c r="V23" s="526"/>
      <c r="W23" s="526"/>
      <c r="X23" s="526"/>
      <c r="Y23" s="526"/>
      <c r="Z23" s="526"/>
      <c r="AA23" s="526"/>
      <c r="AB23" s="526"/>
      <c r="AC23" s="526"/>
      <c r="AD23" s="526"/>
      <c r="AE23" s="526"/>
      <c r="AF23" s="526"/>
      <c r="AG23" s="526"/>
      <c r="AH23" s="526"/>
      <c r="AI23" s="527"/>
      <c r="AJ23" s="512"/>
      <c r="AK23" s="513"/>
      <c r="AL23" s="513"/>
      <c r="AM23" s="513"/>
      <c r="AN23" s="513"/>
      <c r="AO23" s="513"/>
      <c r="AP23" s="513"/>
      <c r="AQ23" s="513"/>
      <c r="AR23" s="513"/>
      <c r="AS23" s="513"/>
      <c r="AT23" s="514"/>
      <c r="AU23" s="512"/>
      <c r="AV23" s="513"/>
      <c r="AW23" s="513"/>
      <c r="AX23" s="513"/>
      <c r="AY23" s="513"/>
      <c r="AZ23" s="513"/>
      <c r="BA23" s="513"/>
      <c r="BB23" s="513"/>
      <c r="BC23" s="513"/>
      <c r="BD23" s="514"/>
      <c r="BE23" s="512"/>
      <c r="BF23" s="513"/>
      <c r="BG23" s="513"/>
      <c r="BH23" s="513"/>
      <c r="BI23" s="513"/>
      <c r="BJ23" s="513"/>
      <c r="BK23" s="513"/>
      <c r="BL23" s="513"/>
      <c r="BM23" s="513"/>
      <c r="BN23" s="513"/>
      <c r="BO23" s="514"/>
      <c r="BP23" s="515">
        <f>1123140.5</f>
        <v>1123140.5</v>
      </c>
      <c r="BQ23" s="516"/>
      <c r="BR23" s="516"/>
      <c r="BS23" s="516"/>
      <c r="BT23" s="516"/>
      <c r="BU23" s="516"/>
      <c r="BV23" s="516"/>
      <c r="BW23" s="516"/>
      <c r="BX23" s="516"/>
      <c r="BY23" s="516"/>
      <c r="BZ23" s="516"/>
      <c r="CA23" s="516"/>
      <c r="CB23" s="517"/>
      <c r="CE23" s="60">
        <f t="shared" si="0"/>
        <v>0</v>
      </c>
      <c r="CF23" s="60">
        <f t="shared" si="1"/>
        <v>1123140.5</v>
      </c>
      <c r="CH23" s="124"/>
    </row>
    <row r="24" spans="1:121" x14ac:dyDescent="0.2">
      <c r="A24" s="506">
        <v>3</v>
      </c>
      <c r="B24" s="507"/>
      <c r="C24" s="507"/>
      <c r="D24" s="508"/>
      <c r="E24" s="525" t="s">
        <v>438</v>
      </c>
      <c r="F24" s="526"/>
      <c r="G24" s="526"/>
      <c r="H24" s="526"/>
      <c r="I24" s="526"/>
      <c r="J24" s="526"/>
      <c r="K24" s="526"/>
      <c r="L24" s="526"/>
      <c r="M24" s="526"/>
      <c r="N24" s="526"/>
      <c r="O24" s="526"/>
      <c r="P24" s="526"/>
      <c r="Q24" s="526"/>
      <c r="R24" s="526"/>
      <c r="S24" s="526"/>
      <c r="T24" s="526"/>
      <c r="U24" s="526"/>
      <c r="V24" s="526"/>
      <c r="W24" s="526"/>
      <c r="X24" s="526"/>
      <c r="Y24" s="526"/>
      <c r="Z24" s="526"/>
      <c r="AA24" s="526"/>
      <c r="AB24" s="526"/>
      <c r="AC24" s="526"/>
      <c r="AD24" s="526"/>
      <c r="AE24" s="526"/>
      <c r="AF24" s="526"/>
      <c r="AG24" s="526"/>
      <c r="AH24" s="526"/>
      <c r="AI24" s="527"/>
      <c r="AJ24" s="512"/>
      <c r="AK24" s="513"/>
      <c r="AL24" s="513"/>
      <c r="AM24" s="513"/>
      <c r="AN24" s="513"/>
      <c r="AO24" s="513"/>
      <c r="AP24" s="513"/>
      <c r="AQ24" s="513"/>
      <c r="AR24" s="513"/>
      <c r="AS24" s="513"/>
      <c r="AT24" s="514"/>
      <c r="AU24" s="512"/>
      <c r="AV24" s="513"/>
      <c r="AW24" s="513"/>
      <c r="AX24" s="513"/>
      <c r="AY24" s="513"/>
      <c r="AZ24" s="513"/>
      <c r="BA24" s="513"/>
      <c r="BB24" s="513"/>
      <c r="BC24" s="513"/>
      <c r="BD24" s="514"/>
      <c r="BE24" s="512"/>
      <c r="BF24" s="513"/>
      <c r="BG24" s="513"/>
      <c r="BH24" s="513"/>
      <c r="BI24" s="513"/>
      <c r="BJ24" s="513"/>
      <c r="BK24" s="513"/>
      <c r="BL24" s="513"/>
      <c r="BM24" s="513"/>
      <c r="BN24" s="513"/>
      <c r="BO24" s="514"/>
      <c r="BP24" s="515">
        <f>187876</f>
        <v>187876</v>
      </c>
      <c r="BQ24" s="516"/>
      <c r="BR24" s="516"/>
      <c r="BS24" s="516"/>
      <c r="BT24" s="516"/>
      <c r="BU24" s="516"/>
      <c r="BV24" s="516"/>
      <c r="BW24" s="516"/>
      <c r="BX24" s="516"/>
      <c r="BY24" s="516"/>
      <c r="BZ24" s="516"/>
      <c r="CA24" s="516"/>
      <c r="CB24" s="517"/>
      <c r="CE24" s="60">
        <f t="shared" si="0"/>
        <v>0</v>
      </c>
      <c r="CF24" s="60">
        <f t="shared" si="1"/>
        <v>187876</v>
      </c>
      <c r="CH24" s="124"/>
    </row>
    <row r="25" spans="1:121" x14ac:dyDescent="0.2">
      <c r="A25" s="506">
        <v>4</v>
      </c>
      <c r="B25" s="507"/>
      <c r="C25" s="507"/>
      <c r="D25" s="508"/>
      <c r="E25" s="525" t="s">
        <v>439</v>
      </c>
      <c r="F25" s="526"/>
      <c r="G25" s="526"/>
      <c r="H25" s="526"/>
      <c r="I25" s="526"/>
      <c r="J25" s="526"/>
      <c r="K25" s="526"/>
      <c r="L25" s="526"/>
      <c r="M25" s="526"/>
      <c r="N25" s="526"/>
      <c r="O25" s="526"/>
      <c r="P25" s="526"/>
      <c r="Q25" s="526"/>
      <c r="R25" s="526"/>
      <c r="S25" s="526"/>
      <c r="T25" s="526"/>
      <c r="U25" s="526"/>
      <c r="V25" s="526"/>
      <c r="W25" s="526"/>
      <c r="X25" s="526"/>
      <c r="Y25" s="526"/>
      <c r="Z25" s="526"/>
      <c r="AA25" s="526"/>
      <c r="AB25" s="526"/>
      <c r="AC25" s="526"/>
      <c r="AD25" s="526"/>
      <c r="AE25" s="526"/>
      <c r="AF25" s="526"/>
      <c r="AG25" s="526"/>
      <c r="AH25" s="526"/>
      <c r="AI25" s="527"/>
      <c r="AJ25" s="512"/>
      <c r="AK25" s="513"/>
      <c r="AL25" s="513"/>
      <c r="AM25" s="513"/>
      <c r="AN25" s="513"/>
      <c r="AO25" s="513"/>
      <c r="AP25" s="513"/>
      <c r="AQ25" s="513"/>
      <c r="AR25" s="513"/>
      <c r="AS25" s="513"/>
      <c r="AT25" s="514"/>
      <c r="AU25" s="512"/>
      <c r="AV25" s="513"/>
      <c r="AW25" s="513"/>
      <c r="AX25" s="513"/>
      <c r="AY25" s="513"/>
      <c r="AZ25" s="513"/>
      <c r="BA25" s="513"/>
      <c r="BB25" s="513"/>
      <c r="BC25" s="513"/>
      <c r="BD25" s="514"/>
      <c r="BE25" s="512"/>
      <c r="BF25" s="513"/>
      <c r="BG25" s="513"/>
      <c r="BH25" s="513"/>
      <c r="BI25" s="513"/>
      <c r="BJ25" s="513"/>
      <c r="BK25" s="513"/>
      <c r="BL25" s="513"/>
      <c r="BM25" s="513"/>
      <c r="BN25" s="513"/>
      <c r="BO25" s="514"/>
      <c r="BP25" s="515">
        <f>56738.55</f>
        <v>56738.55</v>
      </c>
      <c r="BQ25" s="516"/>
      <c r="BR25" s="516"/>
      <c r="BS25" s="516"/>
      <c r="BT25" s="516"/>
      <c r="BU25" s="516"/>
      <c r="BV25" s="516"/>
      <c r="BW25" s="516"/>
      <c r="BX25" s="516"/>
      <c r="BY25" s="516"/>
      <c r="BZ25" s="516"/>
      <c r="CA25" s="516"/>
      <c r="CB25" s="517"/>
      <c r="CE25" s="60">
        <f t="shared" si="0"/>
        <v>0</v>
      </c>
      <c r="CF25" s="60">
        <f t="shared" si="1"/>
        <v>56738.55</v>
      </c>
      <c r="CH25" s="124"/>
    </row>
    <row r="26" spans="1:121" x14ac:dyDescent="0.2">
      <c r="A26" s="506">
        <v>5</v>
      </c>
      <c r="B26" s="507"/>
      <c r="C26" s="507"/>
      <c r="D26" s="508"/>
      <c r="E26" s="525" t="s">
        <v>440</v>
      </c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  <c r="AG26" s="526"/>
      <c r="AH26" s="526"/>
      <c r="AI26" s="527"/>
      <c r="AJ26" s="512"/>
      <c r="AK26" s="513"/>
      <c r="AL26" s="513"/>
      <c r="AM26" s="513"/>
      <c r="AN26" s="513"/>
      <c r="AO26" s="513"/>
      <c r="AP26" s="513"/>
      <c r="AQ26" s="513"/>
      <c r="AR26" s="513"/>
      <c r="AS26" s="513"/>
      <c r="AT26" s="514"/>
      <c r="AU26" s="512"/>
      <c r="AV26" s="513"/>
      <c r="AW26" s="513"/>
      <c r="AX26" s="513"/>
      <c r="AY26" s="513"/>
      <c r="AZ26" s="513"/>
      <c r="BA26" s="513"/>
      <c r="BB26" s="513"/>
      <c r="BC26" s="513"/>
      <c r="BD26" s="514"/>
      <c r="BE26" s="512"/>
      <c r="BF26" s="513"/>
      <c r="BG26" s="513"/>
      <c r="BH26" s="513"/>
      <c r="BI26" s="513"/>
      <c r="BJ26" s="513"/>
      <c r="BK26" s="513"/>
      <c r="BL26" s="513"/>
      <c r="BM26" s="513"/>
      <c r="BN26" s="513"/>
      <c r="BO26" s="514"/>
      <c r="BP26" s="515">
        <f>1897.71</f>
        <v>1897.71</v>
      </c>
      <c r="BQ26" s="516"/>
      <c r="BR26" s="516"/>
      <c r="BS26" s="516"/>
      <c r="BT26" s="516"/>
      <c r="BU26" s="516"/>
      <c r="BV26" s="516"/>
      <c r="BW26" s="516"/>
      <c r="BX26" s="516"/>
      <c r="BY26" s="516"/>
      <c r="BZ26" s="516"/>
      <c r="CA26" s="516"/>
      <c r="CB26" s="517"/>
      <c r="CE26" s="60">
        <f t="shared" si="0"/>
        <v>0</v>
      </c>
      <c r="CF26" s="60">
        <f t="shared" si="1"/>
        <v>1897.71</v>
      </c>
      <c r="CH26" s="124"/>
    </row>
    <row r="27" spans="1:121" x14ac:dyDescent="0.2">
      <c r="A27" s="506">
        <v>6</v>
      </c>
      <c r="B27" s="507"/>
      <c r="C27" s="507"/>
      <c r="D27" s="508"/>
      <c r="E27" s="525" t="s">
        <v>441</v>
      </c>
      <c r="F27" s="526"/>
      <c r="G27" s="526"/>
      <c r="H27" s="526"/>
      <c r="I27" s="526"/>
      <c r="J27" s="526"/>
      <c r="K27" s="526"/>
      <c r="L27" s="526"/>
      <c r="M27" s="526"/>
      <c r="N27" s="526"/>
      <c r="O27" s="526"/>
      <c r="P27" s="526"/>
      <c r="Q27" s="526"/>
      <c r="R27" s="526"/>
      <c r="S27" s="526"/>
      <c r="T27" s="526"/>
      <c r="U27" s="526"/>
      <c r="V27" s="526"/>
      <c r="W27" s="526"/>
      <c r="X27" s="526"/>
      <c r="Y27" s="526"/>
      <c r="Z27" s="526"/>
      <c r="AA27" s="526"/>
      <c r="AB27" s="526"/>
      <c r="AC27" s="526"/>
      <c r="AD27" s="526"/>
      <c r="AE27" s="526"/>
      <c r="AF27" s="526"/>
      <c r="AG27" s="526"/>
      <c r="AH27" s="526"/>
      <c r="AI27" s="527"/>
      <c r="AJ27" s="512"/>
      <c r="AK27" s="513"/>
      <c r="AL27" s="513"/>
      <c r="AM27" s="513"/>
      <c r="AN27" s="513"/>
      <c r="AO27" s="513"/>
      <c r="AP27" s="513"/>
      <c r="AQ27" s="513"/>
      <c r="AR27" s="513"/>
      <c r="AS27" s="513"/>
      <c r="AT27" s="514"/>
      <c r="AU27" s="512"/>
      <c r="AV27" s="513"/>
      <c r="AW27" s="513"/>
      <c r="AX27" s="513"/>
      <c r="AY27" s="513"/>
      <c r="AZ27" s="513"/>
      <c r="BA27" s="513"/>
      <c r="BB27" s="513"/>
      <c r="BC27" s="513"/>
      <c r="BD27" s="514"/>
      <c r="BE27" s="512"/>
      <c r="BF27" s="513"/>
      <c r="BG27" s="513"/>
      <c r="BH27" s="513"/>
      <c r="BI27" s="513"/>
      <c r="BJ27" s="513"/>
      <c r="BK27" s="513"/>
      <c r="BL27" s="513"/>
      <c r="BM27" s="513"/>
      <c r="BN27" s="513"/>
      <c r="BO27" s="514"/>
      <c r="BP27" s="515">
        <f>573.14</f>
        <v>573.14</v>
      </c>
      <c r="BQ27" s="516"/>
      <c r="BR27" s="516"/>
      <c r="BS27" s="516"/>
      <c r="BT27" s="516"/>
      <c r="BU27" s="516"/>
      <c r="BV27" s="516"/>
      <c r="BW27" s="516"/>
      <c r="BX27" s="516"/>
      <c r="BY27" s="516"/>
      <c r="BZ27" s="516"/>
      <c r="CA27" s="516"/>
      <c r="CB27" s="517"/>
      <c r="CE27" s="60">
        <f t="shared" si="0"/>
        <v>0</v>
      </c>
      <c r="CF27" s="60">
        <f t="shared" si="1"/>
        <v>573.14</v>
      </c>
      <c r="CH27" s="124"/>
    </row>
    <row r="28" spans="1:121" x14ac:dyDescent="0.2">
      <c r="A28" s="506">
        <v>7</v>
      </c>
      <c r="B28" s="507"/>
      <c r="C28" s="507"/>
      <c r="D28" s="508"/>
      <c r="E28" s="525" t="s">
        <v>442</v>
      </c>
      <c r="F28" s="526"/>
      <c r="G28" s="526"/>
      <c r="H28" s="526"/>
      <c r="I28" s="526"/>
      <c r="J28" s="526"/>
      <c r="K28" s="526"/>
      <c r="L28" s="526"/>
      <c r="M28" s="526"/>
      <c r="N28" s="526"/>
      <c r="O28" s="526"/>
      <c r="P28" s="526"/>
      <c r="Q28" s="526"/>
      <c r="R28" s="526"/>
      <c r="S28" s="526"/>
      <c r="T28" s="526"/>
      <c r="U28" s="526"/>
      <c r="V28" s="526"/>
      <c r="W28" s="526"/>
      <c r="X28" s="526"/>
      <c r="Y28" s="526"/>
      <c r="Z28" s="526"/>
      <c r="AA28" s="526"/>
      <c r="AB28" s="526"/>
      <c r="AC28" s="526"/>
      <c r="AD28" s="526"/>
      <c r="AE28" s="526"/>
      <c r="AF28" s="526"/>
      <c r="AG28" s="526"/>
      <c r="AH28" s="526"/>
      <c r="AI28" s="527"/>
      <c r="AJ28" s="512"/>
      <c r="AK28" s="513"/>
      <c r="AL28" s="513"/>
      <c r="AM28" s="513"/>
      <c r="AN28" s="513"/>
      <c r="AO28" s="513"/>
      <c r="AP28" s="513"/>
      <c r="AQ28" s="513"/>
      <c r="AR28" s="513"/>
      <c r="AS28" s="513"/>
      <c r="AT28" s="514"/>
      <c r="AU28" s="512"/>
      <c r="AV28" s="513"/>
      <c r="AW28" s="513"/>
      <c r="AX28" s="513"/>
      <c r="AY28" s="513"/>
      <c r="AZ28" s="513"/>
      <c r="BA28" s="513"/>
      <c r="BB28" s="513"/>
      <c r="BC28" s="513"/>
      <c r="BD28" s="514"/>
      <c r="BE28" s="512"/>
      <c r="BF28" s="513"/>
      <c r="BG28" s="513"/>
      <c r="BH28" s="513"/>
      <c r="BI28" s="513"/>
      <c r="BJ28" s="513"/>
      <c r="BK28" s="513"/>
      <c r="BL28" s="513"/>
      <c r="BM28" s="513"/>
      <c r="BN28" s="513"/>
      <c r="BO28" s="514"/>
      <c r="BP28" s="515">
        <f>189.99</f>
        <v>189.99</v>
      </c>
      <c r="BQ28" s="516"/>
      <c r="BR28" s="516"/>
      <c r="BS28" s="516"/>
      <c r="BT28" s="516"/>
      <c r="BU28" s="516"/>
      <c r="BV28" s="516"/>
      <c r="BW28" s="516"/>
      <c r="BX28" s="516"/>
      <c r="BY28" s="516"/>
      <c r="BZ28" s="516"/>
      <c r="CA28" s="516"/>
      <c r="CB28" s="517"/>
      <c r="CE28" s="60">
        <f t="shared" si="0"/>
        <v>0</v>
      </c>
      <c r="CF28" s="60">
        <f t="shared" si="1"/>
        <v>189.99</v>
      </c>
      <c r="CH28" s="124"/>
    </row>
    <row r="29" spans="1:121" x14ac:dyDescent="0.2">
      <c r="A29" s="506">
        <v>8</v>
      </c>
      <c r="B29" s="507"/>
      <c r="C29" s="507"/>
      <c r="D29" s="508"/>
      <c r="E29" s="525" t="s">
        <v>443</v>
      </c>
      <c r="F29" s="526"/>
      <c r="G29" s="526"/>
      <c r="H29" s="526"/>
      <c r="I29" s="526"/>
      <c r="J29" s="526"/>
      <c r="K29" s="526"/>
      <c r="L29" s="526"/>
      <c r="M29" s="526"/>
      <c r="N29" s="526"/>
      <c r="O29" s="526"/>
      <c r="P29" s="526"/>
      <c r="Q29" s="526"/>
      <c r="R29" s="526"/>
      <c r="S29" s="526"/>
      <c r="T29" s="526"/>
      <c r="U29" s="526"/>
      <c r="V29" s="526"/>
      <c r="W29" s="526"/>
      <c r="X29" s="526"/>
      <c r="Y29" s="526"/>
      <c r="Z29" s="526"/>
      <c r="AA29" s="526"/>
      <c r="AB29" s="526"/>
      <c r="AC29" s="526"/>
      <c r="AD29" s="526"/>
      <c r="AE29" s="526"/>
      <c r="AF29" s="526"/>
      <c r="AG29" s="526"/>
      <c r="AH29" s="526"/>
      <c r="AI29" s="527"/>
      <c r="AJ29" s="512"/>
      <c r="AK29" s="513"/>
      <c r="AL29" s="513"/>
      <c r="AM29" s="513"/>
      <c r="AN29" s="513"/>
      <c r="AO29" s="513"/>
      <c r="AP29" s="513"/>
      <c r="AQ29" s="513"/>
      <c r="AR29" s="513"/>
      <c r="AS29" s="513"/>
      <c r="AT29" s="514"/>
      <c r="AU29" s="512"/>
      <c r="AV29" s="513"/>
      <c r="AW29" s="513"/>
      <c r="AX29" s="513"/>
      <c r="AY29" s="513"/>
      <c r="AZ29" s="513"/>
      <c r="BA29" s="513"/>
      <c r="BB29" s="513"/>
      <c r="BC29" s="513"/>
      <c r="BD29" s="514"/>
      <c r="BE29" s="512"/>
      <c r="BF29" s="513"/>
      <c r="BG29" s="513"/>
      <c r="BH29" s="513"/>
      <c r="BI29" s="513"/>
      <c r="BJ29" s="513"/>
      <c r="BK29" s="513"/>
      <c r="BL29" s="513"/>
      <c r="BM29" s="513"/>
      <c r="BN29" s="513"/>
      <c r="BO29" s="514"/>
      <c r="BP29" s="515">
        <f>57.35</f>
        <v>57.35</v>
      </c>
      <c r="BQ29" s="516"/>
      <c r="BR29" s="516"/>
      <c r="BS29" s="516"/>
      <c r="BT29" s="516"/>
      <c r="BU29" s="516"/>
      <c r="BV29" s="516"/>
      <c r="BW29" s="516"/>
      <c r="BX29" s="516"/>
      <c r="BY29" s="516"/>
      <c r="BZ29" s="516"/>
      <c r="CA29" s="516"/>
      <c r="CB29" s="517"/>
      <c r="CE29" s="60">
        <f t="shared" si="0"/>
        <v>0</v>
      </c>
      <c r="CF29" s="60">
        <f t="shared" si="1"/>
        <v>57.35</v>
      </c>
      <c r="CH29" s="124"/>
    </row>
    <row r="30" spans="1:121" ht="24.75" customHeight="1" x14ac:dyDescent="0.2">
      <c r="A30" s="506">
        <v>9</v>
      </c>
      <c r="B30" s="507"/>
      <c r="C30" s="507"/>
      <c r="D30" s="508"/>
      <c r="E30" s="509" t="s">
        <v>468</v>
      </c>
      <c r="F30" s="510"/>
      <c r="G30" s="510"/>
      <c r="H30" s="510"/>
      <c r="I30" s="510"/>
      <c r="J30" s="510"/>
      <c r="K30" s="510"/>
      <c r="L30" s="510"/>
      <c r="M30" s="510"/>
      <c r="N30" s="510"/>
      <c r="O30" s="510"/>
      <c r="P30" s="510"/>
      <c r="Q30" s="510"/>
      <c r="R30" s="510"/>
      <c r="S30" s="510"/>
      <c r="T30" s="510"/>
      <c r="U30" s="510"/>
      <c r="V30" s="510"/>
      <c r="W30" s="510"/>
      <c r="X30" s="510"/>
      <c r="Y30" s="510"/>
      <c r="Z30" s="510"/>
      <c r="AA30" s="510"/>
      <c r="AB30" s="510"/>
      <c r="AC30" s="510"/>
      <c r="AD30" s="510"/>
      <c r="AE30" s="510"/>
      <c r="AF30" s="510"/>
      <c r="AG30" s="510"/>
      <c r="AH30" s="510"/>
      <c r="AI30" s="511"/>
      <c r="AJ30" s="512"/>
      <c r="AK30" s="513"/>
      <c r="AL30" s="513"/>
      <c r="AM30" s="513"/>
      <c r="AN30" s="513"/>
      <c r="AO30" s="513"/>
      <c r="AP30" s="513"/>
      <c r="AQ30" s="513"/>
      <c r="AR30" s="513"/>
      <c r="AS30" s="513"/>
      <c r="AT30" s="514"/>
      <c r="AU30" s="512"/>
      <c r="AV30" s="513"/>
      <c r="AW30" s="513"/>
      <c r="AX30" s="513"/>
      <c r="AY30" s="513"/>
      <c r="AZ30" s="513"/>
      <c r="BA30" s="513"/>
      <c r="BB30" s="513"/>
      <c r="BC30" s="513"/>
      <c r="BD30" s="514"/>
      <c r="BE30" s="512"/>
      <c r="BF30" s="513"/>
      <c r="BG30" s="513"/>
      <c r="BH30" s="513"/>
      <c r="BI30" s="513"/>
      <c r="BJ30" s="513"/>
      <c r="BK30" s="513"/>
      <c r="BL30" s="513"/>
      <c r="BM30" s="513"/>
      <c r="BN30" s="513"/>
      <c r="BO30" s="514"/>
      <c r="BP30" s="515">
        <f>60000</f>
        <v>60000</v>
      </c>
      <c r="BQ30" s="516"/>
      <c r="BR30" s="516"/>
      <c r="BS30" s="516"/>
      <c r="BT30" s="516"/>
      <c r="BU30" s="516"/>
      <c r="BV30" s="516"/>
      <c r="BW30" s="516"/>
      <c r="BX30" s="516"/>
      <c r="BY30" s="516"/>
      <c r="BZ30" s="516"/>
      <c r="CA30" s="516"/>
      <c r="CB30" s="517"/>
      <c r="CE30" s="60">
        <f t="shared" ref="CE30:CE31" si="2">CC30-CD30</f>
        <v>0</v>
      </c>
      <c r="CF30" s="60">
        <f t="shared" ref="CF30:CF31" si="3">BP30-CC30</f>
        <v>60000</v>
      </c>
      <c r="CH30" s="124"/>
    </row>
    <row r="31" spans="1:121" ht="24.75" customHeight="1" x14ac:dyDescent="0.2">
      <c r="A31" s="506">
        <v>10</v>
      </c>
      <c r="B31" s="507"/>
      <c r="C31" s="507"/>
      <c r="D31" s="508"/>
      <c r="E31" s="509" t="s">
        <v>469</v>
      </c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  <c r="AG31" s="510"/>
      <c r="AH31" s="510"/>
      <c r="AI31" s="511"/>
      <c r="AJ31" s="512"/>
      <c r="AK31" s="513"/>
      <c r="AL31" s="513"/>
      <c r="AM31" s="513"/>
      <c r="AN31" s="513"/>
      <c r="AO31" s="513"/>
      <c r="AP31" s="513"/>
      <c r="AQ31" s="513"/>
      <c r="AR31" s="513"/>
      <c r="AS31" s="513"/>
      <c r="AT31" s="514"/>
      <c r="AU31" s="512"/>
      <c r="AV31" s="513"/>
      <c r="AW31" s="513"/>
      <c r="AX31" s="513"/>
      <c r="AY31" s="513"/>
      <c r="AZ31" s="513"/>
      <c r="BA31" s="513"/>
      <c r="BB31" s="513"/>
      <c r="BC31" s="513"/>
      <c r="BD31" s="514"/>
      <c r="BE31" s="512"/>
      <c r="BF31" s="513"/>
      <c r="BG31" s="513"/>
      <c r="BH31" s="513"/>
      <c r="BI31" s="513"/>
      <c r="BJ31" s="513"/>
      <c r="BK31" s="513"/>
      <c r="BL31" s="513"/>
      <c r="BM31" s="513"/>
      <c r="BN31" s="513"/>
      <c r="BO31" s="514"/>
      <c r="BP31" s="515">
        <f>18120</f>
        <v>18120</v>
      </c>
      <c r="BQ31" s="516"/>
      <c r="BR31" s="516"/>
      <c r="BS31" s="516"/>
      <c r="BT31" s="516"/>
      <c r="BU31" s="516"/>
      <c r="BV31" s="516"/>
      <c r="BW31" s="516"/>
      <c r="BX31" s="516"/>
      <c r="BY31" s="516"/>
      <c r="BZ31" s="516"/>
      <c r="CA31" s="516"/>
      <c r="CB31" s="517"/>
      <c r="CE31" s="60">
        <f t="shared" si="2"/>
        <v>0</v>
      </c>
      <c r="CF31" s="60">
        <f t="shared" si="3"/>
        <v>18120</v>
      </c>
      <c r="CH31" s="124"/>
    </row>
    <row r="32" spans="1:121" s="155" customFormat="1" x14ac:dyDescent="0.2">
      <c r="A32" s="597"/>
      <c r="B32" s="598"/>
      <c r="C32" s="598"/>
      <c r="D32" s="599"/>
      <c r="E32" s="593" t="s">
        <v>10</v>
      </c>
      <c r="F32" s="594"/>
      <c r="G32" s="594"/>
      <c r="H32" s="594"/>
      <c r="I32" s="594"/>
      <c r="J32" s="594"/>
      <c r="K32" s="594"/>
      <c r="L32" s="594"/>
      <c r="M32" s="594"/>
      <c r="N32" s="594"/>
      <c r="O32" s="594"/>
      <c r="P32" s="594"/>
      <c r="Q32" s="594"/>
      <c r="R32" s="594"/>
      <c r="S32" s="594"/>
      <c r="T32" s="594"/>
      <c r="U32" s="594"/>
      <c r="V32" s="594"/>
      <c r="W32" s="594"/>
      <c r="X32" s="594"/>
      <c r="Y32" s="594"/>
      <c r="Z32" s="594"/>
      <c r="AA32" s="594"/>
      <c r="AB32" s="594"/>
      <c r="AC32" s="594"/>
      <c r="AD32" s="594"/>
      <c r="AE32" s="594"/>
      <c r="AF32" s="594"/>
      <c r="AG32" s="594"/>
      <c r="AH32" s="594"/>
      <c r="AI32" s="595"/>
      <c r="AJ32" s="528" t="s">
        <v>11</v>
      </c>
      <c r="AK32" s="529"/>
      <c r="AL32" s="529"/>
      <c r="AM32" s="529"/>
      <c r="AN32" s="529"/>
      <c r="AO32" s="529"/>
      <c r="AP32" s="529"/>
      <c r="AQ32" s="529"/>
      <c r="AR32" s="529"/>
      <c r="AS32" s="529"/>
      <c r="AT32" s="530"/>
      <c r="AU32" s="528" t="s">
        <v>11</v>
      </c>
      <c r="AV32" s="529"/>
      <c r="AW32" s="529"/>
      <c r="AX32" s="529"/>
      <c r="AY32" s="529"/>
      <c r="AZ32" s="529"/>
      <c r="BA32" s="529"/>
      <c r="BB32" s="529"/>
      <c r="BC32" s="529"/>
      <c r="BD32" s="530"/>
      <c r="BE32" s="528" t="s">
        <v>11</v>
      </c>
      <c r="BF32" s="529"/>
      <c r="BG32" s="529"/>
      <c r="BH32" s="529"/>
      <c r="BI32" s="529"/>
      <c r="BJ32" s="529"/>
      <c r="BK32" s="529"/>
      <c r="BL32" s="529"/>
      <c r="BM32" s="529"/>
      <c r="BN32" s="529"/>
      <c r="BO32" s="530"/>
      <c r="BP32" s="543">
        <f>SUM(BP22:CB31)</f>
        <v>5167601.4999999991</v>
      </c>
      <c r="BQ32" s="544"/>
      <c r="BR32" s="544"/>
      <c r="BS32" s="544"/>
      <c r="BT32" s="544"/>
      <c r="BU32" s="544"/>
      <c r="BV32" s="544"/>
      <c r="BW32" s="544"/>
      <c r="BX32" s="544"/>
      <c r="BY32" s="544"/>
      <c r="BZ32" s="544"/>
      <c r="CA32" s="544"/>
      <c r="CB32" s="544"/>
      <c r="CC32" s="158"/>
      <c r="CD32" s="158"/>
      <c r="CE32" s="158"/>
      <c r="CF32" s="158"/>
      <c r="CG32" s="159"/>
      <c r="CH32" s="158"/>
      <c r="CI32" s="159"/>
      <c r="CJ32" s="159"/>
      <c r="CK32" s="159"/>
      <c r="CL32" s="159"/>
      <c r="CM32" s="159"/>
      <c r="CN32" s="159"/>
      <c r="CO32" s="159"/>
      <c r="CP32" s="159"/>
      <c r="CQ32" s="159"/>
      <c r="CR32" s="159"/>
      <c r="CS32" s="159"/>
      <c r="CT32" s="159"/>
      <c r="CU32" s="159"/>
      <c r="CV32" s="159"/>
      <c r="CW32" s="159"/>
      <c r="CX32" s="159"/>
      <c r="CY32" s="159"/>
      <c r="CZ32" s="159"/>
      <c r="DA32" s="159"/>
      <c r="DB32" s="159"/>
      <c r="DC32" s="159"/>
      <c r="DD32" s="159"/>
      <c r="DE32" s="159"/>
      <c r="DF32" s="159"/>
      <c r="DG32" s="159"/>
      <c r="DH32" s="159"/>
      <c r="DI32" s="159"/>
      <c r="DJ32" s="159"/>
      <c r="DK32" s="159"/>
      <c r="DL32" s="159"/>
      <c r="DM32" s="159"/>
      <c r="DN32" s="159"/>
      <c r="DO32" s="159"/>
      <c r="DP32" s="159"/>
      <c r="DQ32" s="159"/>
    </row>
    <row r="33" spans="1:128" s="3" customFormat="1" ht="15.75" x14ac:dyDescent="0.25">
      <c r="A33" s="518" t="s">
        <v>33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  <c r="BZ33" s="518"/>
      <c r="CA33" s="518"/>
      <c r="CB33" s="518"/>
      <c r="CC33" s="122"/>
      <c r="CD33" s="122"/>
      <c r="CE33" s="122"/>
      <c r="CF33" s="122"/>
      <c r="CG33" s="24"/>
      <c r="CH33" s="122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</row>
    <row r="34" spans="1:128" ht="15.75" x14ac:dyDescent="0.25">
      <c r="A34" s="518" t="s">
        <v>34</v>
      </c>
      <c r="B34" s="518"/>
      <c r="C34" s="518"/>
      <c r="D34" s="518"/>
      <c r="E34" s="518"/>
      <c r="F34" s="518"/>
      <c r="G34" s="518"/>
      <c r="H34" s="518"/>
      <c r="I34" s="518"/>
      <c r="J34" s="518"/>
      <c r="K34" s="518"/>
      <c r="L34" s="518"/>
      <c r="M34" s="518"/>
      <c r="N34" s="518"/>
      <c r="O34" s="518"/>
      <c r="P34" s="518"/>
      <c r="Q34" s="518"/>
      <c r="R34" s="518"/>
      <c r="S34" s="518"/>
      <c r="T34" s="518"/>
      <c r="U34" s="518"/>
      <c r="V34" s="518"/>
      <c r="W34" s="518"/>
      <c r="X34" s="518"/>
      <c r="Y34" s="518"/>
      <c r="Z34" s="518"/>
      <c r="AA34" s="518"/>
      <c r="AB34" s="518"/>
      <c r="AC34" s="518"/>
      <c r="AD34" s="518"/>
      <c r="AE34" s="518"/>
      <c r="AF34" s="518"/>
      <c r="AG34" s="518"/>
      <c r="AH34" s="518"/>
      <c r="AI34" s="518"/>
      <c r="AJ34" s="518"/>
      <c r="AK34" s="518"/>
      <c r="AL34" s="518"/>
      <c r="AM34" s="518"/>
      <c r="AN34" s="518"/>
      <c r="AO34" s="518"/>
      <c r="AP34" s="518"/>
      <c r="AQ34" s="518"/>
      <c r="AR34" s="518"/>
      <c r="AS34" s="518"/>
      <c r="AT34" s="518"/>
      <c r="AU34" s="518"/>
      <c r="AV34" s="518"/>
      <c r="AW34" s="518"/>
      <c r="AX34" s="518"/>
      <c r="AY34" s="518"/>
      <c r="AZ34" s="518"/>
      <c r="BA34" s="518"/>
      <c r="BB34" s="518"/>
      <c r="BC34" s="518"/>
      <c r="BD34" s="518"/>
      <c r="BE34" s="518"/>
      <c r="BF34" s="518"/>
      <c r="BG34" s="518"/>
      <c r="BH34" s="518"/>
      <c r="BI34" s="518"/>
      <c r="BJ34" s="518"/>
      <c r="BK34" s="518"/>
      <c r="BL34" s="518"/>
      <c r="BM34" s="518"/>
      <c r="BN34" s="518"/>
      <c r="BO34" s="518"/>
      <c r="BP34" s="518"/>
      <c r="BQ34" s="518"/>
      <c r="BR34" s="518"/>
      <c r="BS34" s="518"/>
      <c r="BT34" s="518"/>
      <c r="BU34" s="518"/>
      <c r="BV34" s="518"/>
      <c r="BW34" s="518"/>
      <c r="BX34" s="518"/>
      <c r="BY34" s="518"/>
      <c r="BZ34" s="518"/>
      <c r="CA34" s="518"/>
      <c r="CB34" s="518"/>
      <c r="CC34" s="124"/>
      <c r="CD34" s="124"/>
      <c r="CE34" s="124"/>
      <c r="CH34" s="124"/>
    </row>
    <row r="35" spans="1:128" ht="15.75" x14ac:dyDescent="0.25">
      <c r="A35" s="518" t="s">
        <v>35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  <c r="AZ35" s="518"/>
      <c r="BA35" s="518"/>
      <c r="BB35" s="518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8"/>
      <c r="BQ35" s="518"/>
      <c r="BR35" s="518"/>
      <c r="BS35" s="518"/>
      <c r="BT35" s="518"/>
      <c r="BU35" s="518"/>
      <c r="BV35" s="518"/>
      <c r="BW35" s="518"/>
      <c r="BX35" s="518"/>
      <c r="BY35" s="518"/>
      <c r="BZ35" s="518"/>
      <c r="CA35" s="518"/>
      <c r="CB35" s="518"/>
      <c r="CC35" s="124"/>
      <c r="CD35" s="124"/>
      <c r="CE35" s="124"/>
      <c r="CH35" s="124"/>
    </row>
    <row r="36" spans="1:128" s="1" customFormat="1" ht="15.75" x14ac:dyDescent="0.25">
      <c r="A36" s="3" t="s">
        <v>2</v>
      </c>
      <c r="T36" s="534" t="s">
        <v>293</v>
      </c>
      <c r="U36" s="535"/>
      <c r="V36" s="535"/>
      <c r="W36" s="535"/>
      <c r="X36" s="535"/>
      <c r="Y36" s="535"/>
      <c r="Z36" s="535"/>
      <c r="AA36" s="535"/>
      <c r="AB36" s="535"/>
      <c r="AC36" s="535"/>
      <c r="AD36" s="535"/>
      <c r="AE36" s="535"/>
      <c r="AF36" s="535"/>
      <c r="AG36" s="535"/>
      <c r="AH36" s="535"/>
      <c r="AI36" s="535"/>
      <c r="AJ36" s="535"/>
      <c r="AK36" s="535"/>
      <c r="AL36" s="535"/>
      <c r="AM36" s="535"/>
      <c r="AN36" s="535"/>
      <c r="AO36" s="535"/>
      <c r="AP36" s="535"/>
      <c r="AQ36" s="535"/>
      <c r="AR36" s="535"/>
      <c r="AS36" s="535"/>
      <c r="AT36" s="535"/>
      <c r="AU36" s="535"/>
      <c r="AV36" s="535"/>
      <c r="AW36" s="535"/>
      <c r="AX36" s="535"/>
      <c r="AY36" s="535"/>
      <c r="AZ36" s="535"/>
      <c r="BA36" s="535"/>
      <c r="BB36" s="535"/>
      <c r="BC36" s="535"/>
      <c r="BD36" s="535"/>
      <c r="BE36" s="535"/>
      <c r="BF36" s="535"/>
      <c r="BG36" s="535"/>
      <c r="BH36" s="535"/>
      <c r="BI36" s="535"/>
      <c r="BJ36" s="535"/>
      <c r="BK36" s="535"/>
      <c r="BL36" s="535"/>
      <c r="BM36" s="535"/>
      <c r="BN36" s="535"/>
      <c r="BO36" s="535"/>
      <c r="BP36" s="535"/>
      <c r="BQ36" s="535"/>
      <c r="BR36" s="535"/>
      <c r="BS36" s="535"/>
      <c r="BT36" s="535"/>
      <c r="BU36" s="535"/>
      <c r="BV36" s="535"/>
      <c r="BW36" s="535"/>
      <c r="BX36" s="535"/>
      <c r="BY36" s="535"/>
      <c r="BZ36" s="535"/>
      <c r="CA36" s="535"/>
      <c r="CB36" s="535"/>
      <c r="CC36" s="142"/>
      <c r="CD36" s="142"/>
      <c r="CE36" s="142"/>
      <c r="CF36" s="142"/>
      <c r="CG36" s="19"/>
      <c r="CH36" s="142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20"/>
      <c r="DX36" s="12"/>
    </row>
    <row r="37" spans="1:128" s="4" customFormat="1" ht="9.75" x14ac:dyDescent="0.2">
      <c r="A37" s="6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143"/>
      <c r="CD37" s="143"/>
      <c r="CE37" s="143"/>
      <c r="CF37" s="143"/>
      <c r="CG37" s="21"/>
      <c r="CH37" s="143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X37" s="13"/>
    </row>
    <row r="38" spans="1:128" s="1" customFormat="1" ht="15" customHeight="1" x14ac:dyDescent="0.25">
      <c r="A38" s="3" t="s">
        <v>3</v>
      </c>
      <c r="AH38" s="536" t="s">
        <v>129</v>
      </c>
      <c r="AI38" s="536"/>
      <c r="AJ38" s="536"/>
      <c r="AK38" s="536"/>
      <c r="AL38" s="536"/>
      <c r="AM38" s="536"/>
      <c r="AN38" s="536"/>
      <c r="AO38" s="536"/>
      <c r="AP38" s="536"/>
      <c r="AQ38" s="536"/>
      <c r="AR38" s="536"/>
      <c r="AS38" s="536"/>
      <c r="AT38" s="536"/>
      <c r="AU38" s="536"/>
      <c r="AV38" s="536"/>
      <c r="AW38" s="536"/>
      <c r="AX38" s="536"/>
      <c r="AY38" s="536"/>
      <c r="AZ38" s="536"/>
      <c r="BA38" s="536"/>
      <c r="BB38" s="536"/>
      <c r="BC38" s="536"/>
      <c r="BD38" s="536"/>
      <c r="BE38" s="536"/>
      <c r="BF38" s="536"/>
      <c r="BG38" s="536"/>
      <c r="BH38" s="536"/>
      <c r="BI38" s="536"/>
      <c r="BJ38" s="536"/>
      <c r="BK38" s="536"/>
      <c r="BL38" s="536"/>
      <c r="BM38" s="536"/>
      <c r="BN38" s="536"/>
      <c r="BO38" s="536"/>
      <c r="BP38" s="536"/>
      <c r="BQ38" s="536"/>
      <c r="BR38" s="536"/>
      <c r="BS38" s="536"/>
      <c r="BT38" s="536"/>
      <c r="BU38" s="536"/>
      <c r="BV38" s="536"/>
      <c r="BW38" s="536"/>
      <c r="BX38" s="536"/>
      <c r="BY38" s="536"/>
      <c r="BZ38" s="536"/>
      <c r="CA38" s="536"/>
      <c r="CB38" s="536"/>
      <c r="CC38" s="144"/>
      <c r="CD38" s="144"/>
      <c r="CE38" s="144"/>
      <c r="CF38" s="144"/>
      <c r="CG38" s="22"/>
      <c r="CH38" s="144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3"/>
      <c r="DX38" s="12"/>
    </row>
    <row r="39" spans="1:128" s="4" customFormat="1" ht="8.25" x14ac:dyDescent="0.15">
      <c r="CC39" s="145"/>
      <c r="CD39" s="145"/>
      <c r="CE39" s="145"/>
      <c r="CF39" s="145"/>
      <c r="CG39" s="25"/>
      <c r="CH39" s="14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</row>
    <row r="40" spans="1:128" x14ac:dyDescent="0.2">
      <c r="A40" s="519" t="s">
        <v>5</v>
      </c>
      <c r="B40" s="520"/>
      <c r="C40" s="520"/>
      <c r="D40" s="523"/>
      <c r="E40" s="519" t="s">
        <v>36</v>
      </c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0"/>
      <c r="Q40" s="520"/>
      <c r="R40" s="520"/>
      <c r="S40" s="520"/>
      <c r="T40" s="520"/>
      <c r="U40" s="520"/>
      <c r="V40" s="520"/>
      <c r="W40" s="520"/>
      <c r="X40" s="520"/>
      <c r="Y40" s="520"/>
      <c r="Z40" s="520"/>
      <c r="AA40" s="520"/>
      <c r="AB40" s="520"/>
      <c r="AC40" s="520"/>
      <c r="AD40" s="520"/>
      <c r="AE40" s="520"/>
      <c r="AF40" s="520"/>
      <c r="AG40" s="520"/>
      <c r="AH40" s="520"/>
      <c r="AI40" s="520"/>
      <c r="AJ40" s="520"/>
      <c r="AK40" s="520"/>
      <c r="AL40" s="520"/>
      <c r="AM40" s="520"/>
      <c r="AN40" s="520"/>
      <c r="AO40" s="520"/>
      <c r="AP40" s="520"/>
      <c r="AQ40" s="520"/>
      <c r="AR40" s="520"/>
      <c r="AS40" s="520"/>
      <c r="AT40" s="520"/>
      <c r="AU40" s="520"/>
      <c r="AV40" s="520"/>
      <c r="AW40" s="520"/>
      <c r="AX40" s="520"/>
      <c r="AY40" s="520"/>
      <c r="AZ40" s="520"/>
      <c r="BA40" s="520"/>
      <c r="BB40" s="520"/>
      <c r="BC40" s="520"/>
      <c r="BD40" s="523"/>
      <c r="BE40" s="545" t="s">
        <v>38</v>
      </c>
      <c r="BF40" s="546"/>
      <c r="BG40" s="546"/>
      <c r="BH40" s="546"/>
      <c r="BI40" s="546"/>
      <c r="BJ40" s="546"/>
      <c r="BK40" s="546"/>
      <c r="BL40" s="546"/>
      <c r="BM40" s="546"/>
      <c r="BN40" s="546"/>
      <c r="BO40" s="546"/>
      <c r="BP40" s="547"/>
      <c r="BQ40" s="519" t="s">
        <v>37</v>
      </c>
      <c r="BR40" s="520"/>
      <c r="BS40" s="520"/>
      <c r="BT40" s="520"/>
      <c r="BU40" s="520"/>
      <c r="BV40" s="520"/>
      <c r="BW40" s="520"/>
      <c r="BX40" s="520"/>
      <c r="BY40" s="520"/>
      <c r="BZ40" s="520"/>
      <c r="CA40" s="520"/>
      <c r="CB40" s="520"/>
      <c r="CC40" s="124"/>
      <c r="CD40" s="124"/>
      <c r="CE40" s="124"/>
      <c r="CH40" s="124"/>
    </row>
    <row r="41" spans="1:128" x14ac:dyDescent="0.2">
      <c r="A41" s="521" t="s">
        <v>6</v>
      </c>
      <c r="B41" s="522"/>
      <c r="C41" s="522"/>
      <c r="D41" s="537"/>
      <c r="E41" s="521"/>
      <c r="F41" s="522"/>
      <c r="G41" s="522"/>
      <c r="H41" s="522"/>
      <c r="I41" s="522"/>
      <c r="J41" s="522"/>
      <c r="K41" s="522"/>
      <c r="L41" s="522"/>
      <c r="M41" s="522"/>
      <c r="N41" s="522"/>
      <c r="O41" s="522"/>
      <c r="P41" s="522"/>
      <c r="Q41" s="522"/>
      <c r="R41" s="522"/>
      <c r="S41" s="522"/>
      <c r="T41" s="522"/>
      <c r="U41" s="522"/>
      <c r="V41" s="522"/>
      <c r="W41" s="522"/>
      <c r="X41" s="522"/>
      <c r="Y41" s="522"/>
      <c r="Z41" s="522"/>
      <c r="AA41" s="522"/>
      <c r="AB41" s="522"/>
      <c r="AC41" s="522"/>
      <c r="AD41" s="522"/>
      <c r="AE41" s="522"/>
      <c r="AF41" s="522"/>
      <c r="AG41" s="522"/>
      <c r="AH41" s="522"/>
      <c r="AI41" s="522"/>
      <c r="AJ41" s="522"/>
      <c r="AK41" s="522"/>
      <c r="AL41" s="522"/>
      <c r="AM41" s="522"/>
      <c r="AN41" s="522"/>
      <c r="AO41" s="522"/>
      <c r="AP41" s="522"/>
      <c r="AQ41" s="522"/>
      <c r="AR41" s="522"/>
      <c r="AS41" s="522"/>
      <c r="AT41" s="522"/>
      <c r="AU41" s="522"/>
      <c r="AV41" s="522"/>
      <c r="AW41" s="522"/>
      <c r="AX41" s="522"/>
      <c r="AY41" s="522"/>
      <c r="AZ41" s="522"/>
      <c r="BA41" s="522"/>
      <c r="BB41" s="522"/>
      <c r="BC41" s="522"/>
      <c r="BD41" s="537"/>
      <c r="BE41" s="548" t="s">
        <v>39</v>
      </c>
      <c r="BF41" s="549"/>
      <c r="BG41" s="549"/>
      <c r="BH41" s="549"/>
      <c r="BI41" s="549"/>
      <c r="BJ41" s="549"/>
      <c r="BK41" s="549"/>
      <c r="BL41" s="549"/>
      <c r="BM41" s="549"/>
      <c r="BN41" s="549"/>
      <c r="BO41" s="549"/>
      <c r="BP41" s="550"/>
      <c r="BQ41" s="521" t="s">
        <v>17</v>
      </c>
      <c r="BR41" s="522"/>
      <c r="BS41" s="522"/>
      <c r="BT41" s="522"/>
      <c r="BU41" s="522"/>
      <c r="BV41" s="522"/>
      <c r="BW41" s="522"/>
      <c r="BX41" s="522"/>
      <c r="BY41" s="522"/>
      <c r="BZ41" s="522"/>
      <c r="CA41" s="522"/>
      <c r="CB41" s="522"/>
      <c r="CC41" s="124"/>
      <c r="CD41" s="124"/>
      <c r="CE41" s="124"/>
      <c r="CH41" s="124"/>
    </row>
    <row r="42" spans="1:128" x14ac:dyDescent="0.2">
      <c r="A42" s="521"/>
      <c r="B42" s="522"/>
      <c r="C42" s="522"/>
      <c r="D42" s="537"/>
      <c r="E42" s="521"/>
      <c r="F42" s="522"/>
      <c r="G42" s="522"/>
      <c r="H42" s="522"/>
      <c r="I42" s="522"/>
      <c r="J42" s="522"/>
      <c r="K42" s="522"/>
      <c r="L42" s="522"/>
      <c r="M42" s="522"/>
      <c r="N42" s="522"/>
      <c r="O42" s="522"/>
      <c r="P42" s="522"/>
      <c r="Q42" s="522"/>
      <c r="R42" s="522"/>
      <c r="S42" s="522"/>
      <c r="T42" s="522"/>
      <c r="U42" s="522"/>
      <c r="V42" s="522"/>
      <c r="W42" s="522"/>
      <c r="X42" s="522"/>
      <c r="Y42" s="522"/>
      <c r="Z42" s="522"/>
      <c r="AA42" s="522"/>
      <c r="AB42" s="522"/>
      <c r="AC42" s="522"/>
      <c r="AD42" s="522"/>
      <c r="AE42" s="522"/>
      <c r="AF42" s="522"/>
      <c r="AG42" s="522"/>
      <c r="AH42" s="522"/>
      <c r="AI42" s="522"/>
      <c r="AJ42" s="522"/>
      <c r="AK42" s="522"/>
      <c r="AL42" s="522"/>
      <c r="AM42" s="522"/>
      <c r="AN42" s="522"/>
      <c r="AO42" s="522"/>
      <c r="AP42" s="522"/>
      <c r="AQ42" s="522"/>
      <c r="AR42" s="522"/>
      <c r="AS42" s="522"/>
      <c r="AT42" s="522"/>
      <c r="AU42" s="522"/>
      <c r="AV42" s="522"/>
      <c r="AW42" s="522"/>
      <c r="AX42" s="522"/>
      <c r="AY42" s="522"/>
      <c r="AZ42" s="522"/>
      <c r="BA42" s="522"/>
      <c r="BB42" s="522"/>
      <c r="BC42" s="522"/>
      <c r="BD42" s="537"/>
      <c r="BE42" s="548" t="s">
        <v>40</v>
      </c>
      <c r="BF42" s="549"/>
      <c r="BG42" s="549"/>
      <c r="BH42" s="549"/>
      <c r="BI42" s="549"/>
      <c r="BJ42" s="549"/>
      <c r="BK42" s="549"/>
      <c r="BL42" s="549"/>
      <c r="BM42" s="549"/>
      <c r="BN42" s="549"/>
      <c r="BO42" s="549"/>
      <c r="BP42" s="550"/>
      <c r="BQ42" s="521"/>
      <c r="BR42" s="522"/>
      <c r="BS42" s="522"/>
      <c r="BT42" s="522"/>
      <c r="BU42" s="522"/>
      <c r="BV42" s="522"/>
      <c r="BW42" s="522"/>
      <c r="BX42" s="522"/>
      <c r="BY42" s="522"/>
      <c r="BZ42" s="522"/>
      <c r="CA42" s="522"/>
      <c r="CB42" s="522"/>
      <c r="CC42" s="124"/>
      <c r="CD42" s="124"/>
      <c r="CE42" s="124"/>
      <c r="CH42" s="124"/>
    </row>
    <row r="43" spans="1:128" x14ac:dyDescent="0.2">
      <c r="A43" s="531"/>
      <c r="B43" s="532"/>
      <c r="C43" s="532"/>
      <c r="D43" s="533"/>
      <c r="E43" s="531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32"/>
      <c r="Q43" s="532"/>
      <c r="R43" s="532"/>
      <c r="S43" s="532"/>
      <c r="T43" s="532"/>
      <c r="U43" s="532"/>
      <c r="V43" s="532"/>
      <c r="W43" s="532"/>
      <c r="X43" s="532"/>
      <c r="Y43" s="532"/>
      <c r="Z43" s="532"/>
      <c r="AA43" s="532"/>
      <c r="AB43" s="532"/>
      <c r="AC43" s="532"/>
      <c r="AD43" s="532"/>
      <c r="AE43" s="532"/>
      <c r="AF43" s="532"/>
      <c r="AG43" s="532"/>
      <c r="AH43" s="532"/>
      <c r="AI43" s="532"/>
      <c r="AJ43" s="532"/>
      <c r="AK43" s="532"/>
      <c r="AL43" s="532"/>
      <c r="AM43" s="532"/>
      <c r="AN43" s="532"/>
      <c r="AO43" s="532"/>
      <c r="AP43" s="532"/>
      <c r="AQ43" s="532"/>
      <c r="AR43" s="532"/>
      <c r="AS43" s="532"/>
      <c r="AT43" s="532"/>
      <c r="AU43" s="532"/>
      <c r="AV43" s="532"/>
      <c r="AW43" s="532"/>
      <c r="AX43" s="532"/>
      <c r="AY43" s="532"/>
      <c r="AZ43" s="532"/>
      <c r="BA43" s="532"/>
      <c r="BB43" s="532"/>
      <c r="BC43" s="532"/>
      <c r="BD43" s="533"/>
      <c r="BE43" s="551" t="s">
        <v>108</v>
      </c>
      <c r="BF43" s="552"/>
      <c r="BG43" s="552"/>
      <c r="BH43" s="552"/>
      <c r="BI43" s="552"/>
      <c r="BJ43" s="552"/>
      <c r="BK43" s="552"/>
      <c r="BL43" s="552"/>
      <c r="BM43" s="552"/>
      <c r="BN43" s="552"/>
      <c r="BO43" s="552"/>
      <c r="BP43" s="553"/>
      <c r="BQ43" s="531"/>
      <c r="BR43" s="532"/>
      <c r="BS43" s="532"/>
      <c r="BT43" s="532"/>
      <c r="BU43" s="532"/>
      <c r="BV43" s="532"/>
      <c r="BW43" s="532"/>
      <c r="BX43" s="532"/>
      <c r="BY43" s="532"/>
      <c r="BZ43" s="532"/>
      <c r="CA43" s="532"/>
      <c r="CB43" s="532"/>
      <c r="CC43" s="124"/>
      <c r="CD43" s="124"/>
      <c r="CE43" s="124"/>
      <c r="CH43" s="124"/>
    </row>
    <row r="44" spans="1:128" x14ac:dyDescent="0.2">
      <c r="A44" s="554">
        <v>1</v>
      </c>
      <c r="B44" s="555"/>
      <c r="C44" s="555"/>
      <c r="D44" s="556"/>
      <c r="E44" s="554">
        <v>2</v>
      </c>
      <c r="F44" s="555"/>
      <c r="G44" s="555"/>
      <c r="H44" s="555"/>
      <c r="I44" s="555"/>
      <c r="J44" s="555"/>
      <c r="K44" s="555"/>
      <c r="L44" s="555"/>
      <c r="M44" s="555"/>
      <c r="N44" s="555"/>
      <c r="O44" s="555"/>
      <c r="P44" s="555"/>
      <c r="Q44" s="555"/>
      <c r="R44" s="555"/>
      <c r="S44" s="555"/>
      <c r="T44" s="555"/>
      <c r="U44" s="555"/>
      <c r="V44" s="555"/>
      <c r="W44" s="555"/>
      <c r="X44" s="555"/>
      <c r="Y44" s="555"/>
      <c r="Z44" s="555"/>
      <c r="AA44" s="555"/>
      <c r="AB44" s="555"/>
      <c r="AC44" s="555"/>
      <c r="AD44" s="555"/>
      <c r="AE44" s="555"/>
      <c r="AF44" s="555"/>
      <c r="AG44" s="555"/>
      <c r="AH44" s="555"/>
      <c r="AI44" s="555"/>
      <c r="AJ44" s="555"/>
      <c r="AK44" s="555"/>
      <c r="AL44" s="555"/>
      <c r="AM44" s="555"/>
      <c r="AN44" s="555"/>
      <c r="AO44" s="555"/>
      <c r="AP44" s="555"/>
      <c r="AQ44" s="555"/>
      <c r="AR44" s="555"/>
      <c r="AS44" s="555"/>
      <c r="AT44" s="555"/>
      <c r="AU44" s="555"/>
      <c r="AV44" s="555"/>
      <c r="AW44" s="555"/>
      <c r="AX44" s="555"/>
      <c r="AY44" s="555"/>
      <c r="AZ44" s="555"/>
      <c r="BA44" s="555"/>
      <c r="BB44" s="555"/>
      <c r="BC44" s="555"/>
      <c r="BD44" s="556"/>
      <c r="BE44" s="557">
        <v>3</v>
      </c>
      <c r="BF44" s="558"/>
      <c r="BG44" s="558"/>
      <c r="BH44" s="558"/>
      <c r="BI44" s="558"/>
      <c r="BJ44" s="558"/>
      <c r="BK44" s="558"/>
      <c r="BL44" s="558"/>
      <c r="BM44" s="558"/>
      <c r="BN44" s="558"/>
      <c r="BO44" s="558"/>
      <c r="BP44" s="559"/>
      <c r="BQ44" s="554">
        <v>4</v>
      </c>
      <c r="BR44" s="555"/>
      <c r="BS44" s="555"/>
      <c r="BT44" s="555"/>
      <c r="BU44" s="555"/>
      <c r="BV44" s="555"/>
      <c r="BW44" s="555"/>
      <c r="BX44" s="555"/>
      <c r="BY44" s="555"/>
      <c r="BZ44" s="555"/>
      <c r="CA44" s="555"/>
      <c r="CB44" s="555"/>
      <c r="CC44" s="124"/>
      <c r="CD44" s="124"/>
      <c r="CE44" s="124"/>
      <c r="CH44" s="124"/>
    </row>
    <row r="45" spans="1:128" x14ac:dyDescent="0.2">
      <c r="A45" s="557">
        <v>1</v>
      </c>
      <c r="B45" s="558"/>
      <c r="C45" s="558"/>
      <c r="D45" s="559"/>
      <c r="E45" s="562" t="s">
        <v>42</v>
      </c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  <c r="AC45" s="563"/>
      <c r="AD45" s="563"/>
      <c r="AE45" s="563"/>
      <c r="AF45" s="563"/>
      <c r="AG45" s="563"/>
      <c r="AH45" s="563"/>
      <c r="AI45" s="563"/>
      <c r="AJ45" s="563"/>
      <c r="AK45" s="563"/>
      <c r="AL45" s="563"/>
      <c r="AM45" s="563"/>
      <c r="AN45" s="563"/>
      <c r="AO45" s="563"/>
      <c r="AP45" s="563"/>
      <c r="AQ45" s="563"/>
      <c r="AR45" s="563"/>
      <c r="AS45" s="563"/>
      <c r="AT45" s="563"/>
      <c r="AU45" s="563"/>
      <c r="AV45" s="563"/>
      <c r="AW45" s="563"/>
      <c r="AX45" s="563"/>
      <c r="AY45" s="563"/>
      <c r="AZ45" s="563"/>
      <c r="BA45" s="563"/>
      <c r="BB45" s="563"/>
      <c r="BC45" s="563"/>
      <c r="BD45" s="564"/>
      <c r="BE45" s="557" t="s">
        <v>11</v>
      </c>
      <c r="BF45" s="558"/>
      <c r="BG45" s="558"/>
      <c r="BH45" s="558"/>
      <c r="BI45" s="558"/>
      <c r="BJ45" s="558"/>
      <c r="BK45" s="558"/>
      <c r="BL45" s="558"/>
      <c r="BM45" s="558"/>
      <c r="BN45" s="558"/>
      <c r="BO45" s="558"/>
      <c r="BP45" s="559"/>
      <c r="BQ45" s="560"/>
      <c r="BR45" s="561"/>
      <c r="BS45" s="561"/>
      <c r="BT45" s="561"/>
      <c r="BU45" s="561"/>
      <c r="BV45" s="561"/>
      <c r="BW45" s="561"/>
      <c r="BX45" s="561"/>
      <c r="BY45" s="561"/>
      <c r="BZ45" s="561"/>
      <c r="CA45" s="561"/>
      <c r="CB45" s="561"/>
      <c r="CC45" s="124"/>
      <c r="CD45" s="124"/>
      <c r="CE45" s="124"/>
      <c r="CH45" s="124"/>
      <c r="CJ45" s="524"/>
      <c r="CK45" s="524"/>
      <c r="CL45" s="524"/>
      <c r="CM45" s="524"/>
      <c r="CN45" s="524"/>
      <c r="CO45" s="524"/>
      <c r="CP45" s="524"/>
      <c r="CQ45" s="524"/>
      <c r="CR45" s="524"/>
      <c r="CS45" s="524"/>
      <c r="CT45" s="524"/>
      <c r="CU45" s="524"/>
      <c r="CV45" s="524"/>
      <c r="CW45" s="524"/>
      <c r="CX45" s="524"/>
      <c r="CY45" s="524"/>
      <c r="CZ45" s="524"/>
      <c r="DA45" s="524"/>
      <c r="DB45" s="524"/>
      <c r="DC45" s="524"/>
      <c r="DD45" s="524"/>
      <c r="DE45" s="524"/>
      <c r="DF45" s="524"/>
      <c r="DG45" s="524"/>
    </row>
    <row r="46" spans="1:128" x14ac:dyDescent="0.2">
      <c r="A46" s="519" t="s">
        <v>41</v>
      </c>
      <c r="B46" s="520"/>
      <c r="C46" s="520"/>
      <c r="D46" s="523"/>
      <c r="E46" s="571" t="s">
        <v>9</v>
      </c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  <c r="U46" s="572"/>
      <c r="V46" s="572"/>
      <c r="W46" s="572"/>
      <c r="X46" s="572"/>
      <c r="Y46" s="572"/>
      <c r="Z46" s="572"/>
      <c r="AA46" s="572"/>
      <c r="AB46" s="572"/>
      <c r="AC46" s="572"/>
      <c r="AD46" s="572"/>
      <c r="AE46" s="572"/>
      <c r="AF46" s="572"/>
      <c r="AG46" s="572"/>
      <c r="AH46" s="572"/>
      <c r="AI46" s="572"/>
      <c r="AJ46" s="572"/>
      <c r="AK46" s="572"/>
      <c r="AL46" s="572"/>
      <c r="AM46" s="572"/>
      <c r="AN46" s="572"/>
      <c r="AO46" s="572"/>
      <c r="AP46" s="572"/>
      <c r="AQ46" s="572"/>
      <c r="AR46" s="572"/>
      <c r="AS46" s="572"/>
      <c r="AT46" s="572"/>
      <c r="AU46" s="572"/>
      <c r="AV46" s="572"/>
      <c r="AW46" s="572"/>
      <c r="AX46" s="572"/>
      <c r="AY46" s="572"/>
      <c r="AZ46" s="572"/>
      <c r="BA46" s="572"/>
      <c r="BB46" s="572"/>
      <c r="BC46" s="572"/>
      <c r="BD46" s="573"/>
      <c r="BE46" s="584"/>
      <c r="BF46" s="585"/>
      <c r="BG46" s="585"/>
      <c r="BH46" s="585"/>
      <c r="BI46" s="585"/>
      <c r="BJ46" s="585"/>
      <c r="BK46" s="585"/>
      <c r="BL46" s="585"/>
      <c r="BM46" s="585"/>
      <c r="BN46" s="585"/>
      <c r="BO46" s="585"/>
      <c r="BP46" s="586"/>
      <c r="BQ46" s="580"/>
      <c r="BR46" s="581"/>
      <c r="BS46" s="581"/>
      <c r="BT46" s="581"/>
      <c r="BU46" s="581"/>
      <c r="BV46" s="581"/>
      <c r="BW46" s="581"/>
      <c r="BX46" s="581"/>
      <c r="BY46" s="581"/>
      <c r="BZ46" s="581"/>
      <c r="CA46" s="581"/>
      <c r="CB46" s="581"/>
      <c r="CC46" s="124"/>
      <c r="CD46" s="124"/>
      <c r="CE46" s="124"/>
      <c r="CH46" s="524"/>
      <c r="CI46" s="524"/>
      <c r="CJ46" s="524"/>
      <c r="CK46" s="524"/>
      <c r="CL46" s="524"/>
      <c r="CM46" s="524"/>
      <c r="CN46" s="524"/>
      <c r="CO46" s="524"/>
      <c r="CP46" s="524"/>
      <c r="CQ46" s="524"/>
      <c r="CR46" s="524"/>
      <c r="CS46" s="524"/>
      <c r="CT46" s="524"/>
      <c r="CU46" s="524"/>
      <c r="CV46" s="524"/>
      <c r="CW46" s="524"/>
      <c r="CX46" s="524"/>
      <c r="CY46" s="524"/>
      <c r="CZ46" s="524"/>
      <c r="DA46" s="524"/>
      <c r="DB46" s="524"/>
      <c r="DC46" s="524"/>
      <c r="DD46" s="524"/>
      <c r="DE46" s="524"/>
      <c r="DF46" s="524"/>
      <c r="DG46" s="524"/>
      <c r="DH46" s="524"/>
      <c r="DI46" s="524"/>
    </row>
    <row r="47" spans="1:128" x14ac:dyDescent="0.2">
      <c r="A47" s="531"/>
      <c r="B47" s="532"/>
      <c r="C47" s="532"/>
      <c r="D47" s="533"/>
      <c r="E47" s="568" t="s">
        <v>43</v>
      </c>
      <c r="F47" s="569"/>
      <c r="G47" s="569"/>
      <c r="H47" s="569"/>
      <c r="I47" s="569"/>
      <c r="J47" s="569"/>
      <c r="K47" s="569"/>
      <c r="L47" s="569"/>
      <c r="M47" s="569"/>
      <c r="N47" s="569"/>
      <c r="O47" s="569"/>
      <c r="P47" s="569"/>
      <c r="Q47" s="569"/>
      <c r="R47" s="569"/>
      <c r="S47" s="569"/>
      <c r="T47" s="569"/>
      <c r="U47" s="569"/>
      <c r="V47" s="569"/>
      <c r="W47" s="569"/>
      <c r="X47" s="569"/>
      <c r="Y47" s="569"/>
      <c r="Z47" s="569"/>
      <c r="AA47" s="569"/>
      <c r="AB47" s="569"/>
      <c r="AC47" s="569"/>
      <c r="AD47" s="569"/>
      <c r="AE47" s="569"/>
      <c r="AF47" s="569"/>
      <c r="AG47" s="569"/>
      <c r="AH47" s="569"/>
      <c r="AI47" s="569"/>
      <c r="AJ47" s="569"/>
      <c r="AK47" s="569"/>
      <c r="AL47" s="569"/>
      <c r="AM47" s="569"/>
      <c r="AN47" s="569"/>
      <c r="AO47" s="569"/>
      <c r="AP47" s="569"/>
      <c r="AQ47" s="569"/>
      <c r="AR47" s="569"/>
      <c r="AS47" s="569"/>
      <c r="AT47" s="569"/>
      <c r="AU47" s="569"/>
      <c r="AV47" s="569"/>
      <c r="AW47" s="569"/>
      <c r="AX47" s="569"/>
      <c r="AY47" s="569"/>
      <c r="AZ47" s="569"/>
      <c r="BA47" s="569"/>
      <c r="BB47" s="569"/>
      <c r="BC47" s="569"/>
      <c r="BD47" s="570"/>
      <c r="BE47" s="512"/>
      <c r="BF47" s="513"/>
      <c r="BG47" s="513"/>
      <c r="BH47" s="513"/>
      <c r="BI47" s="513"/>
      <c r="BJ47" s="513"/>
      <c r="BK47" s="513"/>
      <c r="BL47" s="513"/>
      <c r="BM47" s="513"/>
      <c r="BN47" s="513"/>
      <c r="BO47" s="513"/>
      <c r="BP47" s="514"/>
      <c r="BQ47" s="582"/>
      <c r="BR47" s="583"/>
      <c r="BS47" s="583"/>
      <c r="BT47" s="583"/>
      <c r="BU47" s="583"/>
      <c r="BV47" s="583"/>
      <c r="BW47" s="583"/>
      <c r="BX47" s="583"/>
      <c r="BY47" s="583"/>
      <c r="BZ47" s="583"/>
      <c r="CA47" s="583"/>
      <c r="CB47" s="583"/>
      <c r="CC47" s="124"/>
      <c r="CD47" s="124"/>
      <c r="CE47" s="124"/>
      <c r="CH47" s="124"/>
    </row>
    <row r="48" spans="1:128" x14ac:dyDescent="0.2">
      <c r="A48" s="557" t="s">
        <v>45</v>
      </c>
      <c r="B48" s="558"/>
      <c r="C48" s="558"/>
      <c r="D48" s="559"/>
      <c r="E48" s="574" t="s">
        <v>44</v>
      </c>
      <c r="F48" s="575"/>
      <c r="G48" s="575"/>
      <c r="H48" s="575"/>
      <c r="I48" s="575"/>
      <c r="J48" s="575"/>
      <c r="K48" s="575"/>
      <c r="L48" s="575"/>
      <c r="M48" s="575"/>
      <c r="N48" s="575"/>
      <c r="O48" s="575"/>
      <c r="P48" s="575"/>
      <c r="Q48" s="575"/>
      <c r="R48" s="575"/>
      <c r="S48" s="575"/>
      <c r="T48" s="575"/>
      <c r="U48" s="575"/>
      <c r="V48" s="575"/>
      <c r="W48" s="575"/>
      <c r="X48" s="575"/>
      <c r="Y48" s="575"/>
      <c r="Z48" s="575"/>
      <c r="AA48" s="575"/>
      <c r="AB48" s="575"/>
      <c r="AC48" s="575"/>
      <c r="AD48" s="575"/>
      <c r="AE48" s="575"/>
      <c r="AF48" s="575"/>
      <c r="AG48" s="575"/>
      <c r="AH48" s="575"/>
      <c r="AI48" s="575"/>
      <c r="AJ48" s="575"/>
      <c r="AK48" s="575"/>
      <c r="AL48" s="575"/>
      <c r="AM48" s="575"/>
      <c r="AN48" s="575"/>
      <c r="AO48" s="575"/>
      <c r="AP48" s="575"/>
      <c r="AQ48" s="575"/>
      <c r="AR48" s="575"/>
      <c r="AS48" s="575"/>
      <c r="AT48" s="575"/>
      <c r="AU48" s="575"/>
      <c r="AV48" s="575"/>
      <c r="AW48" s="575"/>
      <c r="AX48" s="575"/>
      <c r="AY48" s="575"/>
      <c r="AZ48" s="575"/>
      <c r="BA48" s="575"/>
      <c r="BB48" s="575"/>
      <c r="BC48" s="575"/>
      <c r="BD48" s="576"/>
      <c r="BE48" s="577"/>
      <c r="BF48" s="578"/>
      <c r="BG48" s="578"/>
      <c r="BH48" s="578"/>
      <c r="BI48" s="578"/>
      <c r="BJ48" s="578"/>
      <c r="BK48" s="578"/>
      <c r="BL48" s="578"/>
      <c r="BM48" s="578"/>
      <c r="BN48" s="578"/>
      <c r="BO48" s="578"/>
      <c r="BP48" s="579"/>
      <c r="BQ48" s="560"/>
      <c r="BR48" s="561"/>
      <c r="BS48" s="561"/>
      <c r="BT48" s="561"/>
      <c r="BU48" s="561"/>
      <c r="BV48" s="561"/>
      <c r="BW48" s="561"/>
      <c r="BX48" s="561"/>
      <c r="BY48" s="561"/>
      <c r="BZ48" s="561"/>
      <c r="CA48" s="561"/>
      <c r="CB48" s="561"/>
      <c r="CC48" s="124"/>
      <c r="CD48" s="124"/>
      <c r="CE48" s="124"/>
      <c r="CH48" s="124"/>
    </row>
    <row r="49" spans="1:86" x14ac:dyDescent="0.2">
      <c r="A49" s="519" t="s">
        <v>46</v>
      </c>
      <c r="B49" s="520"/>
      <c r="C49" s="520"/>
      <c r="D49" s="523"/>
      <c r="E49" s="571" t="s">
        <v>47</v>
      </c>
      <c r="F49" s="572"/>
      <c r="G49" s="572"/>
      <c r="H49" s="572"/>
      <c r="I49" s="572"/>
      <c r="J49" s="572"/>
      <c r="K49" s="572"/>
      <c r="L49" s="572"/>
      <c r="M49" s="572"/>
      <c r="N49" s="572"/>
      <c r="O49" s="572"/>
      <c r="P49" s="572"/>
      <c r="Q49" s="572"/>
      <c r="R49" s="572"/>
      <c r="S49" s="572"/>
      <c r="T49" s="572"/>
      <c r="U49" s="572"/>
      <c r="V49" s="572"/>
      <c r="W49" s="572"/>
      <c r="X49" s="572"/>
      <c r="Y49" s="572"/>
      <c r="Z49" s="572"/>
      <c r="AA49" s="572"/>
      <c r="AB49" s="572"/>
      <c r="AC49" s="572"/>
      <c r="AD49" s="572"/>
      <c r="AE49" s="572"/>
      <c r="AF49" s="572"/>
      <c r="AG49" s="572"/>
      <c r="AH49" s="572"/>
      <c r="AI49" s="572"/>
      <c r="AJ49" s="572"/>
      <c r="AK49" s="572"/>
      <c r="AL49" s="572"/>
      <c r="AM49" s="572"/>
      <c r="AN49" s="572"/>
      <c r="AO49" s="572"/>
      <c r="AP49" s="572"/>
      <c r="AQ49" s="572"/>
      <c r="AR49" s="572"/>
      <c r="AS49" s="572"/>
      <c r="AT49" s="572"/>
      <c r="AU49" s="572"/>
      <c r="AV49" s="572"/>
      <c r="AW49" s="572"/>
      <c r="AX49" s="572"/>
      <c r="AY49" s="572"/>
      <c r="AZ49" s="572"/>
      <c r="BA49" s="572"/>
      <c r="BB49" s="572"/>
      <c r="BC49" s="572"/>
      <c r="BD49" s="573"/>
      <c r="BE49" s="584"/>
      <c r="BF49" s="585"/>
      <c r="BG49" s="585"/>
      <c r="BH49" s="585"/>
      <c r="BI49" s="585"/>
      <c r="BJ49" s="585"/>
      <c r="BK49" s="585"/>
      <c r="BL49" s="585"/>
      <c r="BM49" s="585"/>
      <c r="BN49" s="585"/>
      <c r="BO49" s="585"/>
      <c r="BP49" s="586"/>
      <c r="BQ49" s="580"/>
      <c r="BR49" s="581"/>
      <c r="BS49" s="581"/>
      <c r="BT49" s="581"/>
      <c r="BU49" s="581"/>
      <c r="BV49" s="581"/>
      <c r="BW49" s="581"/>
      <c r="BX49" s="581"/>
      <c r="BY49" s="581"/>
      <c r="BZ49" s="581"/>
      <c r="CA49" s="581"/>
      <c r="CB49" s="581"/>
      <c r="CC49" s="124"/>
      <c r="CD49" s="124"/>
      <c r="CE49" s="124"/>
      <c r="CH49" s="124"/>
    </row>
    <row r="50" spans="1:86" x14ac:dyDescent="0.2">
      <c r="A50" s="531"/>
      <c r="B50" s="532"/>
      <c r="C50" s="532"/>
      <c r="D50" s="533"/>
      <c r="E50" s="568" t="s">
        <v>48</v>
      </c>
      <c r="F50" s="569"/>
      <c r="G50" s="569"/>
      <c r="H50" s="569"/>
      <c r="I50" s="569"/>
      <c r="J50" s="569"/>
      <c r="K50" s="569"/>
      <c r="L50" s="569"/>
      <c r="M50" s="569"/>
      <c r="N50" s="569"/>
      <c r="O50" s="569"/>
      <c r="P50" s="569"/>
      <c r="Q50" s="569"/>
      <c r="R50" s="569"/>
      <c r="S50" s="569"/>
      <c r="T50" s="569"/>
      <c r="U50" s="569"/>
      <c r="V50" s="569"/>
      <c r="W50" s="569"/>
      <c r="X50" s="569"/>
      <c r="Y50" s="569"/>
      <c r="Z50" s="569"/>
      <c r="AA50" s="569"/>
      <c r="AB50" s="569"/>
      <c r="AC50" s="569"/>
      <c r="AD50" s="569"/>
      <c r="AE50" s="569"/>
      <c r="AF50" s="569"/>
      <c r="AG50" s="569"/>
      <c r="AH50" s="569"/>
      <c r="AI50" s="569"/>
      <c r="AJ50" s="569"/>
      <c r="AK50" s="569"/>
      <c r="AL50" s="569"/>
      <c r="AM50" s="569"/>
      <c r="AN50" s="569"/>
      <c r="AO50" s="569"/>
      <c r="AP50" s="569"/>
      <c r="AQ50" s="569"/>
      <c r="AR50" s="569"/>
      <c r="AS50" s="569"/>
      <c r="AT50" s="569"/>
      <c r="AU50" s="569"/>
      <c r="AV50" s="569"/>
      <c r="AW50" s="569"/>
      <c r="AX50" s="569"/>
      <c r="AY50" s="569"/>
      <c r="AZ50" s="569"/>
      <c r="BA50" s="569"/>
      <c r="BB50" s="569"/>
      <c r="BC50" s="569"/>
      <c r="BD50" s="570"/>
      <c r="BE50" s="512"/>
      <c r="BF50" s="513"/>
      <c r="BG50" s="513"/>
      <c r="BH50" s="513"/>
      <c r="BI50" s="513"/>
      <c r="BJ50" s="513"/>
      <c r="BK50" s="513"/>
      <c r="BL50" s="513"/>
      <c r="BM50" s="513"/>
      <c r="BN50" s="513"/>
      <c r="BO50" s="513"/>
      <c r="BP50" s="514"/>
      <c r="BQ50" s="582"/>
      <c r="BR50" s="583"/>
      <c r="BS50" s="583"/>
      <c r="BT50" s="583"/>
      <c r="BU50" s="583"/>
      <c r="BV50" s="583"/>
      <c r="BW50" s="583"/>
      <c r="BX50" s="583"/>
      <c r="BY50" s="583"/>
      <c r="BZ50" s="583"/>
      <c r="CA50" s="583"/>
      <c r="CB50" s="583"/>
      <c r="CC50" s="124"/>
      <c r="CD50" s="124"/>
      <c r="CE50" s="124"/>
      <c r="CH50" s="124"/>
    </row>
    <row r="51" spans="1:86" x14ac:dyDescent="0.2">
      <c r="A51" s="519">
        <v>2</v>
      </c>
      <c r="B51" s="520"/>
      <c r="C51" s="520"/>
      <c r="D51" s="523"/>
      <c r="E51" s="587" t="s">
        <v>49</v>
      </c>
      <c r="F51" s="588"/>
      <c r="G51" s="588"/>
      <c r="H51" s="588"/>
      <c r="I51" s="588"/>
      <c r="J51" s="588"/>
      <c r="K51" s="588"/>
      <c r="L51" s="588"/>
      <c r="M51" s="588"/>
      <c r="N51" s="588"/>
      <c r="O51" s="588"/>
      <c r="P51" s="588"/>
      <c r="Q51" s="588"/>
      <c r="R51" s="588"/>
      <c r="S51" s="588"/>
      <c r="T51" s="588"/>
      <c r="U51" s="588"/>
      <c r="V51" s="588"/>
      <c r="W51" s="588"/>
      <c r="X51" s="588"/>
      <c r="Y51" s="588"/>
      <c r="Z51" s="588"/>
      <c r="AA51" s="588"/>
      <c r="AB51" s="588"/>
      <c r="AC51" s="588"/>
      <c r="AD51" s="588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588"/>
      <c r="AS51" s="588"/>
      <c r="AT51" s="588"/>
      <c r="AU51" s="588"/>
      <c r="AV51" s="588"/>
      <c r="AW51" s="588"/>
      <c r="AX51" s="588"/>
      <c r="AY51" s="588"/>
      <c r="AZ51" s="588"/>
      <c r="BA51" s="588"/>
      <c r="BB51" s="588"/>
      <c r="BC51" s="588"/>
      <c r="BD51" s="589"/>
      <c r="BE51" s="545" t="s">
        <v>11</v>
      </c>
      <c r="BF51" s="546"/>
      <c r="BG51" s="546"/>
      <c r="BH51" s="546"/>
      <c r="BI51" s="546"/>
      <c r="BJ51" s="546"/>
      <c r="BK51" s="546"/>
      <c r="BL51" s="546"/>
      <c r="BM51" s="546"/>
      <c r="BN51" s="546"/>
      <c r="BO51" s="546"/>
      <c r="BP51" s="547"/>
      <c r="BQ51" s="580"/>
      <c r="BR51" s="581"/>
      <c r="BS51" s="581"/>
      <c r="BT51" s="581"/>
      <c r="BU51" s="581"/>
      <c r="BV51" s="581"/>
      <c r="BW51" s="581"/>
      <c r="BX51" s="581"/>
      <c r="BY51" s="581"/>
      <c r="BZ51" s="581"/>
      <c r="CA51" s="581"/>
      <c r="CB51" s="581"/>
      <c r="CC51" s="124"/>
      <c r="CD51" s="124"/>
      <c r="CE51" s="124"/>
      <c r="CH51" s="124"/>
    </row>
    <row r="52" spans="1:86" x14ac:dyDescent="0.2">
      <c r="A52" s="531"/>
      <c r="B52" s="532"/>
      <c r="C52" s="532"/>
      <c r="D52" s="533"/>
      <c r="E52" s="506" t="s">
        <v>109</v>
      </c>
      <c r="F52" s="507"/>
      <c r="G52" s="507"/>
      <c r="H52" s="507"/>
      <c r="I52" s="507"/>
      <c r="J52" s="507"/>
      <c r="K52" s="507"/>
      <c r="L52" s="507"/>
      <c r="M52" s="507"/>
      <c r="N52" s="507"/>
      <c r="O52" s="507"/>
      <c r="P52" s="507"/>
      <c r="Q52" s="507"/>
      <c r="R52" s="507"/>
      <c r="S52" s="507"/>
      <c r="T52" s="507"/>
      <c r="U52" s="507"/>
      <c r="V52" s="507"/>
      <c r="W52" s="507"/>
      <c r="X52" s="507"/>
      <c r="Y52" s="507"/>
      <c r="Z52" s="507"/>
      <c r="AA52" s="507"/>
      <c r="AB52" s="507"/>
      <c r="AC52" s="507"/>
      <c r="AD52" s="507"/>
      <c r="AE52" s="507"/>
      <c r="AF52" s="507"/>
      <c r="AG52" s="507"/>
      <c r="AH52" s="507"/>
      <c r="AI52" s="507"/>
      <c r="AJ52" s="507"/>
      <c r="AK52" s="507"/>
      <c r="AL52" s="507"/>
      <c r="AM52" s="507"/>
      <c r="AN52" s="507"/>
      <c r="AO52" s="507"/>
      <c r="AP52" s="507"/>
      <c r="AQ52" s="507"/>
      <c r="AR52" s="507"/>
      <c r="AS52" s="507"/>
      <c r="AT52" s="507"/>
      <c r="AU52" s="507"/>
      <c r="AV52" s="507"/>
      <c r="AW52" s="507"/>
      <c r="AX52" s="507"/>
      <c r="AY52" s="507"/>
      <c r="AZ52" s="507"/>
      <c r="BA52" s="507"/>
      <c r="BB52" s="507"/>
      <c r="BC52" s="507"/>
      <c r="BD52" s="508"/>
      <c r="BE52" s="551"/>
      <c r="BF52" s="552"/>
      <c r="BG52" s="552"/>
      <c r="BH52" s="552"/>
      <c r="BI52" s="552"/>
      <c r="BJ52" s="552"/>
      <c r="BK52" s="552"/>
      <c r="BL52" s="552"/>
      <c r="BM52" s="552"/>
      <c r="BN52" s="552"/>
      <c r="BO52" s="552"/>
      <c r="BP52" s="553"/>
      <c r="BQ52" s="582"/>
      <c r="BR52" s="583"/>
      <c r="BS52" s="583"/>
      <c r="BT52" s="583"/>
      <c r="BU52" s="583"/>
      <c r="BV52" s="583"/>
      <c r="BW52" s="583"/>
      <c r="BX52" s="583"/>
      <c r="BY52" s="583"/>
      <c r="BZ52" s="583"/>
      <c r="CA52" s="583"/>
      <c r="CB52" s="583"/>
      <c r="CC52" s="124"/>
      <c r="CD52" s="124"/>
      <c r="CE52" s="124"/>
      <c r="CH52" s="124"/>
    </row>
    <row r="53" spans="1:86" x14ac:dyDescent="0.2">
      <c r="A53" s="519" t="s">
        <v>51</v>
      </c>
      <c r="B53" s="520"/>
      <c r="C53" s="520"/>
      <c r="D53" s="523"/>
      <c r="E53" s="571" t="s">
        <v>9</v>
      </c>
      <c r="F53" s="572"/>
      <c r="G53" s="572"/>
      <c r="H53" s="572"/>
      <c r="I53" s="572"/>
      <c r="J53" s="572"/>
      <c r="K53" s="572"/>
      <c r="L53" s="572"/>
      <c r="M53" s="572"/>
      <c r="N53" s="572"/>
      <c r="O53" s="572"/>
      <c r="P53" s="572"/>
      <c r="Q53" s="572"/>
      <c r="R53" s="572"/>
      <c r="S53" s="572"/>
      <c r="T53" s="572"/>
      <c r="U53" s="572"/>
      <c r="V53" s="572"/>
      <c r="W53" s="572"/>
      <c r="X53" s="572"/>
      <c r="Y53" s="572"/>
      <c r="Z53" s="572"/>
      <c r="AA53" s="572"/>
      <c r="AB53" s="572"/>
      <c r="AC53" s="572"/>
      <c r="AD53" s="572"/>
      <c r="AE53" s="572"/>
      <c r="AF53" s="572"/>
      <c r="AG53" s="572"/>
      <c r="AH53" s="572"/>
      <c r="AI53" s="572"/>
      <c r="AJ53" s="572"/>
      <c r="AK53" s="572"/>
      <c r="AL53" s="572"/>
      <c r="AM53" s="572"/>
      <c r="AN53" s="572"/>
      <c r="AO53" s="572"/>
      <c r="AP53" s="572"/>
      <c r="AQ53" s="572"/>
      <c r="AR53" s="572"/>
      <c r="AS53" s="572"/>
      <c r="AT53" s="572"/>
      <c r="AU53" s="572"/>
      <c r="AV53" s="572"/>
      <c r="AW53" s="572"/>
      <c r="AX53" s="572"/>
      <c r="AY53" s="572"/>
      <c r="AZ53" s="572"/>
      <c r="BA53" s="572"/>
      <c r="BB53" s="572"/>
      <c r="BC53" s="572"/>
      <c r="BD53" s="573"/>
      <c r="BE53" s="584"/>
      <c r="BF53" s="585"/>
      <c r="BG53" s="585"/>
      <c r="BH53" s="585"/>
      <c r="BI53" s="585"/>
      <c r="BJ53" s="585"/>
      <c r="BK53" s="585"/>
      <c r="BL53" s="585"/>
      <c r="BM53" s="585"/>
      <c r="BN53" s="585"/>
      <c r="BO53" s="585"/>
      <c r="BP53" s="586"/>
      <c r="BQ53" s="580"/>
      <c r="BR53" s="581"/>
      <c r="BS53" s="581"/>
      <c r="BT53" s="581"/>
      <c r="BU53" s="581"/>
      <c r="BV53" s="581"/>
      <c r="BW53" s="581"/>
      <c r="BX53" s="581"/>
      <c r="BY53" s="581"/>
      <c r="BZ53" s="581"/>
      <c r="CA53" s="581"/>
      <c r="CB53" s="581"/>
      <c r="CC53" s="124"/>
      <c r="CD53" s="124"/>
      <c r="CE53" s="124"/>
      <c r="CH53" s="124"/>
    </row>
    <row r="54" spans="1:86" x14ac:dyDescent="0.2">
      <c r="A54" s="521"/>
      <c r="B54" s="522"/>
      <c r="C54" s="522"/>
      <c r="D54" s="537"/>
      <c r="E54" s="565" t="s">
        <v>50</v>
      </c>
      <c r="F54" s="566"/>
      <c r="G54" s="566"/>
      <c r="H54" s="566"/>
      <c r="I54" s="566"/>
      <c r="J54" s="566"/>
      <c r="K54" s="566"/>
      <c r="L54" s="566"/>
      <c r="M54" s="566"/>
      <c r="N54" s="566"/>
      <c r="O54" s="566"/>
      <c r="P54" s="566"/>
      <c r="Q54" s="566"/>
      <c r="R54" s="566"/>
      <c r="S54" s="566"/>
      <c r="T54" s="566"/>
      <c r="U54" s="566"/>
      <c r="V54" s="566"/>
      <c r="W54" s="566"/>
      <c r="X54" s="566"/>
      <c r="Y54" s="566"/>
      <c r="Z54" s="566"/>
      <c r="AA54" s="566"/>
      <c r="AB54" s="566"/>
      <c r="AC54" s="566"/>
      <c r="AD54" s="566"/>
      <c r="AE54" s="566"/>
      <c r="AF54" s="566"/>
      <c r="AG54" s="566"/>
      <c r="AH54" s="566"/>
      <c r="AI54" s="566"/>
      <c r="AJ54" s="566"/>
      <c r="AK54" s="566"/>
      <c r="AL54" s="566"/>
      <c r="AM54" s="566"/>
      <c r="AN54" s="566"/>
      <c r="AO54" s="566"/>
      <c r="AP54" s="566"/>
      <c r="AQ54" s="566"/>
      <c r="AR54" s="566"/>
      <c r="AS54" s="566"/>
      <c r="AT54" s="566"/>
      <c r="AU54" s="566"/>
      <c r="AV54" s="566"/>
      <c r="AW54" s="566"/>
      <c r="AX54" s="566"/>
      <c r="AY54" s="566"/>
      <c r="AZ54" s="566"/>
      <c r="BA54" s="566"/>
      <c r="BB54" s="566"/>
      <c r="BC54" s="566"/>
      <c r="BD54" s="567"/>
      <c r="BE54" s="602"/>
      <c r="BF54" s="603"/>
      <c r="BG54" s="603"/>
      <c r="BH54" s="603"/>
      <c r="BI54" s="603"/>
      <c r="BJ54" s="603"/>
      <c r="BK54" s="603"/>
      <c r="BL54" s="603"/>
      <c r="BM54" s="603"/>
      <c r="BN54" s="603"/>
      <c r="BO54" s="603"/>
      <c r="BP54" s="604"/>
      <c r="BQ54" s="600"/>
      <c r="BR54" s="601"/>
      <c r="BS54" s="601"/>
      <c r="BT54" s="601"/>
      <c r="BU54" s="601"/>
      <c r="BV54" s="601"/>
      <c r="BW54" s="601"/>
      <c r="BX54" s="601"/>
      <c r="BY54" s="601"/>
      <c r="BZ54" s="601"/>
      <c r="CA54" s="601"/>
      <c r="CB54" s="601"/>
      <c r="CC54" s="124"/>
      <c r="CD54" s="124"/>
      <c r="CE54" s="124"/>
      <c r="CH54" s="124"/>
    </row>
    <row r="55" spans="1:86" x14ac:dyDescent="0.2">
      <c r="A55" s="531"/>
      <c r="B55" s="532"/>
      <c r="C55" s="532"/>
      <c r="D55" s="533"/>
      <c r="E55" s="568" t="s">
        <v>110</v>
      </c>
      <c r="F55" s="569"/>
      <c r="G55" s="569"/>
      <c r="H55" s="569"/>
      <c r="I55" s="569"/>
      <c r="J55" s="569"/>
      <c r="K55" s="569"/>
      <c r="L55" s="569"/>
      <c r="M55" s="569"/>
      <c r="N55" s="569"/>
      <c r="O55" s="569"/>
      <c r="P55" s="569"/>
      <c r="Q55" s="569"/>
      <c r="R55" s="569"/>
      <c r="S55" s="569"/>
      <c r="T55" s="569"/>
      <c r="U55" s="569"/>
      <c r="V55" s="569"/>
      <c r="W55" s="569"/>
      <c r="X55" s="569"/>
      <c r="Y55" s="569"/>
      <c r="Z55" s="569"/>
      <c r="AA55" s="569"/>
      <c r="AB55" s="569"/>
      <c r="AC55" s="569"/>
      <c r="AD55" s="569"/>
      <c r="AE55" s="569"/>
      <c r="AF55" s="569"/>
      <c r="AG55" s="569"/>
      <c r="AH55" s="569"/>
      <c r="AI55" s="569"/>
      <c r="AJ55" s="569"/>
      <c r="AK55" s="569"/>
      <c r="AL55" s="569"/>
      <c r="AM55" s="569"/>
      <c r="AN55" s="569"/>
      <c r="AO55" s="569"/>
      <c r="AP55" s="569"/>
      <c r="AQ55" s="569"/>
      <c r="AR55" s="569"/>
      <c r="AS55" s="569"/>
      <c r="AT55" s="569"/>
      <c r="AU55" s="569"/>
      <c r="AV55" s="569"/>
      <c r="AW55" s="569"/>
      <c r="AX55" s="569"/>
      <c r="AY55" s="569"/>
      <c r="AZ55" s="569"/>
      <c r="BA55" s="569"/>
      <c r="BB55" s="569"/>
      <c r="BC55" s="569"/>
      <c r="BD55" s="570"/>
      <c r="BE55" s="512"/>
      <c r="BF55" s="513"/>
      <c r="BG55" s="513"/>
      <c r="BH55" s="513"/>
      <c r="BI55" s="513"/>
      <c r="BJ55" s="513"/>
      <c r="BK55" s="513"/>
      <c r="BL55" s="513"/>
      <c r="BM55" s="513"/>
      <c r="BN55" s="513"/>
      <c r="BO55" s="513"/>
      <c r="BP55" s="514"/>
      <c r="BQ55" s="582"/>
      <c r="BR55" s="583"/>
      <c r="BS55" s="583"/>
      <c r="BT55" s="583"/>
      <c r="BU55" s="583"/>
      <c r="BV55" s="583"/>
      <c r="BW55" s="583"/>
      <c r="BX55" s="583"/>
      <c r="BY55" s="583"/>
      <c r="BZ55" s="583"/>
      <c r="CA55" s="583"/>
      <c r="CB55" s="583"/>
      <c r="CC55" s="124"/>
      <c r="CD55" s="124"/>
      <c r="CE55" s="124"/>
      <c r="CH55" s="124"/>
    </row>
    <row r="56" spans="1:86" x14ac:dyDescent="0.2">
      <c r="A56" s="519" t="s">
        <v>54</v>
      </c>
      <c r="B56" s="520"/>
      <c r="C56" s="520"/>
      <c r="D56" s="523"/>
      <c r="E56" s="571" t="s">
        <v>52</v>
      </c>
      <c r="F56" s="572"/>
      <c r="G56" s="572"/>
      <c r="H56" s="572"/>
      <c r="I56" s="572"/>
      <c r="J56" s="572"/>
      <c r="K56" s="572"/>
      <c r="L56" s="572"/>
      <c r="M56" s="572"/>
      <c r="N56" s="572"/>
      <c r="O56" s="572"/>
      <c r="P56" s="572"/>
      <c r="Q56" s="572"/>
      <c r="R56" s="572"/>
      <c r="S56" s="572"/>
      <c r="T56" s="572"/>
      <c r="U56" s="572"/>
      <c r="V56" s="572"/>
      <c r="W56" s="572"/>
      <c r="X56" s="572"/>
      <c r="Y56" s="572"/>
      <c r="Z56" s="572"/>
      <c r="AA56" s="572"/>
      <c r="AB56" s="572"/>
      <c r="AC56" s="572"/>
      <c r="AD56" s="572"/>
      <c r="AE56" s="572"/>
      <c r="AF56" s="572"/>
      <c r="AG56" s="572"/>
      <c r="AH56" s="572"/>
      <c r="AI56" s="572"/>
      <c r="AJ56" s="572"/>
      <c r="AK56" s="572"/>
      <c r="AL56" s="572"/>
      <c r="AM56" s="572"/>
      <c r="AN56" s="572"/>
      <c r="AO56" s="572"/>
      <c r="AP56" s="572"/>
      <c r="AQ56" s="572"/>
      <c r="AR56" s="572"/>
      <c r="AS56" s="572"/>
      <c r="AT56" s="572"/>
      <c r="AU56" s="572"/>
      <c r="AV56" s="572"/>
      <c r="AW56" s="572"/>
      <c r="AX56" s="572"/>
      <c r="AY56" s="572"/>
      <c r="AZ56" s="572"/>
      <c r="BA56" s="572"/>
      <c r="BB56" s="572"/>
      <c r="BC56" s="572"/>
      <c r="BD56" s="573"/>
      <c r="BE56" s="584"/>
      <c r="BF56" s="585"/>
      <c r="BG56" s="585"/>
      <c r="BH56" s="585"/>
      <c r="BI56" s="585"/>
      <c r="BJ56" s="585"/>
      <c r="BK56" s="585"/>
      <c r="BL56" s="585"/>
      <c r="BM56" s="585"/>
      <c r="BN56" s="585"/>
      <c r="BO56" s="585"/>
      <c r="BP56" s="586"/>
      <c r="BQ56" s="580"/>
      <c r="BR56" s="581"/>
      <c r="BS56" s="581"/>
      <c r="BT56" s="581"/>
      <c r="BU56" s="581"/>
      <c r="BV56" s="581"/>
      <c r="BW56" s="581"/>
      <c r="BX56" s="581"/>
      <c r="BY56" s="581"/>
      <c r="BZ56" s="581"/>
      <c r="CA56" s="581"/>
      <c r="CB56" s="581"/>
      <c r="CC56" s="124"/>
      <c r="CD56" s="124"/>
      <c r="CE56" s="124"/>
      <c r="CH56" s="124"/>
    </row>
    <row r="57" spans="1:86" x14ac:dyDescent="0.2">
      <c r="A57" s="531"/>
      <c r="B57" s="532"/>
      <c r="C57" s="532"/>
      <c r="D57" s="533"/>
      <c r="E57" s="568" t="s">
        <v>53</v>
      </c>
      <c r="F57" s="569"/>
      <c r="G57" s="569"/>
      <c r="H57" s="569"/>
      <c r="I57" s="569"/>
      <c r="J57" s="569"/>
      <c r="K57" s="569"/>
      <c r="L57" s="569"/>
      <c r="M57" s="569"/>
      <c r="N57" s="569"/>
      <c r="O57" s="569"/>
      <c r="P57" s="569"/>
      <c r="Q57" s="569"/>
      <c r="R57" s="569"/>
      <c r="S57" s="569"/>
      <c r="T57" s="569"/>
      <c r="U57" s="569"/>
      <c r="V57" s="569"/>
      <c r="W57" s="569"/>
      <c r="X57" s="569"/>
      <c r="Y57" s="569"/>
      <c r="Z57" s="569"/>
      <c r="AA57" s="569"/>
      <c r="AB57" s="569"/>
      <c r="AC57" s="569"/>
      <c r="AD57" s="569"/>
      <c r="AE57" s="569"/>
      <c r="AF57" s="569"/>
      <c r="AG57" s="569"/>
      <c r="AH57" s="569"/>
      <c r="AI57" s="569"/>
      <c r="AJ57" s="569"/>
      <c r="AK57" s="569"/>
      <c r="AL57" s="569"/>
      <c r="AM57" s="569"/>
      <c r="AN57" s="569"/>
      <c r="AO57" s="569"/>
      <c r="AP57" s="569"/>
      <c r="AQ57" s="569"/>
      <c r="AR57" s="569"/>
      <c r="AS57" s="569"/>
      <c r="AT57" s="569"/>
      <c r="AU57" s="569"/>
      <c r="AV57" s="569"/>
      <c r="AW57" s="569"/>
      <c r="AX57" s="569"/>
      <c r="AY57" s="569"/>
      <c r="AZ57" s="569"/>
      <c r="BA57" s="569"/>
      <c r="BB57" s="569"/>
      <c r="BC57" s="569"/>
      <c r="BD57" s="570"/>
      <c r="BE57" s="512"/>
      <c r="BF57" s="513"/>
      <c r="BG57" s="513"/>
      <c r="BH57" s="513"/>
      <c r="BI57" s="513"/>
      <c r="BJ57" s="513"/>
      <c r="BK57" s="513"/>
      <c r="BL57" s="513"/>
      <c r="BM57" s="513"/>
      <c r="BN57" s="513"/>
      <c r="BO57" s="513"/>
      <c r="BP57" s="514"/>
      <c r="BQ57" s="582"/>
      <c r="BR57" s="583"/>
      <c r="BS57" s="583"/>
      <c r="BT57" s="583"/>
      <c r="BU57" s="583"/>
      <c r="BV57" s="583"/>
      <c r="BW57" s="583"/>
      <c r="BX57" s="583"/>
      <c r="BY57" s="583"/>
      <c r="BZ57" s="583"/>
      <c r="CA57" s="583"/>
      <c r="CB57" s="583"/>
      <c r="CC57" s="124"/>
      <c r="CD57" s="124"/>
      <c r="CE57" s="124"/>
      <c r="CH57" s="124"/>
    </row>
    <row r="58" spans="1:86" x14ac:dyDescent="0.2">
      <c r="A58" s="519" t="s">
        <v>57</v>
      </c>
      <c r="B58" s="520"/>
      <c r="C58" s="520"/>
      <c r="D58" s="523"/>
      <c r="E58" s="571" t="s">
        <v>55</v>
      </c>
      <c r="F58" s="572"/>
      <c r="G58" s="572"/>
      <c r="H58" s="572"/>
      <c r="I58" s="572"/>
      <c r="J58" s="572"/>
      <c r="K58" s="572"/>
      <c r="L58" s="572"/>
      <c r="M58" s="572"/>
      <c r="N58" s="572"/>
      <c r="O58" s="572"/>
      <c r="P58" s="572"/>
      <c r="Q58" s="572"/>
      <c r="R58" s="572"/>
      <c r="S58" s="572"/>
      <c r="T58" s="572"/>
      <c r="U58" s="572"/>
      <c r="V58" s="572"/>
      <c r="W58" s="572"/>
      <c r="X58" s="572"/>
      <c r="Y58" s="572"/>
      <c r="Z58" s="572"/>
      <c r="AA58" s="572"/>
      <c r="AB58" s="572"/>
      <c r="AC58" s="572"/>
      <c r="AD58" s="572"/>
      <c r="AE58" s="572"/>
      <c r="AF58" s="572"/>
      <c r="AG58" s="572"/>
      <c r="AH58" s="572"/>
      <c r="AI58" s="572"/>
      <c r="AJ58" s="572"/>
      <c r="AK58" s="572"/>
      <c r="AL58" s="572"/>
      <c r="AM58" s="572"/>
      <c r="AN58" s="572"/>
      <c r="AO58" s="572"/>
      <c r="AP58" s="572"/>
      <c r="AQ58" s="572"/>
      <c r="AR58" s="572"/>
      <c r="AS58" s="572"/>
      <c r="AT58" s="572"/>
      <c r="AU58" s="572"/>
      <c r="AV58" s="572"/>
      <c r="AW58" s="572"/>
      <c r="AX58" s="572"/>
      <c r="AY58" s="572"/>
      <c r="AZ58" s="572"/>
      <c r="BA58" s="572"/>
      <c r="BB58" s="572"/>
      <c r="BC58" s="572"/>
      <c r="BD58" s="573"/>
      <c r="BE58" s="584"/>
      <c r="BF58" s="585"/>
      <c r="BG58" s="585"/>
      <c r="BH58" s="585"/>
      <c r="BI58" s="585"/>
      <c r="BJ58" s="585"/>
      <c r="BK58" s="585"/>
      <c r="BL58" s="585"/>
      <c r="BM58" s="585"/>
      <c r="BN58" s="585"/>
      <c r="BO58" s="585"/>
      <c r="BP58" s="586"/>
      <c r="BQ58" s="580"/>
      <c r="BR58" s="581"/>
      <c r="BS58" s="581"/>
      <c r="BT58" s="581"/>
      <c r="BU58" s="581"/>
      <c r="BV58" s="581"/>
      <c r="BW58" s="581"/>
      <c r="BX58" s="581"/>
      <c r="BY58" s="581"/>
      <c r="BZ58" s="581"/>
      <c r="CA58" s="581"/>
      <c r="CB58" s="581"/>
      <c r="CC58" s="124"/>
      <c r="CD58" s="124"/>
      <c r="CE58" s="124"/>
      <c r="CH58" s="124"/>
    </row>
    <row r="59" spans="1:86" x14ac:dyDescent="0.2">
      <c r="A59" s="531"/>
      <c r="B59" s="532"/>
      <c r="C59" s="532"/>
      <c r="D59" s="533"/>
      <c r="E59" s="568" t="s">
        <v>56</v>
      </c>
      <c r="F59" s="569"/>
      <c r="G59" s="569"/>
      <c r="H59" s="569"/>
      <c r="I59" s="569"/>
      <c r="J59" s="569"/>
      <c r="K59" s="569"/>
      <c r="L59" s="569"/>
      <c r="M59" s="569"/>
      <c r="N59" s="569"/>
      <c r="O59" s="569"/>
      <c r="P59" s="569"/>
      <c r="Q59" s="569"/>
      <c r="R59" s="569"/>
      <c r="S59" s="569"/>
      <c r="T59" s="569"/>
      <c r="U59" s="569"/>
      <c r="V59" s="569"/>
      <c r="W59" s="569"/>
      <c r="X59" s="569"/>
      <c r="Y59" s="569"/>
      <c r="Z59" s="569"/>
      <c r="AA59" s="569"/>
      <c r="AB59" s="569"/>
      <c r="AC59" s="569"/>
      <c r="AD59" s="569"/>
      <c r="AE59" s="569"/>
      <c r="AF59" s="569"/>
      <c r="AG59" s="569"/>
      <c r="AH59" s="569"/>
      <c r="AI59" s="569"/>
      <c r="AJ59" s="569"/>
      <c r="AK59" s="569"/>
      <c r="AL59" s="569"/>
      <c r="AM59" s="569"/>
      <c r="AN59" s="569"/>
      <c r="AO59" s="569"/>
      <c r="AP59" s="569"/>
      <c r="AQ59" s="569"/>
      <c r="AR59" s="569"/>
      <c r="AS59" s="569"/>
      <c r="AT59" s="569"/>
      <c r="AU59" s="569"/>
      <c r="AV59" s="569"/>
      <c r="AW59" s="569"/>
      <c r="AX59" s="569"/>
      <c r="AY59" s="569"/>
      <c r="AZ59" s="569"/>
      <c r="BA59" s="569"/>
      <c r="BB59" s="569"/>
      <c r="BC59" s="569"/>
      <c r="BD59" s="570"/>
      <c r="BE59" s="512"/>
      <c r="BF59" s="513"/>
      <c r="BG59" s="513"/>
      <c r="BH59" s="513"/>
      <c r="BI59" s="513"/>
      <c r="BJ59" s="513"/>
      <c r="BK59" s="513"/>
      <c r="BL59" s="513"/>
      <c r="BM59" s="513"/>
      <c r="BN59" s="513"/>
      <c r="BO59" s="513"/>
      <c r="BP59" s="514"/>
      <c r="BQ59" s="582"/>
      <c r="BR59" s="583"/>
      <c r="BS59" s="583"/>
      <c r="BT59" s="583"/>
      <c r="BU59" s="583"/>
      <c r="BV59" s="583"/>
      <c r="BW59" s="583"/>
      <c r="BX59" s="583"/>
      <c r="BY59" s="583"/>
      <c r="BZ59" s="583"/>
      <c r="CA59" s="583"/>
      <c r="CB59" s="583"/>
      <c r="CC59" s="124"/>
      <c r="CD59" s="124"/>
      <c r="CE59" s="124"/>
      <c r="CH59" s="124"/>
    </row>
    <row r="60" spans="1:86" x14ac:dyDescent="0.2">
      <c r="A60" s="519" t="s">
        <v>58</v>
      </c>
      <c r="B60" s="520"/>
      <c r="C60" s="520"/>
      <c r="D60" s="523"/>
      <c r="E60" s="571" t="s">
        <v>55</v>
      </c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72"/>
      <c r="S60" s="572"/>
      <c r="T60" s="572"/>
      <c r="U60" s="572"/>
      <c r="V60" s="572"/>
      <c r="W60" s="572"/>
      <c r="X60" s="572"/>
      <c r="Y60" s="572"/>
      <c r="Z60" s="572"/>
      <c r="AA60" s="572"/>
      <c r="AB60" s="572"/>
      <c r="AC60" s="572"/>
      <c r="AD60" s="572"/>
      <c r="AE60" s="572"/>
      <c r="AF60" s="572"/>
      <c r="AG60" s="572"/>
      <c r="AH60" s="572"/>
      <c r="AI60" s="572"/>
      <c r="AJ60" s="572"/>
      <c r="AK60" s="572"/>
      <c r="AL60" s="572"/>
      <c r="AM60" s="572"/>
      <c r="AN60" s="572"/>
      <c r="AO60" s="572"/>
      <c r="AP60" s="572"/>
      <c r="AQ60" s="572"/>
      <c r="AR60" s="572"/>
      <c r="AS60" s="572"/>
      <c r="AT60" s="572"/>
      <c r="AU60" s="572"/>
      <c r="AV60" s="572"/>
      <c r="AW60" s="572"/>
      <c r="AX60" s="572"/>
      <c r="AY60" s="572"/>
      <c r="AZ60" s="572"/>
      <c r="BA60" s="572"/>
      <c r="BB60" s="572"/>
      <c r="BC60" s="572"/>
      <c r="BD60" s="573"/>
      <c r="BE60" s="584"/>
      <c r="BF60" s="585"/>
      <c r="BG60" s="585"/>
      <c r="BH60" s="585"/>
      <c r="BI60" s="585"/>
      <c r="BJ60" s="585"/>
      <c r="BK60" s="585"/>
      <c r="BL60" s="585"/>
      <c r="BM60" s="585"/>
      <c r="BN60" s="585"/>
      <c r="BO60" s="585"/>
      <c r="BP60" s="586"/>
      <c r="BQ60" s="580"/>
      <c r="BR60" s="581"/>
      <c r="BS60" s="581"/>
      <c r="BT60" s="581"/>
      <c r="BU60" s="581"/>
      <c r="BV60" s="581"/>
      <c r="BW60" s="581"/>
      <c r="BX60" s="581"/>
      <c r="BY60" s="581"/>
      <c r="BZ60" s="581"/>
      <c r="CA60" s="581"/>
      <c r="CB60" s="581"/>
      <c r="CC60" s="124"/>
      <c r="CD60" s="124"/>
      <c r="CE60" s="124"/>
      <c r="CH60" s="124"/>
    </row>
    <row r="61" spans="1:86" ht="12.75" customHeight="1" x14ac:dyDescent="0.2">
      <c r="A61" s="531"/>
      <c r="B61" s="532"/>
      <c r="C61" s="532"/>
      <c r="D61" s="533"/>
      <c r="E61" s="568" t="s">
        <v>60</v>
      </c>
      <c r="F61" s="569"/>
      <c r="G61" s="569"/>
      <c r="H61" s="569"/>
      <c r="I61" s="569"/>
      <c r="J61" s="569"/>
      <c r="K61" s="569"/>
      <c r="L61" s="569"/>
      <c r="M61" s="569"/>
      <c r="N61" s="569"/>
      <c r="O61" s="569"/>
      <c r="P61" s="569"/>
      <c r="Q61" s="569"/>
      <c r="R61" s="569"/>
      <c r="S61" s="569"/>
      <c r="T61" s="569"/>
      <c r="U61" s="569"/>
      <c r="V61" s="569"/>
      <c r="W61" s="569"/>
      <c r="X61" s="569"/>
      <c r="Y61" s="569"/>
      <c r="Z61" s="569"/>
      <c r="AA61" s="569"/>
      <c r="AB61" s="569"/>
      <c r="AC61" s="569"/>
      <c r="AD61" s="569"/>
      <c r="AE61" s="569"/>
      <c r="AF61" s="569"/>
      <c r="AG61" s="569"/>
      <c r="AH61" s="569"/>
      <c r="AI61" s="569"/>
      <c r="AJ61" s="569"/>
      <c r="AK61" s="569"/>
      <c r="AL61" s="569"/>
      <c r="AM61" s="569"/>
      <c r="AN61" s="569"/>
      <c r="AO61" s="569"/>
      <c r="AP61" s="569"/>
      <c r="AQ61" s="569"/>
      <c r="AR61" s="569"/>
      <c r="AS61" s="569"/>
      <c r="AT61" s="569"/>
      <c r="AU61" s="569"/>
      <c r="AV61" s="569"/>
      <c r="AW61" s="569"/>
      <c r="AX61" s="569"/>
      <c r="AY61" s="569"/>
      <c r="AZ61" s="569"/>
      <c r="BA61" s="569"/>
      <c r="BB61" s="569"/>
      <c r="BC61" s="569"/>
      <c r="BD61" s="570"/>
      <c r="BE61" s="512"/>
      <c r="BF61" s="513"/>
      <c r="BG61" s="513"/>
      <c r="BH61" s="513"/>
      <c r="BI61" s="513"/>
      <c r="BJ61" s="513"/>
      <c r="BK61" s="513"/>
      <c r="BL61" s="513"/>
      <c r="BM61" s="513"/>
      <c r="BN61" s="513"/>
      <c r="BO61" s="513"/>
      <c r="BP61" s="514"/>
      <c r="BQ61" s="582"/>
      <c r="BR61" s="583"/>
      <c r="BS61" s="583"/>
      <c r="BT61" s="583"/>
      <c r="BU61" s="583"/>
      <c r="BV61" s="583"/>
      <c r="BW61" s="583"/>
      <c r="BX61" s="583"/>
      <c r="BY61" s="583"/>
      <c r="BZ61" s="583"/>
      <c r="CA61" s="583"/>
      <c r="CB61" s="583"/>
      <c r="CC61" s="124"/>
      <c r="CD61" s="124"/>
      <c r="CE61" s="124"/>
      <c r="CH61" s="124"/>
    </row>
    <row r="62" spans="1:86" x14ac:dyDescent="0.2">
      <c r="A62" s="519" t="s">
        <v>59</v>
      </c>
      <c r="B62" s="520"/>
      <c r="C62" s="520"/>
      <c r="D62" s="523"/>
      <c r="E62" s="571" t="s">
        <v>55</v>
      </c>
      <c r="F62" s="572"/>
      <c r="G62" s="572"/>
      <c r="H62" s="572"/>
      <c r="I62" s="572"/>
      <c r="J62" s="572"/>
      <c r="K62" s="572"/>
      <c r="L62" s="572"/>
      <c r="M62" s="572"/>
      <c r="N62" s="572"/>
      <c r="O62" s="572"/>
      <c r="P62" s="572"/>
      <c r="Q62" s="572"/>
      <c r="R62" s="572"/>
      <c r="S62" s="572"/>
      <c r="T62" s="572"/>
      <c r="U62" s="572"/>
      <c r="V62" s="572"/>
      <c r="W62" s="572"/>
      <c r="X62" s="572"/>
      <c r="Y62" s="572"/>
      <c r="Z62" s="572"/>
      <c r="AA62" s="572"/>
      <c r="AB62" s="572"/>
      <c r="AC62" s="572"/>
      <c r="AD62" s="572"/>
      <c r="AE62" s="572"/>
      <c r="AF62" s="572"/>
      <c r="AG62" s="572"/>
      <c r="AH62" s="572"/>
      <c r="AI62" s="572"/>
      <c r="AJ62" s="572"/>
      <c r="AK62" s="572"/>
      <c r="AL62" s="572"/>
      <c r="AM62" s="572"/>
      <c r="AN62" s="572"/>
      <c r="AO62" s="572"/>
      <c r="AP62" s="572"/>
      <c r="AQ62" s="572"/>
      <c r="AR62" s="572"/>
      <c r="AS62" s="572"/>
      <c r="AT62" s="572"/>
      <c r="AU62" s="572"/>
      <c r="AV62" s="572"/>
      <c r="AW62" s="572"/>
      <c r="AX62" s="572"/>
      <c r="AY62" s="572"/>
      <c r="AZ62" s="572"/>
      <c r="BA62" s="572"/>
      <c r="BB62" s="572"/>
      <c r="BC62" s="572"/>
      <c r="BD62" s="573"/>
      <c r="BE62" s="584"/>
      <c r="BF62" s="585"/>
      <c r="BG62" s="585"/>
      <c r="BH62" s="585"/>
      <c r="BI62" s="585"/>
      <c r="BJ62" s="585"/>
      <c r="BK62" s="585"/>
      <c r="BL62" s="585"/>
      <c r="BM62" s="585"/>
      <c r="BN62" s="585"/>
      <c r="BO62" s="585"/>
      <c r="BP62" s="586"/>
      <c r="BQ62" s="580"/>
      <c r="BR62" s="581"/>
      <c r="BS62" s="581"/>
      <c r="BT62" s="581"/>
      <c r="BU62" s="581"/>
      <c r="BV62" s="581"/>
      <c r="BW62" s="581"/>
      <c r="BX62" s="581"/>
      <c r="BY62" s="581"/>
      <c r="BZ62" s="581"/>
      <c r="CA62" s="581"/>
      <c r="CB62" s="581"/>
      <c r="CC62" s="124"/>
      <c r="CD62" s="124"/>
      <c r="CE62" s="124"/>
      <c r="CH62" s="124"/>
    </row>
    <row r="63" spans="1:86" ht="12.75" customHeight="1" x14ac:dyDescent="0.2">
      <c r="A63" s="531"/>
      <c r="B63" s="532"/>
      <c r="C63" s="532"/>
      <c r="D63" s="533"/>
      <c r="E63" s="568" t="s">
        <v>60</v>
      </c>
      <c r="F63" s="569"/>
      <c r="G63" s="569"/>
      <c r="H63" s="569"/>
      <c r="I63" s="569"/>
      <c r="J63" s="569"/>
      <c r="K63" s="569"/>
      <c r="L63" s="569"/>
      <c r="M63" s="569"/>
      <c r="N63" s="569"/>
      <c r="O63" s="569"/>
      <c r="P63" s="569"/>
      <c r="Q63" s="569"/>
      <c r="R63" s="569"/>
      <c r="S63" s="569"/>
      <c r="T63" s="569"/>
      <c r="U63" s="569"/>
      <c r="V63" s="569"/>
      <c r="W63" s="569"/>
      <c r="X63" s="569"/>
      <c r="Y63" s="569"/>
      <c r="Z63" s="569"/>
      <c r="AA63" s="569"/>
      <c r="AB63" s="569"/>
      <c r="AC63" s="569"/>
      <c r="AD63" s="569"/>
      <c r="AE63" s="569"/>
      <c r="AF63" s="569"/>
      <c r="AG63" s="569"/>
      <c r="AH63" s="569"/>
      <c r="AI63" s="569"/>
      <c r="AJ63" s="569"/>
      <c r="AK63" s="569"/>
      <c r="AL63" s="569"/>
      <c r="AM63" s="569"/>
      <c r="AN63" s="569"/>
      <c r="AO63" s="569"/>
      <c r="AP63" s="569"/>
      <c r="AQ63" s="569"/>
      <c r="AR63" s="569"/>
      <c r="AS63" s="569"/>
      <c r="AT63" s="569"/>
      <c r="AU63" s="569"/>
      <c r="AV63" s="569"/>
      <c r="AW63" s="569"/>
      <c r="AX63" s="569"/>
      <c r="AY63" s="569"/>
      <c r="AZ63" s="569"/>
      <c r="BA63" s="569"/>
      <c r="BB63" s="569"/>
      <c r="BC63" s="569"/>
      <c r="BD63" s="570"/>
      <c r="BE63" s="512"/>
      <c r="BF63" s="513"/>
      <c r="BG63" s="513"/>
      <c r="BH63" s="513"/>
      <c r="BI63" s="513"/>
      <c r="BJ63" s="513"/>
      <c r="BK63" s="513"/>
      <c r="BL63" s="513"/>
      <c r="BM63" s="513"/>
      <c r="BN63" s="513"/>
      <c r="BO63" s="513"/>
      <c r="BP63" s="514"/>
      <c r="BQ63" s="582"/>
      <c r="BR63" s="583"/>
      <c r="BS63" s="583"/>
      <c r="BT63" s="583"/>
      <c r="BU63" s="583"/>
      <c r="BV63" s="583"/>
      <c r="BW63" s="583"/>
      <c r="BX63" s="583"/>
      <c r="BY63" s="583"/>
      <c r="BZ63" s="583"/>
      <c r="CA63" s="583"/>
      <c r="CB63" s="583"/>
      <c r="CC63" s="124"/>
      <c r="CD63" s="124"/>
      <c r="CE63" s="124"/>
      <c r="CH63" s="124"/>
    </row>
    <row r="64" spans="1:86" x14ac:dyDescent="0.2">
      <c r="A64" s="519">
        <v>3</v>
      </c>
      <c r="B64" s="520"/>
      <c r="C64" s="520"/>
      <c r="D64" s="523"/>
      <c r="E64" s="587" t="s">
        <v>61</v>
      </c>
      <c r="F64" s="588"/>
      <c r="G64" s="588"/>
      <c r="H64" s="588"/>
      <c r="I64" s="588"/>
      <c r="J64" s="588"/>
      <c r="K64" s="588"/>
      <c r="L64" s="588"/>
      <c r="M64" s="588"/>
      <c r="N64" s="588"/>
      <c r="O64" s="588"/>
      <c r="P64" s="588"/>
      <c r="Q64" s="588"/>
      <c r="R64" s="588"/>
      <c r="S64" s="588"/>
      <c r="T64" s="588"/>
      <c r="U64" s="588"/>
      <c r="V64" s="588"/>
      <c r="W64" s="588"/>
      <c r="X64" s="588"/>
      <c r="Y64" s="588"/>
      <c r="Z64" s="588"/>
      <c r="AA64" s="588"/>
      <c r="AB64" s="588"/>
      <c r="AC64" s="588"/>
      <c r="AD64" s="588"/>
      <c r="AE64" s="588"/>
      <c r="AF64" s="588"/>
      <c r="AG64" s="588"/>
      <c r="AH64" s="588"/>
      <c r="AI64" s="588"/>
      <c r="AJ64" s="588"/>
      <c r="AK64" s="588"/>
      <c r="AL64" s="588"/>
      <c r="AM64" s="588"/>
      <c r="AN64" s="588"/>
      <c r="AO64" s="588"/>
      <c r="AP64" s="588"/>
      <c r="AQ64" s="588"/>
      <c r="AR64" s="588"/>
      <c r="AS64" s="588"/>
      <c r="AT64" s="588"/>
      <c r="AU64" s="588"/>
      <c r="AV64" s="588"/>
      <c r="AW64" s="588"/>
      <c r="AX64" s="588"/>
      <c r="AY64" s="588"/>
      <c r="AZ64" s="588"/>
      <c r="BA64" s="588"/>
      <c r="BB64" s="588"/>
      <c r="BC64" s="588"/>
      <c r="BD64" s="589"/>
      <c r="BE64" s="584"/>
      <c r="BF64" s="585"/>
      <c r="BG64" s="585"/>
      <c r="BH64" s="585"/>
      <c r="BI64" s="585"/>
      <c r="BJ64" s="585"/>
      <c r="BK64" s="585"/>
      <c r="BL64" s="585"/>
      <c r="BM64" s="585"/>
      <c r="BN64" s="585"/>
      <c r="BO64" s="585"/>
      <c r="BP64" s="586"/>
      <c r="BQ64" s="580"/>
      <c r="BR64" s="581"/>
      <c r="BS64" s="581"/>
      <c r="BT64" s="581"/>
      <c r="BU64" s="581"/>
      <c r="BV64" s="581"/>
      <c r="BW64" s="581"/>
      <c r="BX64" s="581"/>
      <c r="BY64" s="581"/>
      <c r="BZ64" s="581"/>
      <c r="CA64" s="581"/>
      <c r="CB64" s="581"/>
      <c r="CC64" s="124"/>
      <c r="CD64" s="124"/>
      <c r="CE64" s="124"/>
      <c r="CH64" s="124"/>
    </row>
    <row r="65" spans="1:121" x14ac:dyDescent="0.2">
      <c r="A65" s="531"/>
      <c r="B65" s="532"/>
      <c r="C65" s="532"/>
      <c r="D65" s="533"/>
      <c r="E65" s="506" t="s">
        <v>62</v>
      </c>
      <c r="F65" s="507"/>
      <c r="G65" s="507"/>
      <c r="H65" s="507"/>
      <c r="I65" s="507"/>
      <c r="J65" s="507"/>
      <c r="K65" s="507"/>
      <c r="L65" s="507"/>
      <c r="M65" s="507"/>
      <c r="N65" s="507"/>
      <c r="O65" s="507"/>
      <c r="P65" s="507"/>
      <c r="Q65" s="507"/>
      <c r="R65" s="507"/>
      <c r="S65" s="507"/>
      <c r="T65" s="507"/>
      <c r="U65" s="507"/>
      <c r="V65" s="507"/>
      <c r="W65" s="507"/>
      <c r="X65" s="507"/>
      <c r="Y65" s="507"/>
      <c r="Z65" s="507"/>
      <c r="AA65" s="507"/>
      <c r="AB65" s="507"/>
      <c r="AC65" s="507"/>
      <c r="AD65" s="507"/>
      <c r="AE65" s="507"/>
      <c r="AF65" s="507"/>
      <c r="AG65" s="507"/>
      <c r="AH65" s="507"/>
      <c r="AI65" s="507"/>
      <c r="AJ65" s="507"/>
      <c r="AK65" s="507"/>
      <c r="AL65" s="507"/>
      <c r="AM65" s="507"/>
      <c r="AN65" s="507"/>
      <c r="AO65" s="507"/>
      <c r="AP65" s="507"/>
      <c r="AQ65" s="507"/>
      <c r="AR65" s="507"/>
      <c r="AS65" s="507"/>
      <c r="AT65" s="507"/>
      <c r="AU65" s="507"/>
      <c r="AV65" s="507"/>
      <c r="AW65" s="507"/>
      <c r="AX65" s="507"/>
      <c r="AY65" s="507"/>
      <c r="AZ65" s="507"/>
      <c r="BA65" s="507"/>
      <c r="BB65" s="507"/>
      <c r="BC65" s="507"/>
      <c r="BD65" s="508"/>
      <c r="BE65" s="512"/>
      <c r="BF65" s="513"/>
      <c r="BG65" s="513"/>
      <c r="BH65" s="513"/>
      <c r="BI65" s="513"/>
      <c r="BJ65" s="513"/>
      <c r="BK65" s="513"/>
      <c r="BL65" s="513"/>
      <c r="BM65" s="513"/>
      <c r="BN65" s="513"/>
      <c r="BO65" s="513"/>
      <c r="BP65" s="514"/>
      <c r="BQ65" s="582"/>
      <c r="BR65" s="583"/>
      <c r="BS65" s="583"/>
      <c r="BT65" s="583"/>
      <c r="BU65" s="583"/>
      <c r="BV65" s="583"/>
      <c r="BW65" s="583"/>
      <c r="BX65" s="583"/>
      <c r="BY65" s="583"/>
      <c r="BZ65" s="583"/>
      <c r="CA65" s="583"/>
      <c r="CB65" s="583"/>
      <c r="CC65" s="124"/>
      <c r="CD65" s="124"/>
      <c r="CE65" s="124"/>
      <c r="CH65" s="124"/>
    </row>
    <row r="66" spans="1:121" s="155" customFormat="1" x14ac:dyDescent="0.2">
      <c r="A66" s="590"/>
      <c r="B66" s="591"/>
      <c r="C66" s="591"/>
      <c r="D66" s="592"/>
      <c r="E66" s="593" t="s">
        <v>10</v>
      </c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  <c r="T66" s="594"/>
      <c r="U66" s="594"/>
      <c r="V66" s="594"/>
      <c r="W66" s="594"/>
      <c r="X66" s="594"/>
      <c r="Y66" s="594"/>
      <c r="Z66" s="594"/>
      <c r="AA66" s="594"/>
      <c r="AB66" s="594"/>
      <c r="AC66" s="594"/>
      <c r="AD66" s="594"/>
      <c r="AE66" s="594"/>
      <c r="AF66" s="594"/>
      <c r="AG66" s="594"/>
      <c r="AH66" s="594"/>
      <c r="AI66" s="594"/>
      <c r="AJ66" s="594"/>
      <c r="AK66" s="594"/>
      <c r="AL66" s="594"/>
      <c r="AM66" s="594"/>
      <c r="AN66" s="594"/>
      <c r="AO66" s="594"/>
      <c r="AP66" s="594"/>
      <c r="AQ66" s="594"/>
      <c r="AR66" s="594"/>
      <c r="AS66" s="594"/>
      <c r="AT66" s="594"/>
      <c r="AU66" s="594"/>
      <c r="AV66" s="594"/>
      <c r="AW66" s="594"/>
      <c r="AX66" s="594"/>
      <c r="AY66" s="594"/>
      <c r="AZ66" s="594"/>
      <c r="BA66" s="594"/>
      <c r="BB66" s="594"/>
      <c r="BC66" s="594"/>
      <c r="BD66" s="595"/>
      <c r="BE66" s="590" t="s">
        <v>11</v>
      </c>
      <c r="BF66" s="591"/>
      <c r="BG66" s="591"/>
      <c r="BH66" s="591"/>
      <c r="BI66" s="591"/>
      <c r="BJ66" s="591"/>
      <c r="BK66" s="591"/>
      <c r="BL66" s="591"/>
      <c r="BM66" s="591"/>
      <c r="BN66" s="591"/>
      <c r="BO66" s="591"/>
      <c r="BP66" s="592"/>
      <c r="BQ66" s="605">
        <f>11421594.23</f>
        <v>11421594.23</v>
      </c>
      <c r="BR66" s="606"/>
      <c r="BS66" s="606"/>
      <c r="BT66" s="606"/>
      <c r="BU66" s="606"/>
      <c r="BV66" s="606"/>
      <c r="BW66" s="606"/>
      <c r="BX66" s="606"/>
      <c r="BY66" s="606"/>
      <c r="BZ66" s="606"/>
      <c r="CA66" s="606"/>
      <c r="CB66" s="606"/>
      <c r="CC66" s="158"/>
      <c r="CD66" s="158"/>
      <c r="CE66" s="158"/>
      <c r="CF66" s="158"/>
      <c r="CG66" s="159"/>
      <c r="CH66" s="158"/>
      <c r="CI66" s="159"/>
      <c r="CJ66" s="159"/>
      <c r="CK66" s="159"/>
      <c r="CL66" s="159"/>
      <c r="CM66" s="159"/>
      <c r="CN66" s="159"/>
      <c r="CO66" s="159"/>
      <c r="CP66" s="159"/>
      <c r="CQ66" s="159"/>
      <c r="CR66" s="159"/>
      <c r="CS66" s="159"/>
      <c r="CT66" s="159"/>
      <c r="CU66" s="159"/>
      <c r="CV66" s="159"/>
      <c r="CW66" s="159"/>
      <c r="CX66" s="159"/>
      <c r="CY66" s="159"/>
      <c r="CZ66" s="159"/>
      <c r="DA66" s="159"/>
      <c r="DB66" s="159"/>
      <c r="DC66" s="159"/>
      <c r="DD66" s="159"/>
      <c r="DE66" s="159"/>
      <c r="DF66" s="159"/>
      <c r="DG66" s="159"/>
      <c r="DH66" s="159"/>
      <c r="DI66" s="159"/>
      <c r="DJ66" s="159"/>
      <c r="DK66" s="159"/>
      <c r="DL66" s="159"/>
      <c r="DM66" s="159"/>
      <c r="DN66" s="159"/>
      <c r="DO66" s="159"/>
      <c r="DP66" s="159"/>
      <c r="DQ66" s="159"/>
    </row>
    <row r="67" spans="1:121" s="10" customFormat="1" ht="11.25" x14ac:dyDescent="0.2">
      <c r="A67" s="596" t="s">
        <v>111</v>
      </c>
      <c r="B67" s="596"/>
      <c r="C67" s="596"/>
      <c r="D67" s="596"/>
      <c r="E67" s="596"/>
      <c r="F67" s="596"/>
      <c r="G67" s="596"/>
      <c r="H67" s="596"/>
      <c r="I67" s="596"/>
      <c r="J67" s="596"/>
      <c r="K67" s="596"/>
      <c r="L67" s="596"/>
      <c r="M67" s="596"/>
      <c r="N67" s="596"/>
      <c r="O67" s="596"/>
      <c r="P67" s="596"/>
      <c r="Q67" s="596"/>
      <c r="R67" s="596"/>
      <c r="S67" s="596"/>
      <c r="T67" s="596"/>
      <c r="U67" s="596"/>
      <c r="V67" s="596"/>
      <c r="W67" s="596"/>
      <c r="X67" s="596"/>
      <c r="Y67" s="596"/>
      <c r="Z67" s="596"/>
      <c r="AA67" s="596"/>
      <c r="AB67" s="596"/>
      <c r="AC67" s="596"/>
      <c r="AD67" s="596"/>
      <c r="AE67" s="596"/>
      <c r="AF67" s="596"/>
      <c r="AG67" s="596"/>
      <c r="AH67" s="596"/>
      <c r="AI67" s="596"/>
      <c r="AJ67" s="596"/>
      <c r="AK67" s="596"/>
      <c r="AL67" s="596"/>
      <c r="AM67" s="596"/>
      <c r="AN67" s="596"/>
      <c r="AO67" s="596"/>
      <c r="AP67" s="596"/>
      <c r="AQ67" s="596"/>
      <c r="AR67" s="596"/>
      <c r="AS67" s="596"/>
      <c r="AT67" s="596"/>
      <c r="AU67" s="596"/>
      <c r="AV67" s="596"/>
      <c r="AW67" s="596"/>
      <c r="AX67" s="596"/>
      <c r="AY67" s="596"/>
      <c r="AZ67" s="596"/>
      <c r="BA67" s="596"/>
      <c r="BB67" s="596"/>
      <c r="BC67" s="596"/>
      <c r="BD67" s="596"/>
      <c r="BE67" s="596"/>
      <c r="BF67" s="596"/>
      <c r="BG67" s="596"/>
      <c r="BH67" s="596"/>
      <c r="BI67" s="596"/>
      <c r="BJ67" s="596"/>
      <c r="BK67" s="596"/>
      <c r="BL67" s="596"/>
      <c r="BM67" s="596"/>
      <c r="BN67" s="596"/>
      <c r="BO67" s="596"/>
      <c r="BP67" s="596"/>
      <c r="BQ67" s="596"/>
      <c r="BR67" s="596"/>
      <c r="BS67" s="596"/>
      <c r="BT67" s="596"/>
      <c r="BU67" s="596"/>
      <c r="BV67" s="596"/>
      <c r="BW67" s="596"/>
      <c r="BX67" s="596"/>
      <c r="BY67" s="596"/>
      <c r="BZ67" s="596"/>
      <c r="CA67" s="596"/>
      <c r="CB67" s="596"/>
      <c r="CC67" s="146"/>
      <c r="CD67" s="146"/>
      <c r="CE67" s="146"/>
      <c r="CF67" s="146"/>
      <c r="CG67" s="26"/>
      <c r="CH67" s="14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</row>
    <row r="68" spans="1:121" s="10" customFormat="1" ht="11.25" x14ac:dyDescent="0.2">
      <c r="A68" s="596"/>
      <c r="B68" s="596"/>
      <c r="C68" s="596"/>
      <c r="D68" s="596"/>
      <c r="E68" s="596"/>
      <c r="F68" s="596"/>
      <c r="G68" s="596"/>
      <c r="H68" s="596"/>
      <c r="I68" s="596"/>
      <c r="J68" s="596"/>
      <c r="K68" s="596"/>
      <c r="L68" s="596"/>
      <c r="M68" s="596"/>
      <c r="N68" s="596"/>
      <c r="O68" s="596"/>
      <c r="P68" s="596"/>
      <c r="Q68" s="596"/>
      <c r="R68" s="596"/>
      <c r="S68" s="596"/>
      <c r="T68" s="596"/>
      <c r="U68" s="596"/>
      <c r="V68" s="596"/>
      <c r="W68" s="596"/>
      <c r="X68" s="596"/>
      <c r="Y68" s="596"/>
      <c r="Z68" s="596"/>
      <c r="AA68" s="596"/>
      <c r="AB68" s="596"/>
      <c r="AC68" s="596"/>
      <c r="AD68" s="596"/>
      <c r="AE68" s="596"/>
      <c r="AF68" s="596"/>
      <c r="AG68" s="596"/>
      <c r="AH68" s="596"/>
      <c r="AI68" s="596"/>
      <c r="AJ68" s="596"/>
      <c r="AK68" s="596"/>
      <c r="AL68" s="596"/>
      <c r="AM68" s="596"/>
      <c r="AN68" s="596"/>
      <c r="AO68" s="596"/>
      <c r="AP68" s="596"/>
      <c r="AQ68" s="596"/>
      <c r="AR68" s="596"/>
      <c r="AS68" s="596"/>
      <c r="AT68" s="596"/>
      <c r="AU68" s="596"/>
      <c r="AV68" s="596"/>
      <c r="AW68" s="596"/>
      <c r="AX68" s="596"/>
      <c r="AY68" s="596"/>
      <c r="AZ68" s="596"/>
      <c r="BA68" s="596"/>
      <c r="BB68" s="596"/>
      <c r="BC68" s="596"/>
      <c r="BD68" s="596"/>
      <c r="BE68" s="596"/>
      <c r="BF68" s="596"/>
      <c r="BG68" s="596"/>
      <c r="BH68" s="596"/>
      <c r="BI68" s="596"/>
      <c r="BJ68" s="596"/>
      <c r="BK68" s="596"/>
      <c r="BL68" s="596"/>
      <c r="BM68" s="596"/>
      <c r="BN68" s="596"/>
      <c r="BO68" s="596"/>
      <c r="BP68" s="596"/>
      <c r="BQ68" s="596"/>
      <c r="BR68" s="596"/>
      <c r="BS68" s="596"/>
      <c r="BT68" s="596"/>
      <c r="BU68" s="596"/>
      <c r="BV68" s="596"/>
      <c r="BW68" s="596"/>
      <c r="BX68" s="596"/>
      <c r="BY68" s="596"/>
      <c r="BZ68" s="596"/>
      <c r="CA68" s="596"/>
      <c r="CB68" s="596"/>
      <c r="CC68" s="146"/>
      <c r="CD68" s="146"/>
      <c r="CE68" s="146"/>
      <c r="CF68" s="146"/>
      <c r="CG68" s="26"/>
      <c r="CH68" s="14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</row>
    <row r="69" spans="1:121" s="10" customFormat="1" ht="11.25" x14ac:dyDescent="0.2">
      <c r="A69" s="596"/>
      <c r="B69" s="596"/>
      <c r="C69" s="596"/>
      <c r="D69" s="596"/>
      <c r="E69" s="596"/>
      <c r="F69" s="596"/>
      <c r="G69" s="596"/>
      <c r="H69" s="596"/>
      <c r="I69" s="596"/>
      <c r="J69" s="596"/>
      <c r="K69" s="596"/>
      <c r="L69" s="596"/>
      <c r="M69" s="596"/>
      <c r="N69" s="596"/>
      <c r="O69" s="596"/>
      <c r="P69" s="596"/>
      <c r="Q69" s="596"/>
      <c r="R69" s="596"/>
      <c r="S69" s="596"/>
      <c r="T69" s="596"/>
      <c r="U69" s="596"/>
      <c r="V69" s="596"/>
      <c r="W69" s="596"/>
      <c r="X69" s="596"/>
      <c r="Y69" s="596"/>
      <c r="Z69" s="596"/>
      <c r="AA69" s="596"/>
      <c r="AB69" s="596"/>
      <c r="AC69" s="596"/>
      <c r="AD69" s="596"/>
      <c r="AE69" s="596"/>
      <c r="AF69" s="596"/>
      <c r="AG69" s="596"/>
      <c r="AH69" s="596"/>
      <c r="AI69" s="596"/>
      <c r="AJ69" s="596"/>
      <c r="AK69" s="596"/>
      <c r="AL69" s="596"/>
      <c r="AM69" s="596"/>
      <c r="AN69" s="596"/>
      <c r="AO69" s="596"/>
      <c r="AP69" s="596"/>
      <c r="AQ69" s="596"/>
      <c r="AR69" s="596"/>
      <c r="AS69" s="596"/>
      <c r="AT69" s="596"/>
      <c r="AU69" s="596"/>
      <c r="AV69" s="596"/>
      <c r="AW69" s="596"/>
      <c r="AX69" s="596"/>
      <c r="AY69" s="596"/>
      <c r="AZ69" s="596"/>
      <c r="BA69" s="596"/>
      <c r="BB69" s="596"/>
      <c r="BC69" s="596"/>
      <c r="BD69" s="596"/>
      <c r="BE69" s="596"/>
      <c r="BF69" s="596"/>
      <c r="BG69" s="596"/>
      <c r="BH69" s="596"/>
      <c r="BI69" s="596"/>
      <c r="BJ69" s="596"/>
      <c r="BK69" s="596"/>
      <c r="BL69" s="596"/>
      <c r="BM69" s="596"/>
      <c r="BN69" s="596"/>
      <c r="BO69" s="596"/>
      <c r="BP69" s="596"/>
      <c r="BQ69" s="596"/>
      <c r="BR69" s="596"/>
      <c r="BS69" s="596"/>
      <c r="BT69" s="596"/>
      <c r="BU69" s="596"/>
      <c r="BV69" s="596"/>
      <c r="BW69" s="596"/>
      <c r="BX69" s="596"/>
      <c r="BY69" s="596"/>
      <c r="BZ69" s="596"/>
      <c r="CA69" s="596"/>
      <c r="CB69" s="596"/>
      <c r="CC69" s="146"/>
      <c r="CD69" s="146"/>
      <c r="CE69" s="146"/>
      <c r="CF69" s="146"/>
      <c r="CG69" s="26"/>
      <c r="CH69" s="14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</row>
    <row r="70" spans="1:121" x14ac:dyDescent="0.2">
      <c r="CC70" s="124"/>
      <c r="CD70" s="124"/>
      <c r="CE70" s="124"/>
      <c r="CH70" s="124"/>
    </row>
    <row r="71" spans="1:121" x14ac:dyDescent="0.2">
      <c r="CC71" s="124"/>
      <c r="CD71" s="124"/>
      <c r="CE71" s="124"/>
      <c r="CH71" s="125"/>
    </row>
    <row r="72" spans="1:121" x14ac:dyDescent="0.2">
      <c r="CC72" s="124"/>
      <c r="CD72" s="124"/>
      <c r="CE72" s="124"/>
      <c r="CH72" s="125"/>
    </row>
    <row r="73" spans="1:121" x14ac:dyDescent="0.2">
      <c r="CC73" s="124"/>
      <c r="CD73" s="124"/>
      <c r="CE73" s="124"/>
      <c r="CH73" s="125"/>
    </row>
    <row r="74" spans="1:121" x14ac:dyDescent="0.2">
      <c r="CC74" s="124"/>
      <c r="CD74" s="124"/>
      <c r="CE74" s="124"/>
      <c r="CH74" s="125"/>
    </row>
    <row r="75" spans="1:121" x14ac:dyDescent="0.2">
      <c r="CC75" s="124"/>
      <c r="CD75" s="124"/>
      <c r="CE75" s="124"/>
      <c r="CH75" s="125"/>
    </row>
    <row r="76" spans="1:121" x14ac:dyDescent="0.2">
      <c r="CC76" s="124"/>
      <c r="CD76" s="124"/>
      <c r="CE76" s="124"/>
      <c r="CH76" s="125"/>
    </row>
    <row r="77" spans="1:121" x14ac:dyDescent="0.2">
      <c r="CC77" s="124"/>
      <c r="CD77" s="124"/>
      <c r="CE77" s="124"/>
      <c r="CH77" s="125"/>
    </row>
    <row r="78" spans="1:121" x14ac:dyDescent="0.2">
      <c r="CC78" s="124"/>
      <c r="CD78" s="124"/>
      <c r="CE78" s="124"/>
      <c r="CH78" s="125"/>
    </row>
    <row r="79" spans="1:121" x14ac:dyDescent="0.2">
      <c r="CC79" s="124"/>
      <c r="CD79" s="124"/>
      <c r="CE79" s="124"/>
      <c r="CH79" s="125"/>
    </row>
    <row r="80" spans="1:121" x14ac:dyDescent="0.2">
      <c r="CC80" s="124"/>
      <c r="CD80" s="124"/>
      <c r="CE80" s="124"/>
      <c r="CH80" s="125"/>
    </row>
    <row r="81" spans="81:86" x14ac:dyDescent="0.2">
      <c r="CC81" s="124"/>
      <c r="CD81" s="124"/>
      <c r="CE81" s="124"/>
      <c r="CH81" s="125"/>
    </row>
    <row r="82" spans="81:86" x14ac:dyDescent="0.2">
      <c r="CC82" s="124"/>
      <c r="CD82" s="124"/>
      <c r="CE82" s="124"/>
      <c r="CH82" s="125"/>
    </row>
    <row r="83" spans="81:86" x14ac:dyDescent="0.2">
      <c r="CC83" s="124"/>
      <c r="CD83" s="124"/>
      <c r="CE83" s="124"/>
      <c r="CH83" s="125"/>
    </row>
    <row r="84" spans="81:86" x14ac:dyDescent="0.2">
      <c r="CC84" s="124"/>
      <c r="CD84" s="124"/>
      <c r="CE84" s="124"/>
      <c r="CH84" s="125"/>
    </row>
    <row r="85" spans="81:86" x14ac:dyDescent="0.2">
      <c r="CC85" s="124"/>
      <c r="CD85" s="124"/>
      <c r="CE85" s="124"/>
      <c r="CH85" s="125"/>
    </row>
    <row r="86" spans="81:86" x14ac:dyDescent="0.2">
      <c r="CC86" s="124"/>
      <c r="CD86" s="124"/>
      <c r="CE86" s="124"/>
      <c r="CH86" s="125"/>
    </row>
  </sheetData>
  <mergeCells count="235">
    <mergeCell ref="BQ66:CB66"/>
    <mergeCell ref="E63:BD63"/>
    <mergeCell ref="E64:BD64"/>
    <mergeCell ref="A46:D47"/>
    <mergeCell ref="AU24:BD24"/>
    <mergeCell ref="BE24:BO24"/>
    <mergeCell ref="BP24:CB24"/>
    <mergeCell ref="A25:D25"/>
    <mergeCell ref="E25:AI25"/>
    <mergeCell ref="AJ25:AT25"/>
    <mergeCell ref="AU25:BD25"/>
    <mergeCell ref="BE25:BO25"/>
    <mergeCell ref="BP25:CB25"/>
    <mergeCell ref="A27:D27"/>
    <mergeCell ref="E27:AI27"/>
    <mergeCell ref="AJ27:AT27"/>
    <mergeCell ref="AU27:BD27"/>
    <mergeCell ref="BE27:BO27"/>
    <mergeCell ref="BP27:CB27"/>
    <mergeCell ref="A26:D26"/>
    <mergeCell ref="E26:AI26"/>
    <mergeCell ref="AJ26:AT26"/>
    <mergeCell ref="AU26:BD26"/>
    <mergeCell ref="BE26:BO26"/>
    <mergeCell ref="E52:BD52"/>
    <mergeCell ref="BQ58:CB59"/>
    <mergeCell ref="E55:BD55"/>
    <mergeCell ref="E56:BD56"/>
    <mergeCell ref="E53:BD53"/>
    <mergeCell ref="A67:CB69"/>
    <mergeCell ref="A32:D32"/>
    <mergeCell ref="E32:AI32"/>
    <mergeCell ref="A13:D13"/>
    <mergeCell ref="E13:AI13"/>
    <mergeCell ref="BQ60:CB61"/>
    <mergeCell ref="A62:D63"/>
    <mergeCell ref="BE62:BP63"/>
    <mergeCell ref="BQ62:CB63"/>
    <mergeCell ref="BE64:BP65"/>
    <mergeCell ref="BQ64:CB65"/>
    <mergeCell ref="A64:D65"/>
    <mergeCell ref="BQ51:CB52"/>
    <mergeCell ref="BQ53:CB55"/>
    <mergeCell ref="BE53:BP55"/>
    <mergeCell ref="A53:D55"/>
    <mergeCell ref="A56:D57"/>
    <mergeCell ref="BE56:BP57"/>
    <mergeCell ref="BQ56:CB57"/>
    <mergeCell ref="A66:D66"/>
    <mergeCell ref="E66:BD66"/>
    <mergeCell ref="BE66:BP66"/>
    <mergeCell ref="E61:BD61"/>
    <mergeCell ref="E62:BD62"/>
    <mergeCell ref="A60:D61"/>
    <mergeCell ref="BE60:BP61"/>
    <mergeCell ref="E60:BD60"/>
    <mergeCell ref="E57:BD57"/>
    <mergeCell ref="E58:BD58"/>
    <mergeCell ref="E65:BD65"/>
    <mergeCell ref="A51:D52"/>
    <mergeCell ref="BE51:BP52"/>
    <mergeCell ref="BQ48:CB48"/>
    <mergeCell ref="A45:D45"/>
    <mergeCell ref="E45:BD45"/>
    <mergeCell ref="BE45:BP45"/>
    <mergeCell ref="BQ45:CB45"/>
    <mergeCell ref="E54:BD54"/>
    <mergeCell ref="E59:BD59"/>
    <mergeCell ref="E46:BD46"/>
    <mergeCell ref="A48:D48"/>
    <mergeCell ref="E48:BD48"/>
    <mergeCell ref="E49:BD49"/>
    <mergeCell ref="E50:BD50"/>
    <mergeCell ref="BE48:BP48"/>
    <mergeCell ref="BQ46:CB47"/>
    <mergeCell ref="BE46:BP47"/>
    <mergeCell ref="BE49:BP50"/>
    <mergeCell ref="BQ49:CB50"/>
    <mergeCell ref="A49:D50"/>
    <mergeCell ref="E47:BD47"/>
    <mergeCell ref="A58:D59"/>
    <mergeCell ref="BE58:BP59"/>
    <mergeCell ref="E51:BD51"/>
    <mergeCell ref="BQ44:CB44"/>
    <mergeCell ref="A42:D42"/>
    <mergeCell ref="A43:D43"/>
    <mergeCell ref="E42:BD42"/>
    <mergeCell ref="E43:BD43"/>
    <mergeCell ref="A44:D44"/>
    <mergeCell ref="E44:BD44"/>
    <mergeCell ref="BE44:BP44"/>
    <mergeCell ref="BQ42:CB42"/>
    <mergeCell ref="BQ43:CB43"/>
    <mergeCell ref="BE42:BP42"/>
    <mergeCell ref="A33:CB33"/>
    <mergeCell ref="A34:CB34"/>
    <mergeCell ref="A35:CB35"/>
    <mergeCell ref="BE40:BP40"/>
    <mergeCell ref="BE41:BP41"/>
    <mergeCell ref="BE43:BP43"/>
    <mergeCell ref="BQ40:CB40"/>
    <mergeCell ref="BQ41:CB41"/>
    <mergeCell ref="A40:D40"/>
    <mergeCell ref="A41:D41"/>
    <mergeCell ref="E40:BD40"/>
    <mergeCell ref="E41:BD41"/>
    <mergeCell ref="A21:D21"/>
    <mergeCell ref="AU32:BD32"/>
    <mergeCell ref="BE32:BO32"/>
    <mergeCell ref="BP32:CB32"/>
    <mergeCell ref="BE22:BO22"/>
    <mergeCell ref="BP22:CB22"/>
    <mergeCell ref="AJ21:AT21"/>
    <mergeCell ref="AU22:BD22"/>
    <mergeCell ref="A24:D24"/>
    <mergeCell ref="E24:AI24"/>
    <mergeCell ref="AJ24:AT24"/>
    <mergeCell ref="BP26:CB26"/>
    <mergeCell ref="A29:D29"/>
    <mergeCell ref="E29:AI29"/>
    <mergeCell ref="AJ29:AT29"/>
    <mergeCell ref="AU29:BD29"/>
    <mergeCell ref="BE29:BO29"/>
    <mergeCell ref="BP29:CB29"/>
    <mergeCell ref="A28:D28"/>
    <mergeCell ref="E28:AI28"/>
    <mergeCell ref="AJ28:AT28"/>
    <mergeCell ref="AU28:BD28"/>
    <mergeCell ref="BE28:BO28"/>
    <mergeCell ref="BP28:CB28"/>
    <mergeCell ref="A18:D18"/>
    <mergeCell ref="E18:AI18"/>
    <mergeCell ref="AJ18:AT18"/>
    <mergeCell ref="A19:D19"/>
    <mergeCell ref="E19:AI19"/>
    <mergeCell ref="AJ19:AT19"/>
    <mergeCell ref="AU19:BD19"/>
    <mergeCell ref="BE19:BO19"/>
    <mergeCell ref="BP19:CB19"/>
    <mergeCell ref="AU18:BD18"/>
    <mergeCell ref="BE18:BO18"/>
    <mergeCell ref="BP18:CB18"/>
    <mergeCell ref="A14:CB14"/>
    <mergeCell ref="A17:D17"/>
    <mergeCell ref="E17:AI17"/>
    <mergeCell ref="AJ17:AT17"/>
    <mergeCell ref="AU17:BD17"/>
    <mergeCell ref="BE17:BO17"/>
    <mergeCell ref="BP17:CB17"/>
    <mergeCell ref="AI15:CB15"/>
    <mergeCell ref="AJ13:AW13"/>
    <mergeCell ref="AX13:BF13"/>
    <mergeCell ref="BG13:BO13"/>
    <mergeCell ref="BP13:CB13"/>
    <mergeCell ref="A10:D10"/>
    <mergeCell ref="E10:AI10"/>
    <mergeCell ref="BG9:BO9"/>
    <mergeCell ref="E7:AI7"/>
    <mergeCell ref="E8:AI8"/>
    <mergeCell ref="E6:AI6"/>
    <mergeCell ref="BP11:CB11"/>
    <mergeCell ref="A12:D12"/>
    <mergeCell ref="E12:AI12"/>
    <mergeCell ref="AJ12:AW12"/>
    <mergeCell ref="AX12:BF12"/>
    <mergeCell ref="BG12:BO12"/>
    <mergeCell ref="BP12:CB12"/>
    <mergeCell ref="AJ10:AW10"/>
    <mergeCell ref="AX10:BF10"/>
    <mergeCell ref="BG10:BO10"/>
    <mergeCell ref="A11:D11"/>
    <mergeCell ref="AX11:BF11"/>
    <mergeCell ref="BG11:BO11"/>
    <mergeCell ref="E11:AI11"/>
    <mergeCell ref="AJ11:AW11"/>
    <mergeCell ref="AH4:CB4"/>
    <mergeCell ref="T2:CB2"/>
    <mergeCell ref="BG6:BO6"/>
    <mergeCell ref="BG7:BO7"/>
    <mergeCell ref="BG8:BO8"/>
    <mergeCell ref="AJ6:AW6"/>
    <mergeCell ref="A20:D20"/>
    <mergeCell ref="AU20:BD20"/>
    <mergeCell ref="BE20:BO20"/>
    <mergeCell ref="BP20:CB20"/>
    <mergeCell ref="E20:AI20"/>
    <mergeCell ref="BP9:CB9"/>
    <mergeCell ref="BP10:CB10"/>
    <mergeCell ref="E9:AI9"/>
    <mergeCell ref="AX9:BF9"/>
    <mergeCell ref="AJ7:AW7"/>
    <mergeCell ref="AJ8:AW8"/>
    <mergeCell ref="AJ9:AW9"/>
    <mergeCell ref="AX7:BF7"/>
    <mergeCell ref="AX8:BF8"/>
    <mergeCell ref="A6:D6"/>
    <mergeCell ref="A7:D7"/>
    <mergeCell ref="A8:D8"/>
    <mergeCell ref="A9:D9"/>
    <mergeCell ref="A1:CB1"/>
    <mergeCell ref="BP6:CB6"/>
    <mergeCell ref="BP7:CB7"/>
    <mergeCell ref="BP8:CB8"/>
    <mergeCell ref="AX6:BF6"/>
    <mergeCell ref="CH46:DI46"/>
    <mergeCell ref="CJ45:DG45"/>
    <mergeCell ref="A23:D23"/>
    <mergeCell ref="A22:D22"/>
    <mergeCell ref="AJ22:AT22"/>
    <mergeCell ref="E22:AI22"/>
    <mergeCell ref="AU23:BD23"/>
    <mergeCell ref="BE23:BO23"/>
    <mergeCell ref="BP23:CB23"/>
    <mergeCell ref="AJ32:AT32"/>
    <mergeCell ref="AJ20:AT20"/>
    <mergeCell ref="E23:AI23"/>
    <mergeCell ref="T36:CB36"/>
    <mergeCell ref="AH38:CB38"/>
    <mergeCell ref="BE21:BO21"/>
    <mergeCell ref="BP21:CB21"/>
    <mergeCell ref="AU21:BD21"/>
    <mergeCell ref="AJ23:AT23"/>
    <mergeCell ref="E21:AI21"/>
    <mergeCell ref="A30:D30"/>
    <mergeCell ref="E30:AI30"/>
    <mergeCell ref="AJ30:AT30"/>
    <mergeCell ref="AU30:BD30"/>
    <mergeCell ref="BE30:BO30"/>
    <mergeCell ref="BP30:CB30"/>
    <mergeCell ref="A31:D31"/>
    <mergeCell ref="E31:AI31"/>
    <mergeCell ref="AJ31:AT31"/>
    <mergeCell ref="AU31:BD31"/>
    <mergeCell ref="BE31:BO31"/>
    <mergeCell ref="BP31:CB31"/>
  </mergeCells>
  <phoneticPr fontId="0" type="noConversion"/>
  <pageMargins left="0.78740157480314965" right="0.39370078740157483" top="0.59055118110236227" bottom="0.39370078740157483" header="0.27559055118110237" footer="0.27559055118110237"/>
  <pageSetup paperSize="9" scale="85" orientation="portrait" r:id="rId1"/>
  <headerFooter alignWithMargins="0">
    <oddHeader>&amp;L&amp;"Arial,обычный"&amp;6Подготовлено с использованием системы ГАРАНТ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L173"/>
  <sheetViews>
    <sheetView view="pageBreakPreview" topLeftCell="A69" zoomScaleNormal="100" zoomScaleSheetLayoutView="100" workbookViewId="0">
      <selection activeCell="CD79" sqref="CD79"/>
    </sheetView>
  </sheetViews>
  <sheetFormatPr defaultColWidth="1.140625" defaultRowHeight="12.75" x14ac:dyDescent="0.2"/>
  <cols>
    <col min="1" max="3" width="1.140625" style="7"/>
    <col min="4" max="4" width="0.140625" style="7" customWidth="1"/>
    <col min="5" max="38" width="1.140625" style="7"/>
    <col min="39" max="39" width="3.85546875" style="7" customWidth="1"/>
    <col min="40" max="42" width="1.140625" style="7"/>
    <col min="43" max="43" width="2.42578125" style="7" customWidth="1"/>
    <col min="44" max="52" width="1.140625" style="7"/>
    <col min="53" max="53" width="3.85546875" style="7" customWidth="1"/>
    <col min="54" max="80" width="1.140625" style="7"/>
    <col min="81" max="81" width="22.85546875" style="64" customWidth="1"/>
    <col min="82" max="82" width="23.28515625" style="64" customWidth="1"/>
    <col min="83" max="83" width="25" style="105" customWidth="1"/>
    <col min="84" max="84" width="24.140625" style="111" customWidth="1"/>
    <col min="85" max="85" width="30.140625" style="127" customWidth="1"/>
    <col min="86" max="86" width="20.140625" style="7" customWidth="1"/>
    <col min="87" max="87" width="9.5703125" style="7" customWidth="1"/>
    <col min="88" max="121" width="20.140625" style="7" customWidth="1"/>
    <col min="122" max="16384" width="1.140625" style="7"/>
  </cols>
  <sheetData>
    <row r="1" spans="1:85" s="3" customFormat="1" ht="15.75" hidden="1" x14ac:dyDescent="0.25">
      <c r="A1" s="518" t="s">
        <v>64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  <c r="BK1" s="518"/>
      <c r="BL1" s="518"/>
      <c r="BM1" s="518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518"/>
      <c r="BZ1" s="518"/>
      <c r="CA1" s="518"/>
      <c r="CB1" s="518"/>
      <c r="CC1" s="62"/>
      <c r="CD1" s="62"/>
      <c r="CE1" s="103"/>
      <c r="CF1" s="128"/>
      <c r="CG1" s="131"/>
    </row>
    <row r="2" spans="1:85" s="6" customFormat="1" ht="9.75" hidden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63"/>
      <c r="CD2" s="63"/>
      <c r="CE2" s="104"/>
      <c r="CF2" s="129"/>
      <c r="CG2" s="132"/>
    </row>
    <row r="3" spans="1:85" s="3" customFormat="1" ht="15.75" hidden="1" x14ac:dyDescent="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625"/>
      <c r="T3" s="625"/>
      <c r="U3" s="625"/>
      <c r="V3" s="625"/>
      <c r="W3" s="625"/>
      <c r="X3" s="625"/>
      <c r="Y3" s="625"/>
      <c r="Z3" s="625"/>
      <c r="AA3" s="625"/>
      <c r="AB3" s="625"/>
      <c r="AC3" s="625"/>
      <c r="AD3" s="625"/>
      <c r="AE3" s="625"/>
      <c r="AF3" s="625"/>
      <c r="AG3" s="625"/>
      <c r="AH3" s="625"/>
      <c r="AI3" s="625"/>
      <c r="AJ3" s="625"/>
      <c r="AK3" s="625"/>
      <c r="AL3" s="625"/>
      <c r="AM3" s="625"/>
      <c r="AN3" s="625"/>
      <c r="AO3" s="625"/>
      <c r="AP3" s="625"/>
      <c r="AQ3" s="625"/>
      <c r="AR3" s="625"/>
      <c r="AS3" s="625"/>
      <c r="AT3" s="625"/>
      <c r="AU3" s="625"/>
      <c r="AV3" s="625"/>
      <c r="AW3" s="625"/>
      <c r="AX3" s="625"/>
      <c r="AY3" s="625"/>
      <c r="AZ3" s="625"/>
      <c r="BA3" s="625"/>
      <c r="BB3" s="625"/>
      <c r="BC3" s="625"/>
      <c r="BD3" s="625"/>
      <c r="BE3" s="625"/>
      <c r="BF3" s="625"/>
      <c r="BG3" s="625"/>
      <c r="BH3" s="625"/>
      <c r="BI3" s="625"/>
      <c r="BJ3" s="625"/>
      <c r="BK3" s="625"/>
      <c r="BL3" s="625"/>
      <c r="BM3" s="625"/>
      <c r="BN3" s="625"/>
      <c r="BO3" s="625"/>
      <c r="BP3" s="625"/>
      <c r="BQ3" s="625"/>
      <c r="BR3" s="625"/>
      <c r="BS3" s="625"/>
      <c r="BT3" s="625"/>
      <c r="BU3" s="625"/>
      <c r="BV3" s="625"/>
      <c r="BW3" s="625"/>
      <c r="BX3" s="625"/>
      <c r="BY3" s="625"/>
      <c r="BZ3" s="625"/>
      <c r="CA3" s="625"/>
      <c r="CB3" s="625"/>
      <c r="CC3" s="62"/>
      <c r="CD3" s="62"/>
      <c r="CE3" s="103"/>
      <c r="CF3" s="128"/>
      <c r="CG3" s="131"/>
    </row>
    <row r="4" spans="1:85" s="6" customFormat="1" ht="9.75" hidden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63"/>
      <c r="CD4" s="63"/>
      <c r="CE4" s="104"/>
      <c r="CF4" s="129"/>
      <c r="CG4" s="132"/>
    </row>
    <row r="5" spans="1:85" s="3" customFormat="1" ht="15.75" hidden="1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626"/>
      <c r="AI5" s="626"/>
      <c r="AJ5" s="626"/>
      <c r="AK5" s="626"/>
      <c r="AL5" s="626"/>
      <c r="AM5" s="626"/>
      <c r="AN5" s="626"/>
      <c r="AO5" s="626"/>
      <c r="AP5" s="626"/>
      <c r="AQ5" s="626"/>
      <c r="AR5" s="626"/>
      <c r="AS5" s="626"/>
      <c r="AT5" s="626"/>
      <c r="AU5" s="626"/>
      <c r="AV5" s="626"/>
      <c r="AW5" s="626"/>
      <c r="AX5" s="626"/>
      <c r="AY5" s="626"/>
      <c r="AZ5" s="626"/>
      <c r="BA5" s="626"/>
      <c r="BB5" s="626"/>
      <c r="BC5" s="626"/>
      <c r="BD5" s="626"/>
      <c r="BE5" s="626"/>
      <c r="BF5" s="626"/>
      <c r="BG5" s="626"/>
      <c r="BH5" s="626"/>
      <c r="BI5" s="626"/>
      <c r="BJ5" s="626"/>
      <c r="BK5" s="626"/>
      <c r="BL5" s="626"/>
      <c r="BM5" s="626"/>
      <c r="BN5" s="626"/>
      <c r="BO5" s="626"/>
      <c r="BP5" s="626"/>
      <c r="BQ5" s="626"/>
      <c r="BR5" s="626"/>
      <c r="BS5" s="626"/>
      <c r="BT5" s="626"/>
      <c r="BU5" s="626"/>
      <c r="BV5" s="626"/>
      <c r="BW5" s="626"/>
      <c r="BX5" s="626"/>
      <c r="BY5" s="626"/>
      <c r="BZ5" s="626"/>
      <c r="CA5" s="626"/>
      <c r="CB5" s="626"/>
      <c r="CC5" s="62"/>
      <c r="CD5" s="62"/>
      <c r="CE5" s="103"/>
      <c r="CF5" s="128"/>
      <c r="CG5" s="131"/>
    </row>
    <row r="6" spans="1:85" hidden="1" x14ac:dyDescent="0.2"/>
    <row r="7" spans="1:85" hidden="1" x14ac:dyDescent="0.2">
      <c r="A7" s="519" t="s">
        <v>5</v>
      </c>
      <c r="B7" s="520"/>
      <c r="C7" s="520"/>
      <c r="D7" s="523"/>
      <c r="E7" s="519" t="s">
        <v>63</v>
      </c>
      <c r="F7" s="520"/>
      <c r="G7" s="520"/>
      <c r="H7" s="520"/>
      <c r="I7" s="520"/>
      <c r="J7" s="520"/>
      <c r="K7" s="520"/>
      <c r="L7" s="520"/>
      <c r="M7" s="520"/>
      <c r="N7" s="520"/>
      <c r="O7" s="520"/>
      <c r="P7" s="520"/>
      <c r="Q7" s="520"/>
      <c r="R7" s="520"/>
      <c r="S7" s="520"/>
      <c r="T7" s="520"/>
      <c r="U7" s="520"/>
      <c r="V7" s="520"/>
      <c r="W7" s="520"/>
      <c r="X7" s="520"/>
      <c r="Y7" s="520"/>
      <c r="Z7" s="520"/>
      <c r="AA7" s="520"/>
      <c r="AB7" s="520"/>
      <c r="AC7" s="520"/>
      <c r="AD7" s="520"/>
      <c r="AE7" s="520"/>
      <c r="AF7" s="520"/>
      <c r="AG7" s="520"/>
      <c r="AH7" s="520"/>
      <c r="AI7" s="520"/>
      <c r="AJ7" s="520"/>
      <c r="AK7" s="520"/>
      <c r="AL7" s="520"/>
      <c r="AM7" s="523"/>
      <c r="AN7" s="519" t="s">
        <v>65</v>
      </c>
      <c r="AO7" s="520"/>
      <c r="AP7" s="520"/>
      <c r="AQ7" s="520"/>
      <c r="AR7" s="520"/>
      <c r="AS7" s="520"/>
      <c r="AT7" s="520"/>
      <c r="AU7" s="520"/>
      <c r="AV7" s="520"/>
      <c r="AW7" s="520"/>
      <c r="AX7" s="520"/>
      <c r="AY7" s="520"/>
      <c r="AZ7" s="520"/>
      <c r="BA7" s="523"/>
      <c r="BB7" s="519" t="s">
        <v>18</v>
      </c>
      <c r="BC7" s="520"/>
      <c r="BD7" s="520"/>
      <c r="BE7" s="520"/>
      <c r="BF7" s="520"/>
      <c r="BG7" s="520"/>
      <c r="BH7" s="520"/>
      <c r="BI7" s="520"/>
      <c r="BJ7" s="520"/>
      <c r="BK7" s="520"/>
      <c r="BL7" s="520"/>
      <c r="BM7" s="523"/>
      <c r="BN7" s="519" t="s">
        <v>67</v>
      </c>
      <c r="BO7" s="520"/>
      <c r="BP7" s="520"/>
      <c r="BQ7" s="520"/>
      <c r="BR7" s="520"/>
      <c r="BS7" s="520"/>
      <c r="BT7" s="520"/>
      <c r="BU7" s="520"/>
      <c r="BV7" s="520"/>
      <c r="BW7" s="520"/>
      <c r="BX7" s="520"/>
      <c r="BY7" s="520"/>
      <c r="BZ7" s="520"/>
      <c r="CA7" s="520"/>
      <c r="CB7" s="523"/>
    </row>
    <row r="8" spans="1:85" hidden="1" x14ac:dyDescent="0.2">
      <c r="A8" s="521" t="s">
        <v>6</v>
      </c>
      <c r="B8" s="522"/>
      <c r="C8" s="522"/>
      <c r="D8" s="537"/>
      <c r="E8" s="521"/>
      <c r="F8" s="522"/>
      <c r="G8" s="522"/>
      <c r="H8" s="522"/>
      <c r="I8" s="522"/>
      <c r="J8" s="522"/>
      <c r="K8" s="522"/>
      <c r="L8" s="522"/>
      <c r="M8" s="522"/>
      <c r="N8" s="522"/>
      <c r="O8" s="522"/>
      <c r="P8" s="522"/>
      <c r="Q8" s="522"/>
      <c r="R8" s="522"/>
      <c r="S8" s="522"/>
      <c r="T8" s="522"/>
      <c r="U8" s="522"/>
      <c r="V8" s="522"/>
      <c r="W8" s="522"/>
      <c r="X8" s="522"/>
      <c r="Y8" s="522"/>
      <c r="Z8" s="522"/>
      <c r="AA8" s="522"/>
      <c r="AB8" s="522"/>
      <c r="AC8" s="522"/>
      <c r="AD8" s="522"/>
      <c r="AE8" s="522"/>
      <c r="AF8" s="522"/>
      <c r="AG8" s="522"/>
      <c r="AH8" s="522"/>
      <c r="AI8" s="522"/>
      <c r="AJ8" s="522"/>
      <c r="AK8" s="522"/>
      <c r="AL8" s="522"/>
      <c r="AM8" s="537"/>
      <c r="AN8" s="521" t="s">
        <v>66</v>
      </c>
      <c r="AO8" s="522"/>
      <c r="AP8" s="522"/>
      <c r="AQ8" s="522"/>
      <c r="AR8" s="522"/>
      <c r="AS8" s="522"/>
      <c r="AT8" s="522"/>
      <c r="AU8" s="522"/>
      <c r="AV8" s="522"/>
      <c r="AW8" s="522"/>
      <c r="AX8" s="522"/>
      <c r="AY8" s="522"/>
      <c r="AZ8" s="522"/>
      <c r="BA8" s="537"/>
      <c r="BB8" s="521" t="s">
        <v>26</v>
      </c>
      <c r="BC8" s="522"/>
      <c r="BD8" s="522"/>
      <c r="BE8" s="522"/>
      <c r="BF8" s="522"/>
      <c r="BG8" s="522"/>
      <c r="BH8" s="522"/>
      <c r="BI8" s="522"/>
      <c r="BJ8" s="522"/>
      <c r="BK8" s="522"/>
      <c r="BL8" s="522"/>
      <c r="BM8" s="537"/>
      <c r="BN8" s="521" t="s">
        <v>68</v>
      </c>
      <c r="BO8" s="522"/>
      <c r="BP8" s="522"/>
      <c r="BQ8" s="522"/>
      <c r="BR8" s="522"/>
      <c r="BS8" s="522"/>
      <c r="BT8" s="522"/>
      <c r="BU8" s="522"/>
      <c r="BV8" s="522"/>
      <c r="BW8" s="522"/>
      <c r="BX8" s="522"/>
      <c r="BY8" s="522"/>
      <c r="BZ8" s="522"/>
      <c r="CA8" s="522"/>
      <c r="CB8" s="537"/>
    </row>
    <row r="9" spans="1:85" hidden="1" x14ac:dyDescent="0.2">
      <c r="A9" s="521"/>
      <c r="B9" s="522"/>
      <c r="C9" s="522"/>
      <c r="D9" s="537"/>
      <c r="E9" s="521"/>
      <c r="F9" s="522"/>
      <c r="G9" s="522"/>
      <c r="H9" s="522"/>
      <c r="I9" s="522"/>
      <c r="J9" s="522"/>
      <c r="K9" s="522"/>
      <c r="L9" s="522"/>
      <c r="M9" s="522"/>
      <c r="N9" s="522"/>
      <c r="O9" s="522"/>
      <c r="P9" s="522"/>
      <c r="Q9" s="522"/>
      <c r="R9" s="522"/>
      <c r="S9" s="522"/>
      <c r="T9" s="522"/>
      <c r="U9" s="522"/>
      <c r="V9" s="522"/>
      <c r="W9" s="522"/>
      <c r="X9" s="522"/>
      <c r="Y9" s="522"/>
      <c r="Z9" s="522"/>
      <c r="AA9" s="522"/>
      <c r="AB9" s="522"/>
      <c r="AC9" s="522"/>
      <c r="AD9" s="522"/>
      <c r="AE9" s="522"/>
      <c r="AF9" s="522"/>
      <c r="AG9" s="522"/>
      <c r="AH9" s="522"/>
      <c r="AI9" s="522"/>
      <c r="AJ9" s="522"/>
      <c r="AK9" s="522"/>
      <c r="AL9" s="522"/>
      <c r="AM9" s="537"/>
      <c r="AN9" s="521"/>
      <c r="AO9" s="522"/>
      <c r="AP9" s="522"/>
      <c r="AQ9" s="522"/>
      <c r="AR9" s="522"/>
      <c r="AS9" s="522"/>
      <c r="AT9" s="522"/>
      <c r="AU9" s="522"/>
      <c r="AV9" s="522"/>
      <c r="AW9" s="522"/>
      <c r="AX9" s="522"/>
      <c r="AY9" s="522"/>
      <c r="AZ9" s="522"/>
      <c r="BA9" s="537"/>
      <c r="BB9" s="521"/>
      <c r="BC9" s="522"/>
      <c r="BD9" s="522"/>
      <c r="BE9" s="522"/>
      <c r="BF9" s="522"/>
      <c r="BG9" s="522"/>
      <c r="BH9" s="522"/>
      <c r="BI9" s="522"/>
      <c r="BJ9" s="522"/>
      <c r="BK9" s="522"/>
      <c r="BL9" s="522"/>
      <c r="BM9" s="537"/>
      <c r="BN9" s="521" t="s">
        <v>77</v>
      </c>
      <c r="BO9" s="522"/>
      <c r="BP9" s="522"/>
      <c r="BQ9" s="522"/>
      <c r="BR9" s="522"/>
      <c r="BS9" s="522"/>
      <c r="BT9" s="522"/>
      <c r="BU9" s="522"/>
      <c r="BV9" s="522"/>
      <c r="BW9" s="522"/>
      <c r="BX9" s="522"/>
      <c r="BY9" s="522"/>
      <c r="BZ9" s="522"/>
      <c r="CA9" s="522"/>
      <c r="CB9" s="537"/>
    </row>
    <row r="10" spans="1:85" hidden="1" x14ac:dyDescent="0.2">
      <c r="A10" s="554">
        <v>1</v>
      </c>
      <c r="B10" s="555"/>
      <c r="C10" s="555"/>
      <c r="D10" s="556"/>
      <c r="E10" s="554">
        <v>2</v>
      </c>
      <c r="F10" s="555"/>
      <c r="G10" s="555"/>
      <c r="H10" s="555"/>
      <c r="I10" s="555"/>
      <c r="J10" s="555"/>
      <c r="K10" s="555"/>
      <c r="L10" s="555"/>
      <c r="M10" s="555"/>
      <c r="N10" s="555"/>
      <c r="O10" s="555"/>
      <c r="P10" s="555"/>
      <c r="Q10" s="555"/>
      <c r="R10" s="555"/>
      <c r="S10" s="555"/>
      <c r="T10" s="555"/>
      <c r="U10" s="555"/>
      <c r="V10" s="555"/>
      <c r="W10" s="555"/>
      <c r="X10" s="555"/>
      <c r="Y10" s="555"/>
      <c r="Z10" s="555"/>
      <c r="AA10" s="555"/>
      <c r="AB10" s="555"/>
      <c r="AC10" s="555"/>
      <c r="AD10" s="555"/>
      <c r="AE10" s="555"/>
      <c r="AF10" s="555"/>
      <c r="AG10" s="555"/>
      <c r="AH10" s="555"/>
      <c r="AI10" s="555"/>
      <c r="AJ10" s="555"/>
      <c r="AK10" s="555"/>
      <c r="AL10" s="555"/>
      <c r="AM10" s="556"/>
      <c r="AN10" s="554">
        <v>3</v>
      </c>
      <c r="AO10" s="555"/>
      <c r="AP10" s="555"/>
      <c r="AQ10" s="555"/>
      <c r="AR10" s="555"/>
      <c r="AS10" s="555"/>
      <c r="AT10" s="555"/>
      <c r="AU10" s="555"/>
      <c r="AV10" s="555"/>
      <c r="AW10" s="555"/>
      <c r="AX10" s="555"/>
      <c r="AY10" s="555"/>
      <c r="AZ10" s="555"/>
      <c r="BA10" s="556"/>
      <c r="BB10" s="554">
        <v>4</v>
      </c>
      <c r="BC10" s="555"/>
      <c r="BD10" s="555"/>
      <c r="BE10" s="555"/>
      <c r="BF10" s="555"/>
      <c r="BG10" s="555"/>
      <c r="BH10" s="555"/>
      <c r="BI10" s="555"/>
      <c r="BJ10" s="555"/>
      <c r="BK10" s="555"/>
      <c r="BL10" s="555"/>
      <c r="BM10" s="556"/>
      <c r="BN10" s="554">
        <v>5</v>
      </c>
      <c r="BO10" s="555"/>
      <c r="BP10" s="555"/>
      <c r="BQ10" s="555"/>
      <c r="BR10" s="555"/>
      <c r="BS10" s="555"/>
      <c r="BT10" s="555"/>
      <c r="BU10" s="555"/>
      <c r="BV10" s="555"/>
      <c r="BW10" s="555"/>
      <c r="BX10" s="555"/>
      <c r="BY10" s="555"/>
      <c r="BZ10" s="555"/>
      <c r="CA10" s="555"/>
      <c r="CB10" s="556"/>
    </row>
    <row r="11" spans="1:85" hidden="1" x14ac:dyDescent="0.2">
      <c r="A11" s="506"/>
      <c r="B11" s="507"/>
      <c r="C11" s="507"/>
      <c r="D11" s="508"/>
      <c r="E11" s="506"/>
      <c r="F11" s="507"/>
      <c r="G11" s="507"/>
      <c r="H11" s="507"/>
      <c r="I11" s="507"/>
      <c r="J11" s="507"/>
      <c r="K11" s="507"/>
      <c r="L11" s="507"/>
      <c r="M11" s="507"/>
      <c r="N11" s="507"/>
      <c r="O11" s="507"/>
      <c r="P11" s="507"/>
      <c r="Q11" s="507"/>
      <c r="R11" s="507"/>
      <c r="S11" s="507"/>
      <c r="T11" s="507"/>
      <c r="U11" s="507"/>
      <c r="V11" s="507"/>
      <c r="W11" s="507"/>
      <c r="X11" s="507"/>
      <c r="Y11" s="507"/>
      <c r="Z11" s="507"/>
      <c r="AA11" s="507"/>
      <c r="AB11" s="507"/>
      <c r="AC11" s="507"/>
      <c r="AD11" s="507"/>
      <c r="AE11" s="507"/>
      <c r="AF11" s="507"/>
      <c r="AG11" s="507"/>
      <c r="AH11" s="507"/>
      <c r="AI11" s="507"/>
      <c r="AJ11" s="507"/>
      <c r="AK11" s="507"/>
      <c r="AL11" s="507"/>
      <c r="AM11" s="508"/>
      <c r="AN11" s="512"/>
      <c r="AO11" s="513"/>
      <c r="AP11" s="513"/>
      <c r="AQ11" s="513"/>
      <c r="AR11" s="513"/>
      <c r="AS11" s="513"/>
      <c r="AT11" s="513"/>
      <c r="AU11" s="513"/>
      <c r="AV11" s="513"/>
      <c r="AW11" s="513"/>
      <c r="AX11" s="513"/>
      <c r="AY11" s="513"/>
      <c r="AZ11" s="513"/>
      <c r="BA11" s="514"/>
      <c r="BB11" s="577"/>
      <c r="BC11" s="578"/>
      <c r="BD11" s="578"/>
      <c r="BE11" s="578"/>
      <c r="BF11" s="578"/>
      <c r="BG11" s="578"/>
      <c r="BH11" s="578"/>
      <c r="BI11" s="578"/>
      <c r="BJ11" s="578"/>
      <c r="BK11" s="578"/>
      <c r="BL11" s="578"/>
      <c r="BM11" s="579"/>
      <c r="BN11" s="512"/>
      <c r="BO11" s="513"/>
      <c r="BP11" s="513"/>
      <c r="BQ11" s="513"/>
      <c r="BR11" s="513"/>
      <c r="BS11" s="513"/>
      <c r="BT11" s="513"/>
      <c r="BU11" s="513"/>
      <c r="BV11" s="513"/>
      <c r="BW11" s="513"/>
      <c r="BX11" s="513"/>
      <c r="BY11" s="513"/>
      <c r="BZ11" s="513"/>
      <c r="CA11" s="513"/>
      <c r="CB11" s="514"/>
    </row>
    <row r="12" spans="1:85" hidden="1" x14ac:dyDescent="0.2">
      <c r="A12" s="506"/>
      <c r="B12" s="507"/>
      <c r="C12" s="507"/>
      <c r="D12" s="508"/>
      <c r="E12" s="506"/>
      <c r="F12" s="507"/>
      <c r="G12" s="507"/>
      <c r="H12" s="507"/>
      <c r="I12" s="507"/>
      <c r="J12" s="507"/>
      <c r="K12" s="507"/>
      <c r="L12" s="507"/>
      <c r="M12" s="507"/>
      <c r="N12" s="507"/>
      <c r="O12" s="507"/>
      <c r="P12" s="507"/>
      <c r="Q12" s="507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507"/>
      <c r="AD12" s="507"/>
      <c r="AE12" s="507"/>
      <c r="AF12" s="507"/>
      <c r="AG12" s="507"/>
      <c r="AH12" s="507"/>
      <c r="AI12" s="507"/>
      <c r="AJ12" s="507"/>
      <c r="AK12" s="507"/>
      <c r="AL12" s="507"/>
      <c r="AM12" s="508"/>
      <c r="AN12" s="512"/>
      <c r="AO12" s="513"/>
      <c r="AP12" s="513"/>
      <c r="AQ12" s="513"/>
      <c r="AR12" s="513"/>
      <c r="AS12" s="513"/>
      <c r="AT12" s="513"/>
      <c r="AU12" s="513"/>
      <c r="AV12" s="513"/>
      <c r="AW12" s="513"/>
      <c r="AX12" s="513"/>
      <c r="AY12" s="513"/>
      <c r="AZ12" s="513"/>
      <c r="BA12" s="514"/>
      <c r="BB12" s="577"/>
      <c r="BC12" s="578"/>
      <c r="BD12" s="578"/>
      <c r="BE12" s="578"/>
      <c r="BF12" s="578"/>
      <c r="BG12" s="578"/>
      <c r="BH12" s="578"/>
      <c r="BI12" s="578"/>
      <c r="BJ12" s="578"/>
      <c r="BK12" s="578"/>
      <c r="BL12" s="578"/>
      <c r="BM12" s="579"/>
      <c r="BN12" s="512"/>
      <c r="BO12" s="513"/>
      <c r="BP12" s="513"/>
      <c r="BQ12" s="513"/>
      <c r="BR12" s="513"/>
      <c r="BS12" s="513"/>
      <c r="BT12" s="513"/>
      <c r="BU12" s="513"/>
      <c r="BV12" s="513"/>
      <c r="BW12" s="513"/>
      <c r="BX12" s="513"/>
      <c r="BY12" s="513"/>
      <c r="BZ12" s="513"/>
      <c r="CA12" s="513"/>
      <c r="CB12" s="514"/>
    </row>
    <row r="13" spans="1:85" hidden="1" x14ac:dyDescent="0.2">
      <c r="A13" s="506"/>
      <c r="B13" s="507"/>
      <c r="C13" s="507"/>
      <c r="D13" s="508"/>
      <c r="E13" s="577" t="s">
        <v>10</v>
      </c>
      <c r="F13" s="578"/>
      <c r="G13" s="578"/>
      <c r="H13" s="578"/>
      <c r="I13" s="578"/>
      <c r="J13" s="578"/>
      <c r="K13" s="578"/>
      <c r="L13" s="578"/>
      <c r="M13" s="578"/>
      <c r="N13" s="578"/>
      <c r="O13" s="578"/>
      <c r="P13" s="578"/>
      <c r="Q13" s="578"/>
      <c r="R13" s="578"/>
      <c r="S13" s="578"/>
      <c r="T13" s="578"/>
      <c r="U13" s="578"/>
      <c r="V13" s="578"/>
      <c r="W13" s="578"/>
      <c r="X13" s="578"/>
      <c r="Y13" s="578"/>
      <c r="Z13" s="578"/>
      <c r="AA13" s="578"/>
      <c r="AB13" s="578"/>
      <c r="AC13" s="578"/>
      <c r="AD13" s="578"/>
      <c r="AE13" s="578"/>
      <c r="AF13" s="578"/>
      <c r="AG13" s="578"/>
      <c r="AH13" s="578"/>
      <c r="AI13" s="578"/>
      <c r="AJ13" s="578"/>
      <c r="AK13" s="578"/>
      <c r="AL13" s="578"/>
      <c r="AM13" s="579"/>
      <c r="AN13" s="551" t="s">
        <v>11</v>
      </c>
      <c r="AO13" s="552"/>
      <c r="AP13" s="552"/>
      <c r="AQ13" s="552"/>
      <c r="AR13" s="552"/>
      <c r="AS13" s="552"/>
      <c r="AT13" s="552"/>
      <c r="AU13" s="552"/>
      <c r="AV13" s="552"/>
      <c r="AW13" s="552"/>
      <c r="AX13" s="552"/>
      <c r="AY13" s="552"/>
      <c r="AZ13" s="552"/>
      <c r="BA13" s="553"/>
      <c r="BB13" s="557" t="s">
        <v>11</v>
      </c>
      <c r="BC13" s="558"/>
      <c r="BD13" s="558"/>
      <c r="BE13" s="558"/>
      <c r="BF13" s="558"/>
      <c r="BG13" s="558"/>
      <c r="BH13" s="558"/>
      <c r="BI13" s="558"/>
      <c r="BJ13" s="558"/>
      <c r="BK13" s="558"/>
      <c r="BL13" s="558"/>
      <c r="BM13" s="559"/>
      <c r="BN13" s="512"/>
      <c r="BO13" s="513"/>
      <c r="BP13" s="513"/>
      <c r="BQ13" s="513"/>
      <c r="BR13" s="513"/>
      <c r="BS13" s="513"/>
      <c r="BT13" s="513"/>
      <c r="BU13" s="513"/>
      <c r="BV13" s="513"/>
      <c r="BW13" s="513"/>
      <c r="BX13" s="513"/>
      <c r="BY13" s="513"/>
      <c r="BZ13" s="513"/>
      <c r="CA13" s="513"/>
      <c r="CB13" s="514"/>
    </row>
    <row r="14" spans="1:85" s="1" customFormat="1" ht="15.75" hidden="1" x14ac:dyDescent="0.25">
      <c r="CC14" s="113"/>
      <c r="CD14" s="113"/>
      <c r="CE14" s="114"/>
      <c r="CF14" s="130"/>
      <c r="CG14" s="133"/>
    </row>
    <row r="15" spans="1:85" s="3" customFormat="1" ht="15.75" x14ac:dyDescent="0.25">
      <c r="A15" s="518" t="s">
        <v>112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  <c r="AW15" s="518"/>
      <c r="AX15" s="518"/>
      <c r="AY15" s="518"/>
      <c r="AZ15" s="518"/>
      <c r="BA15" s="518"/>
      <c r="BB15" s="518"/>
      <c r="BC15" s="518"/>
      <c r="BD15" s="518"/>
      <c r="BE15" s="518"/>
      <c r="BF15" s="518"/>
      <c r="BG15" s="518"/>
      <c r="BH15" s="518"/>
      <c r="BI15" s="518"/>
      <c r="BJ15" s="518"/>
      <c r="BK15" s="518"/>
      <c r="BL15" s="518"/>
      <c r="BM15" s="518"/>
      <c r="BN15" s="518"/>
      <c r="BO15" s="518"/>
      <c r="BP15" s="518"/>
      <c r="BQ15" s="518"/>
      <c r="BR15" s="518"/>
      <c r="BS15" s="518"/>
      <c r="BT15" s="518"/>
      <c r="BU15" s="518"/>
      <c r="BV15" s="518"/>
      <c r="BW15" s="518"/>
      <c r="BX15" s="518"/>
      <c r="BY15" s="518"/>
      <c r="BZ15" s="518"/>
      <c r="CA15" s="518"/>
      <c r="CB15" s="518"/>
      <c r="CC15" s="115"/>
      <c r="CD15" s="115"/>
      <c r="CE15" s="115"/>
      <c r="CF15" s="116"/>
      <c r="CG15" s="115"/>
    </row>
    <row r="16" spans="1:85" s="6" customFormat="1" ht="9.75" x14ac:dyDescent="0.2">
      <c r="A16" s="5" t="s">
        <v>195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117"/>
      <c r="CD16" s="117"/>
      <c r="CE16" s="117"/>
      <c r="CF16" s="118"/>
      <c r="CG16" s="117"/>
    </row>
    <row r="17" spans="1:88" s="3" customFormat="1" ht="15.75" x14ac:dyDescent="0.25">
      <c r="A17" s="3" t="s">
        <v>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624" t="s">
        <v>130</v>
      </c>
      <c r="T17" s="624"/>
      <c r="U17" s="624"/>
      <c r="V17" s="624"/>
      <c r="W17" s="624"/>
      <c r="X17" s="624"/>
      <c r="Y17" s="624"/>
      <c r="Z17" s="624"/>
      <c r="AA17" s="624"/>
      <c r="AB17" s="624"/>
      <c r="AC17" s="624"/>
      <c r="AD17" s="624"/>
      <c r="AE17" s="624"/>
      <c r="AF17" s="624"/>
      <c r="AG17" s="624"/>
      <c r="AH17" s="624"/>
      <c r="AI17" s="624"/>
      <c r="AJ17" s="624"/>
      <c r="AK17" s="624"/>
      <c r="AL17" s="624"/>
      <c r="AM17" s="624"/>
      <c r="AN17" s="624"/>
      <c r="AO17" s="624"/>
      <c r="AP17" s="624"/>
      <c r="AQ17" s="624"/>
      <c r="AR17" s="624"/>
      <c r="AS17" s="624"/>
      <c r="AT17" s="624"/>
      <c r="AU17" s="624"/>
      <c r="AV17" s="624"/>
      <c r="AW17" s="624"/>
      <c r="AX17" s="624"/>
      <c r="AY17" s="624"/>
      <c r="AZ17" s="624"/>
      <c r="BA17" s="624"/>
      <c r="BB17" s="624"/>
      <c r="BC17" s="624"/>
      <c r="BD17" s="624"/>
      <c r="BE17" s="624"/>
      <c r="BF17" s="624"/>
      <c r="BG17" s="624"/>
      <c r="BH17" s="624"/>
      <c r="BI17" s="624"/>
      <c r="BJ17" s="624"/>
      <c r="BK17" s="624"/>
      <c r="BL17" s="624"/>
      <c r="BM17" s="624"/>
      <c r="BN17" s="624"/>
      <c r="BO17" s="624"/>
      <c r="BP17" s="624"/>
      <c r="BQ17" s="624"/>
      <c r="BR17" s="624"/>
      <c r="BS17" s="624"/>
      <c r="BT17" s="624"/>
      <c r="BU17" s="624"/>
      <c r="BV17" s="624"/>
      <c r="BW17" s="624"/>
      <c r="BX17" s="624"/>
      <c r="BY17" s="624"/>
      <c r="BZ17" s="624"/>
      <c r="CA17" s="624"/>
      <c r="CB17" s="624"/>
      <c r="CC17" s="115"/>
      <c r="CD17" s="115"/>
      <c r="CE17" s="115"/>
      <c r="CF17" s="119"/>
      <c r="CG17" s="115"/>
    </row>
    <row r="18" spans="1:88" s="6" customFormat="1" ht="9.75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117"/>
      <c r="CD18" s="117"/>
      <c r="CE18" s="117"/>
      <c r="CF18" s="118"/>
      <c r="CG18" s="117"/>
    </row>
    <row r="19" spans="1:88" s="3" customFormat="1" ht="17.25" customHeight="1" x14ac:dyDescent="0.25">
      <c r="A19" s="3" t="s">
        <v>3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627" t="s">
        <v>129</v>
      </c>
      <c r="AI19" s="627"/>
      <c r="AJ19" s="627"/>
      <c r="AK19" s="627"/>
      <c r="AL19" s="627"/>
      <c r="AM19" s="627"/>
      <c r="AN19" s="627"/>
      <c r="AO19" s="627"/>
      <c r="AP19" s="627"/>
      <c r="AQ19" s="627"/>
      <c r="AR19" s="627"/>
      <c r="AS19" s="627"/>
      <c r="AT19" s="627"/>
      <c r="AU19" s="627"/>
      <c r="AV19" s="627"/>
      <c r="AW19" s="627"/>
      <c r="AX19" s="627"/>
      <c r="AY19" s="627"/>
      <c r="AZ19" s="627"/>
      <c r="BA19" s="627"/>
      <c r="BB19" s="627"/>
      <c r="BC19" s="627"/>
      <c r="BD19" s="627"/>
      <c r="BE19" s="627"/>
      <c r="BF19" s="627"/>
      <c r="BG19" s="627"/>
      <c r="BH19" s="627"/>
      <c r="BI19" s="627"/>
      <c r="BJ19" s="627"/>
      <c r="BK19" s="627"/>
      <c r="BL19" s="627"/>
      <c r="BM19" s="627"/>
      <c r="BN19" s="627"/>
      <c r="BO19" s="627"/>
      <c r="BP19" s="627"/>
      <c r="BQ19" s="627"/>
      <c r="BR19" s="627"/>
      <c r="BS19" s="627"/>
      <c r="BT19" s="627"/>
      <c r="BU19" s="627"/>
      <c r="BV19" s="627"/>
      <c r="BW19" s="627"/>
      <c r="BX19" s="627"/>
      <c r="BY19" s="627"/>
      <c r="BZ19" s="627"/>
      <c r="CA19" s="627"/>
      <c r="CB19" s="627"/>
      <c r="CC19" s="115"/>
      <c r="CD19" s="115"/>
      <c r="CE19" s="115"/>
      <c r="CF19" s="119"/>
      <c r="CG19" s="115"/>
    </row>
    <row r="20" spans="1:88" x14ac:dyDescent="0.2">
      <c r="CC20" s="41"/>
      <c r="CD20" s="41"/>
      <c r="CE20" s="41"/>
      <c r="CF20" s="27"/>
      <c r="CG20" s="41"/>
    </row>
    <row r="21" spans="1:88" x14ac:dyDescent="0.2">
      <c r="A21" s="519" t="s">
        <v>5</v>
      </c>
      <c r="B21" s="520"/>
      <c r="C21" s="520"/>
      <c r="D21" s="523"/>
      <c r="E21" s="519" t="s">
        <v>13</v>
      </c>
      <c r="F21" s="520"/>
      <c r="G21" s="520"/>
      <c r="H21" s="520"/>
      <c r="I21" s="520"/>
      <c r="J21" s="520"/>
      <c r="K21" s="520"/>
      <c r="L21" s="520"/>
      <c r="M21" s="520"/>
      <c r="N21" s="520"/>
      <c r="O21" s="520"/>
      <c r="P21" s="520"/>
      <c r="Q21" s="520"/>
      <c r="R21" s="520"/>
      <c r="S21" s="520"/>
      <c r="T21" s="520"/>
      <c r="U21" s="520"/>
      <c r="V21" s="520"/>
      <c r="W21" s="520"/>
      <c r="X21" s="520"/>
      <c r="Y21" s="520"/>
      <c r="Z21" s="520"/>
      <c r="AA21" s="520"/>
      <c r="AB21" s="520"/>
      <c r="AC21" s="520"/>
      <c r="AD21" s="520"/>
      <c r="AE21" s="520"/>
      <c r="AF21" s="520"/>
      <c r="AG21" s="520"/>
      <c r="AH21" s="520"/>
      <c r="AI21" s="520"/>
      <c r="AJ21" s="520"/>
      <c r="AK21" s="520"/>
      <c r="AL21" s="520"/>
      <c r="AM21" s="523"/>
      <c r="AN21" s="519" t="s">
        <v>69</v>
      </c>
      <c r="AO21" s="520"/>
      <c r="AP21" s="520"/>
      <c r="AQ21" s="520"/>
      <c r="AR21" s="520"/>
      <c r="AS21" s="520"/>
      <c r="AT21" s="520"/>
      <c r="AU21" s="520"/>
      <c r="AV21" s="520"/>
      <c r="AW21" s="520"/>
      <c r="AX21" s="520"/>
      <c r="AY21" s="520"/>
      <c r="AZ21" s="520"/>
      <c r="BA21" s="523"/>
      <c r="BB21" s="519" t="s">
        <v>72</v>
      </c>
      <c r="BC21" s="520"/>
      <c r="BD21" s="520"/>
      <c r="BE21" s="520"/>
      <c r="BF21" s="520"/>
      <c r="BG21" s="520"/>
      <c r="BH21" s="520"/>
      <c r="BI21" s="523"/>
      <c r="BJ21" s="519" t="s">
        <v>74</v>
      </c>
      <c r="BK21" s="520"/>
      <c r="BL21" s="520"/>
      <c r="BM21" s="520"/>
      <c r="BN21" s="520"/>
      <c r="BO21" s="520"/>
      <c r="BP21" s="520"/>
      <c r="BQ21" s="520"/>
      <c r="BR21" s="520"/>
      <c r="BS21" s="520"/>
      <c r="BT21" s="520"/>
      <c r="BU21" s="520"/>
      <c r="BV21" s="520"/>
      <c r="BW21" s="520"/>
      <c r="BX21" s="520"/>
      <c r="BY21" s="520"/>
      <c r="BZ21" s="520"/>
      <c r="CA21" s="520"/>
      <c r="CB21" s="520"/>
      <c r="CC21" s="41"/>
      <c r="CD21" s="41"/>
      <c r="CE21" s="41"/>
      <c r="CF21" s="27"/>
      <c r="CG21" s="41"/>
    </row>
    <row r="22" spans="1:88" x14ac:dyDescent="0.2">
      <c r="A22" s="521" t="s">
        <v>6</v>
      </c>
      <c r="B22" s="522"/>
      <c r="C22" s="522"/>
      <c r="D22" s="537"/>
      <c r="E22" s="521"/>
      <c r="F22" s="522"/>
      <c r="G22" s="522"/>
      <c r="H22" s="522"/>
      <c r="I22" s="522"/>
      <c r="J22" s="522"/>
      <c r="K22" s="522"/>
      <c r="L22" s="522"/>
      <c r="M22" s="522"/>
      <c r="N22" s="522"/>
      <c r="O22" s="522"/>
      <c r="P22" s="522"/>
      <c r="Q22" s="522"/>
      <c r="R22" s="522"/>
      <c r="S22" s="522"/>
      <c r="T22" s="522"/>
      <c r="U22" s="522"/>
      <c r="V22" s="522"/>
      <c r="W22" s="522"/>
      <c r="X22" s="522"/>
      <c r="Y22" s="522"/>
      <c r="Z22" s="522"/>
      <c r="AA22" s="522"/>
      <c r="AB22" s="522"/>
      <c r="AC22" s="522"/>
      <c r="AD22" s="522"/>
      <c r="AE22" s="522"/>
      <c r="AF22" s="522"/>
      <c r="AG22" s="522"/>
      <c r="AH22" s="522"/>
      <c r="AI22" s="522"/>
      <c r="AJ22" s="522"/>
      <c r="AK22" s="522"/>
      <c r="AL22" s="522"/>
      <c r="AM22" s="537"/>
      <c r="AN22" s="521" t="s">
        <v>70</v>
      </c>
      <c r="AO22" s="522"/>
      <c r="AP22" s="522"/>
      <c r="AQ22" s="522"/>
      <c r="AR22" s="522"/>
      <c r="AS22" s="522"/>
      <c r="AT22" s="522"/>
      <c r="AU22" s="522"/>
      <c r="AV22" s="522"/>
      <c r="AW22" s="522"/>
      <c r="AX22" s="522"/>
      <c r="AY22" s="522"/>
      <c r="AZ22" s="522"/>
      <c r="BA22" s="537"/>
      <c r="BB22" s="521" t="s">
        <v>73</v>
      </c>
      <c r="BC22" s="522"/>
      <c r="BD22" s="522"/>
      <c r="BE22" s="522"/>
      <c r="BF22" s="522"/>
      <c r="BG22" s="522"/>
      <c r="BH22" s="522"/>
      <c r="BI22" s="537"/>
      <c r="BJ22" s="521" t="s">
        <v>75</v>
      </c>
      <c r="BK22" s="522"/>
      <c r="BL22" s="522"/>
      <c r="BM22" s="522"/>
      <c r="BN22" s="522"/>
      <c r="BO22" s="522"/>
      <c r="BP22" s="522"/>
      <c r="BQ22" s="522"/>
      <c r="BR22" s="522"/>
      <c r="BS22" s="522"/>
      <c r="BT22" s="522"/>
      <c r="BU22" s="522"/>
      <c r="BV22" s="522"/>
      <c r="BW22" s="522"/>
      <c r="BX22" s="522"/>
      <c r="BY22" s="522"/>
      <c r="BZ22" s="522"/>
      <c r="CA22" s="522"/>
      <c r="CB22" s="522"/>
      <c r="CC22" s="41"/>
      <c r="CD22" s="41"/>
      <c r="CE22" s="41"/>
      <c r="CF22" s="27"/>
      <c r="CG22" s="41"/>
    </row>
    <row r="23" spans="1:88" x14ac:dyDescent="0.2">
      <c r="A23" s="521"/>
      <c r="B23" s="522"/>
      <c r="C23" s="522"/>
      <c r="D23" s="537"/>
      <c r="E23" s="521"/>
      <c r="F23" s="522"/>
      <c r="G23" s="522"/>
      <c r="H23" s="522"/>
      <c r="I23" s="522"/>
      <c r="J23" s="522"/>
      <c r="K23" s="522"/>
      <c r="L23" s="522"/>
      <c r="M23" s="522"/>
      <c r="N23" s="522"/>
      <c r="O23" s="522"/>
      <c r="P23" s="522"/>
      <c r="Q23" s="522"/>
      <c r="R23" s="522"/>
      <c r="S23" s="522"/>
      <c r="T23" s="522"/>
      <c r="U23" s="522"/>
      <c r="V23" s="522"/>
      <c r="W23" s="522"/>
      <c r="X23" s="522"/>
      <c r="Y23" s="522"/>
      <c r="Z23" s="522"/>
      <c r="AA23" s="522"/>
      <c r="AB23" s="522"/>
      <c r="AC23" s="522"/>
      <c r="AD23" s="522"/>
      <c r="AE23" s="522"/>
      <c r="AF23" s="522"/>
      <c r="AG23" s="522"/>
      <c r="AH23" s="522"/>
      <c r="AI23" s="522"/>
      <c r="AJ23" s="522"/>
      <c r="AK23" s="522"/>
      <c r="AL23" s="522"/>
      <c r="AM23" s="537"/>
      <c r="AN23" s="521"/>
      <c r="AO23" s="522"/>
      <c r="AP23" s="522"/>
      <c r="AQ23" s="522"/>
      <c r="AR23" s="522"/>
      <c r="AS23" s="522"/>
      <c r="AT23" s="522"/>
      <c r="AU23" s="522"/>
      <c r="AV23" s="522"/>
      <c r="AW23" s="522"/>
      <c r="AX23" s="522"/>
      <c r="AY23" s="522"/>
      <c r="AZ23" s="522"/>
      <c r="BA23" s="537"/>
      <c r="BB23" s="521"/>
      <c r="BC23" s="522"/>
      <c r="BD23" s="522"/>
      <c r="BE23" s="522"/>
      <c r="BF23" s="522"/>
      <c r="BG23" s="522"/>
      <c r="BH23" s="522"/>
      <c r="BI23" s="537"/>
      <c r="BJ23" s="521" t="s">
        <v>76</v>
      </c>
      <c r="BK23" s="522"/>
      <c r="BL23" s="522"/>
      <c r="BM23" s="522"/>
      <c r="BN23" s="522"/>
      <c r="BO23" s="522"/>
      <c r="BP23" s="522"/>
      <c r="BQ23" s="522"/>
      <c r="BR23" s="522"/>
      <c r="BS23" s="522"/>
      <c r="BT23" s="522"/>
      <c r="BU23" s="522"/>
      <c r="BV23" s="522"/>
      <c r="BW23" s="522"/>
      <c r="BX23" s="522"/>
      <c r="BY23" s="522"/>
      <c r="BZ23" s="522"/>
      <c r="CA23" s="522"/>
      <c r="CB23" s="522"/>
      <c r="CC23" s="41"/>
      <c r="CD23" s="41"/>
      <c r="CE23" s="41"/>
      <c r="CF23" s="27"/>
      <c r="CG23" s="41"/>
    </row>
    <row r="24" spans="1:88" x14ac:dyDescent="0.2">
      <c r="A24" s="521"/>
      <c r="B24" s="522"/>
      <c r="C24" s="522"/>
      <c r="D24" s="537"/>
      <c r="E24" s="521"/>
      <c r="F24" s="522"/>
      <c r="G24" s="522"/>
      <c r="H24" s="522"/>
      <c r="I24" s="522"/>
      <c r="J24" s="522"/>
      <c r="K24" s="522"/>
      <c r="L24" s="522"/>
      <c r="M24" s="522"/>
      <c r="N24" s="522"/>
      <c r="O24" s="522"/>
      <c r="P24" s="522"/>
      <c r="Q24" s="522"/>
      <c r="R24" s="522"/>
      <c r="S24" s="522"/>
      <c r="T24" s="522"/>
      <c r="U24" s="522"/>
      <c r="V24" s="522"/>
      <c r="W24" s="522"/>
      <c r="X24" s="522"/>
      <c r="Y24" s="522"/>
      <c r="Z24" s="522"/>
      <c r="AA24" s="522"/>
      <c r="AB24" s="522"/>
      <c r="AC24" s="522"/>
      <c r="AD24" s="522"/>
      <c r="AE24" s="522"/>
      <c r="AF24" s="522"/>
      <c r="AG24" s="522"/>
      <c r="AH24" s="522"/>
      <c r="AI24" s="522"/>
      <c r="AJ24" s="522"/>
      <c r="AK24" s="522"/>
      <c r="AL24" s="522"/>
      <c r="AM24" s="537"/>
      <c r="AN24" s="521"/>
      <c r="AO24" s="522"/>
      <c r="AP24" s="522"/>
      <c r="AQ24" s="522"/>
      <c r="AR24" s="522"/>
      <c r="AS24" s="522"/>
      <c r="AT24" s="522"/>
      <c r="AU24" s="522"/>
      <c r="AV24" s="522"/>
      <c r="AW24" s="522"/>
      <c r="AX24" s="522"/>
      <c r="AY24" s="522"/>
      <c r="AZ24" s="522"/>
      <c r="BA24" s="537"/>
      <c r="BB24" s="521"/>
      <c r="BC24" s="522"/>
      <c r="BD24" s="522"/>
      <c r="BE24" s="522"/>
      <c r="BF24" s="522"/>
      <c r="BG24" s="522"/>
      <c r="BH24" s="522"/>
      <c r="BI24" s="537"/>
      <c r="BJ24" s="521" t="s">
        <v>78</v>
      </c>
      <c r="BK24" s="522"/>
      <c r="BL24" s="522"/>
      <c r="BM24" s="522"/>
      <c r="BN24" s="522"/>
      <c r="BO24" s="522"/>
      <c r="BP24" s="522"/>
      <c r="BQ24" s="522"/>
      <c r="BR24" s="522"/>
      <c r="BS24" s="522"/>
      <c r="BT24" s="522"/>
      <c r="BU24" s="522"/>
      <c r="BV24" s="522"/>
      <c r="BW24" s="522"/>
      <c r="BX24" s="522"/>
      <c r="BY24" s="522"/>
      <c r="BZ24" s="522"/>
      <c r="CA24" s="522"/>
      <c r="CB24" s="522"/>
      <c r="CC24" s="41"/>
      <c r="CD24" s="41"/>
      <c r="CE24" s="41"/>
      <c r="CF24" s="27"/>
      <c r="CG24" s="41"/>
    </row>
    <row r="25" spans="1:88" ht="15.75" x14ac:dyDescent="0.25">
      <c r="A25" s="554">
        <v>1</v>
      </c>
      <c r="B25" s="555"/>
      <c r="C25" s="555"/>
      <c r="D25" s="556"/>
      <c r="E25" s="554">
        <v>2</v>
      </c>
      <c r="F25" s="555"/>
      <c r="G25" s="555"/>
      <c r="H25" s="555"/>
      <c r="I25" s="555"/>
      <c r="J25" s="555"/>
      <c r="K25" s="555"/>
      <c r="L25" s="555"/>
      <c r="M25" s="555"/>
      <c r="N25" s="555"/>
      <c r="O25" s="555"/>
      <c r="P25" s="555"/>
      <c r="Q25" s="555"/>
      <c r="R25" s="555"/>
      <c r="S25" s="555"/>
      <c r="T25" s="555"/>
      <c r="U25" s="555"/>
      <c r="V25" s="555"/>
      <c r="W25" s="555"/>
      <c r="X25" s="555"/>
      <c r="Y25" s="555"/>
      <c r="Z25" s="555"/>
      <c r="AA25" s="555"/>
      <c r="AB25" s="555"/>
      <c r="AC25" s="555"/>
      <c r="AD25" s="555"/>
      <c r="AE25" s="555"/>
      <c r="AF25" s="555"/>
      <c r="AG25" s="555"/>
      <c r="AH25" s="555"/>
      <c r="AI25" s="555"/>
      <c r="AJ25" s="555"/>
      <c r="AK25" s="555"/>
      <c r="AL25" s="555"/>
      <c r="AM25" s="556"/>
      <c r="AN25" s="554">
        <v>3</v>
      </c>
      <c r="AO25" s="555"/>
      <c r="AP25" s="555"/>
      <c r="AQ25" s="555"/>
      <c r="AR25" s="555"/>
      <c r="AS25" s="555"/>
      <c r="AT25" s="555"/>
      <c r="AU25" s="555"/>
      <c r="AV25" s="555"/>
      <c r="AW25" s="555"/>
      <c r="AX25" s="555"/>
      <c r="AY25" s="555"/>
      <c r="AZ25" s="555"/>
      <c r="BA25" s="556"/>
      <c r="BB25" s="554">
        <v>4</v>
      </c>
      <c r="BC25" s="555"/>
      <c r="BD25" s="555"/>
      <c r="BE25" s="555"/>
      <c r="BF25" s="555"/>
      <c r="BG25" s="555"/>
      <c r="BH25" s="555"/>
      <c r="BI25" s="556"/>
      <c r="BJ25" s="554">
        <v>5</v>
      </c>
      <c r="BK25" s="555"/>
      <c r="BL25" s="555"/>
      <c r="BM25" s="555"/>
      <c r="BN25" s="555"/>
      <c r="BO25" s="555"/>
      <c r="BP25" s="555"/>
      <c r="BQ25" s="555"/>
      <c r="BR25" s="555"/>
      <c r="BS25" s="555"/>
      <c r="BT25" s="555"/>
      <c r="BU25" s="555"/>
      <c r="BV25" s="555"/>
      <c r="BW25" s="555"/>
      <c r="BX25" s="555"/>
      <c r="BY25" s="555"/>
      <c r="BZ25" s="555"/>
      <c r="CA25" s="555"/>
      <c r="CB25" s="556"/>
      <c r="CC25" s="62" t="s">
        <v>193</v>
      </c>
      <c r="CD25" s="62" t="s">
        <v>194</v>
      </c>
      <c r="CE25" s="62" t="s">
        <v>298</v>
      </c>
      <c r="CF25" s="112" t="s">
        <v>296</v>
      </c>
      <c r="CG25" s="204" t="s">
        <v>332</v>
      </c>
      <c r="CH25" s="7" t="s">
        <v>334</v>
      </c>
      <c r="CI25" s="7" t="s">
        <v>333</v>
      </c>
      <c r="CJ25" s="7" t="s">
        <v>335</v>
      </c>
    </row>
    <row r="26" spans="1:88" x14ac:dyDescent="0.2">
      <c r="A26" s="506">
        <v>1</v>
      </c>
      <c r="B26" s="507"/>
      <c r="C26" s="507"/>
      <c r="D26" s="508"/>
      <c r="E26" s="506" t="s">
        <v>305</v>
      </c>
      <c r="F26" s="507"/>
      <c r="G26" s="507"/>
      <c r="H26" s="507"/>
      <c r="I26" s="507"/>
      <c r="J26" s="507"/>
      <c r="K26" s="507"/>
      <c r="L26" s="507"/>
      <c r="M26" s="507"/>
      <c r="N26" s="507"/>
      <c r="O26" s="507"/>
      <c r="P26" s="507"/>
      <c r="Q26" s="507"/>
      <c r="R26" s="507"/>
      <c r="S26" s="507"/>
      <c r="T26" s="507"/>
      <c r="U26" s="507"/>
      <c r="V26" s="507"/>
      <c r="W26" s="507"/>
      <c r="X26" s="507"/>
      <c r="Y26" s="507"/>
      <c r="Z26" s="507"/>
      <c r="AA26" s="507"/>
      <c r="AB26" s="507"/>
      <c r="AC26" s="507"/>
      <c r="AD26" s="507"/>
      <c r="AE26" s="507"/>
      <c r="AF26" s="507"/>
      <c r="AG26" s="507"/>
      <c r="AH26" s="507"/>
      <c r="AI26" s="507"/>
      <c r="AJ26" s="507"/>
      <c r="AK26" s="507"/>
      <c r="AL26" s="507"/>
      <c r="AM26" s="508"/>
      <c r="AN26" s="538"/>
      <c r="AO26" s="539"/>
      <c r="AP26" s="539"/>
      <c r="AQ26" s="539"/>
      <c r="AR26" s="539"/>
      <c r="AS26" s="539"/>
      <c r="AT26" s="539"/>
      <c r="AU26" s="539"/>
      <c r="AV26" s="539"/>
      <c r="AW26" s="539"/>
      <c r="AX26" s="539"/>
      <c r="AY26" s="539"/>
      <c r="AZ26" s="539"/>
      <c r="BA26" s="607"/>
      <c r="BB26" s="608"/>
      <c r="BC26" s="609"/>
      <c r="BD26" s="609"/>
      <c r="BE26" s="609"/>
      <c r="BF26" s="609"/>
      <c r="BG26" s="609"/>
      <c r="BH26" s="609"/>
      <c r="BI26" s="610"/>
      <c r="BJ26" s="538">
        <f>103359</f>
        <v>103359</v>
      </c>
      <c r="BK26" s="539"/>
      <c r="BL26" s="539"/>
      <c r="BM26" s="539"/>
      <c r="BN26" s="539"/>
      <c r="BO26" s="539"/>
      <c r="BP26" s="539"/>
      <c r="BQ26" s="539"/>
      <c r="BR26" s="539"/>
      <c r="BS26" s="539"/>
      <c r="BT26" s="539"/>
      <c r="BU26" s="539"/>
      <c r="BV26" s="539"/>
      <c r="BW26" s="539"/>
      <c r="BX26" s="539"/>
      <c r="BY26" s="539"/>
      <c r="BZ26" s="539"/>
      <c r="CA26" s="539"/>
      <c r="CB26" s="607"/>
      <c r="CC26" s="64">
        <f>26045+25976</f>
        <v>52021</v>
      </c>
      <c r="CD26" s="64">
        <f>26045+25976</f>
        <v>52021</v>
      </c>
      <c r="CE26" s="110">
        <f>BJ26-CD26</f>
        <v>51338</v>
      </c>
      <c r="CF26" s="106">
        <f>BJ26-CC26</f>
        <v>51338</v>
      </c>
      <c r="CG26" s="64"/>
      <c r="CH26" s="190">
        <f>BJ26-CG26</f>
        <v>103359</v>
      </c>
      <c r="CJ26" s="190">
        <f>CG26-CI26-BJ26</f>
        <v>-103359</v>
      </c>
    </row>
    <row r="27" spans="1:88" x14ac:dyDescent="0.2">
      <c r="A27" s="506">
        <v>2</v>
      </c>
      <c r="B27" s="507"/>
      <c r="C27" s="507"/>
      <c r="D27" s="508"/>
      <c r="E27" s="506" t="s">
        <v>306</v>
      </c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07"/>
      <c r="Z27" s="507"/>
      <c r="AA27" s="507"/>
      <c r="AB27" s="507"/>
      <c r="AC27" s="507"/>
      <c r="AD27" s="507"/>
      <c r="AE27" s="507"/>
      <c r="AF27" s="507"/>
      <c r="AG27" s="507"/>
      <c r="AH27" s="507"/>
      <c r="AI27" s="507"/>
      <c r="AJ27" s="507"/>
      <c r="AK27" s="507"/>
      <c r="AL27" s="507"/>
      <c r="AM27" s="508"/>
      <c r="AN27" s="538"/>
      <c r="AO27" s="539"/>
      <c r="AP27" s="539"/>
      <c r="AQ27" s="539"/>
      <c r="AR27" s="539"/>
      <c r="AS27" s="539"/>
      <c r="AT27" s="539"/>
      <c r="AU27" s="539"/>
      <c r="AV27" s="539"/>
      <c r="AW27" s="539"/>
      <c r="AX27" s="539"/>
      <c r="AY27" s="539"/>
      <c r="AZ27" s="539"/>
      <c r="BA27" s="607"/>
      <c r="BB27" s="608"/>
      <c r="BC27" s="609"/>
      <c r="BD27" s="609"/>
      <c r="BE27" s="609"/>
      <c r="BF27" s="609"/>
      <c r="BG27" s="609"/>
      <c r="BH27" s="609"/>
      <c r="BI27" s="610"/>
      <c r="BJ27" s="538">
        <f>427849</f>
        <v>427849</v>
      </c>
      <c r="BK27" s="539"/>
      <c r="BL27" s="539"/>
      <c r="BM27" s="539"/>
      <c r="BN27" s="539"/>
      <c r="BO27" s="539"/>
      <c r="BP27" s="539"/>
      <c r="BQ27" s="539"/>
      <c r="BR27" s="539"/>
      <c r="BS27" s="539"/>
      <c r="BT27" s="539"/>
      <c r="BU27" s="539"/>
      <c r="BV27" s="539"/>
      <c r="BW27" s="539"/>
      <c r="BX27" s="539"/>
      <c r="BY27" s="539"/>
      <c r="BZ27" s="539"/>
      <c r="CA27" s="539"/>
      <c r="CB27" s="607"/>
      <c r="CC27" s="64">
        <f>106962+106962</f>
        <v>213924</v>
      </c>
      <c r="CD27" s="64">
        <f>106962+106962</f>
        <v>213924</v>
      </c>
      <c r="CE27" s="110">
        <f>BJ27-CD27</f>
        <v>213925</v>
      </c>
      <c r="CF27" s="106">
        <f>BJ27-CD27</f>
        <v>213925</v>
      </c>
      <c r="CG27" s="64"/>
      <c r="CH27" s="190">
        <f>BJ27-CG27</f>
        <v>427849</v>
      </c>
      <c r="CJ27" s="190">
        <f>CG27-CI27-BJ27</f>
        <v>-427849</v>
      </c>
    </row>
    <row r="28" spans="1:88" x14ac:dyDescent="0.2">
      <c r="A28" s="506"/>
      <c r="B28" s="507"/>
      <c r="C28" s="507"/>
      <c r="D28" s="508"/>
      <c r="E28" s="506"/>
      <c r="F28" s="507"/>
      <c r="G28" s="507"/>
      <c r="H28" s="507"/>
      <c r="I28" s="507"/>
      <c r="J28" s="507"/>
      <c r="K28" s="507"/>
      <c r="L28" s="507"/>
      <c r="M28" s="507"/>
      <c r="N28" s="507"/>
      <c r="O28" s="507"/>
      <c r="P28" s="507"/>
      <c r="Q28" s="507"/>
      <c r="R28" s="507"/>
      <c r="S28" s="507"/>
      <c r="T28" s="507"/>
      <c r="U28" s="507"/>
      <c r="V28" s="507"/>
      <c r="W28" s="507"/>
      <c r="X28" s="507"/>
      <c r="Y28" s="507"/>
      <c r="Z28" s="507"/>
      <c r="AA28" s="507"/>
      <c r="AB28" s="507"/>
      <c r="AC28" s="507"/>
      <c r="AD28" s="507"/>
      <c r="AE28" s="507"/>
      <c r="AF28" s="507"/>
      <c r="AG28" s="507"/>
      <c r="AH28" s="507"/>
      <c r="AI28" s="507"/>
      <c r="AJ28" s="507"/>
      <c r="AK28" s="507"/>
      <c r="AL28" s="507"/>
      <c r="AM28" s="508"/>
      <c r="AN28" s="538"/>
      <c r="AO28" s="539"/>
      <c r="AP28" s="539"/>
      <c r="AQ28" s="539"/>
      <c r="AR28" s="539"/>
      <c r="AS28" s="539"/>
      <c r="AT28" s="539"/>
      <c r="AU28" s="539"/>
      <c r="AV28" s="539"/>
      <c r="AW28" s="539"/>
      <c r="AX28" s="539"/>
      <c r="AY28" s="539"/>
      <c r="AZ28" s="539"/>
      <c r="BA28" s="607"/>
      <c r="BB28" s="608"/>
      <c r="BC28" s="609"/>
      <c r="BD28" s="609"/>
      <c r="BE28" s="609"/>
      <c r="BF28" s="609"/>
      <c r="BG28" s="609"/>
      <c r="BH28" s="609"/>
      <c r="BI28" s="610"/>
      <c r="BJ28" s="538"/>
      <c r="BK28" s="539"/>
      <c r="BL28" s="539"/>
      <c r="BM28" s="539"/>
      <c r="BN28" s="539"/>
      <c r="BO28" s="539"/>
      <c r="BP28" s="539"/>
      <c r="BQ28" s="539"/>
      <c r="BR28" s="539"/>
      <c r="BS28" s="539"/>
      <c r="BT28" s="539"/>
      <c r="BU28" s="539"/>
      <c r="BV28" s="539"/>
      <c r="BW28" s="539"/>
      <c r="BX28" s="539"/>
      <c r="BY28" s="539"/>
      <c r="BZ28" s="539"/>
      <c r="CA28" s="539"/>
      <c r="CB28" s="607"/>
      <c r="CC28" s="41"/>
      <c r="CD28" s="41"/>
      <c r="CE28" s="41"/>
      <c r="CF28" s="27"/>
      <c r="CG28" s="41"/>
    </row>
    <row r="29" spans="1:88" s="18" customFormat="1" x14ac:dyDescent="0.2">
      <c r="A29" s="597"/>
      <c r="B29" s="598"/>
      <c r="C29" s="598"/>
      <c r="D29" s="599"/>
      <c r="E29" s="593" t="s">
        <v>10</v>
      </c>
      <c r="F29" s="594"/>
      <c r="G29" s="594"/>
      <c r="H29" s="594"/>
      <c r="I29" s="594"/>
      <c r="J29" s="594"/>
      <c r="K29" s="594"/>
      <c r="L29" s="594"/>
      <c r="M29" s="594"/>
      <c r="N29" s="594"/>
      <c r="O29" s="594"/>
      <c r="P29" s="594"/>
      <c r="Q29" s="594"/>
      <c r="R29" s="594"/>
      <c r="S29" s="594"/>
      <c r="T29" s="594"/>
      <c r="U29" s="594"/>
      <c r="V29" s="594"/>
      <c r="W29" s="594"/>
      <c r="X29" s="594"/>
      <c r="Y29" s="594"/>
      <c r="Z29" s="594"/>
      <c r="AA29" s="594"/>
      <c r="AB29" s="594"/>
      <c r="AC29" s="594"/>
      <c r="AD29" s="594"/>
      <c r="AE29" s="594"/>
      <c r="AF29" s="594"/>
      <c r="AG29" s="594"/>
      <c r="AH29" s="594"/>
      <c r="AI29" s="594"/>
      <c r="AJ29" s="594"/>
      <c r="AK29" s="594"/>
      <c r="AL29" s="594"/>
      <c r="AM29" s="595"/>
      <c r="AN29" s="593"/>
      <c r="AO29" s="594"/>
      <c r="AP29" s="594"/>
      <c r="AQ29" s="594"/>
      <c r="AR29" s="594"/>
      <c r="AS29" s="594"/>
      <c r="AT29" s="594"/>
      <c r="AU29" s="594"/>
      <c r="AV29" s="594"/>
      <c r="AW29" s="594"/>
      <c r="AX29" s="594"/>
      <c r="AY29" s="594"/>
      <c r="AZ29" s="594"/>
      <c r="BA29" s="595"/>
      <c r="BB29" s="590" t="s">
        <v>11</v>
      </c>
      <c r="BC29" s="591"/>
      <c r="BD29" s="591"/>
      <c r="BE29" s="591"/>
      <c r="BF29" s="591"/>
      <c r="BG29" s="591"/>
      <c r="BH29" s="591"/>
      <c r="BI29" s="592"/>
      <c r="BJ29" s="541">
        <f>SUM(BJ26:CB28)</f>
        <v>531208</v>
      </c>
      <c r="BK29" s="542"/>
      <c r="BL29" s="542"/>
      <c r="BM29" s="542"/>
      <c r="BN29" s="542"/>
      <c r="BO29" s="542"/>
      <c r="BP29" s="542"/>
      <c r="BQ29" s="542"/>
      <c r="BR29" s="542"/>
      <c r="BS29" s="542"/>
      <c r="BT29" s="542"/>
      <c r="BU29" s="542"/>
      <c r="BV29" s="542"/>
      <c r="BW29" s="542"/>
      <c r="BX29" s="542"/>
      <c r="BY29" s="542"/>
      <c r="BZ29" s="542"/>
      <c r="CA29" s="542"/>
      <c r="CB29" s="542"/>
      <c r="CC29" s="120"/>
      <c r="CD29" s="120"/>
      <c r="CE29" s="120"/>
      <c r="CF29" s="71"/>
      <c r="CG29" s="120"/>
    </row>
    <row r="30" spans="1:88" s="3" customFormat="1" ht="15.75" x14ac:dyDescent="0.25">
      <c r="A30" s="518" t="s">
        <v>309</v>
      </c>
      <c r="B30" s="518"/>
      <c r="C30" s="518"/>
      <c r="D30" s="518"/>
      <c r="E30" s="518"/>
      <c r="F30" s="518"/>
      <c r="G30" s="518"/>
      <c r="H30" s="518"/>
      <c r="I30" s="518"/>
      <c r="J30" s="518"/>
      <c r="K30" s="518"/>
      <c r="L30" s="518"/>
      <c r="M30" s="518"/>
      <c r="N30" s="518"/>
      <c r="O30" s="518"/>
      <c r="P30" s="518"/>
      <c r="Q30" s="518"/>
      <c r="R30" s="518"/>
      <c r="S30" s="518"/>
      <c r="T30" s="518"/>
      <c r="U30" s="518"/>
      <c r="V30" s="518"/>
      <c r="W30" s="518"/>
      <c r="X30" s="518"/>
      <c r="Y30" s="518"/>
      <c r="Z30" s="518"/>
      <c r="AA30" s="518"/>
      <c r="AB30" s="518"/>
      <c r="AC30" s="518"/>
      <c r="AD30" s="518"/>
      <c r="AE30" s="518"/>
      <c r="AF30" s="518"/>
      <c r="AG30" s="518"/>
      <c r="AH30" s="518"/>
      <c r="AI30" s="518"/>
      <c r="AJ30" s="518"/>
      <c r="AK30" s="518"/>
      <c r="AL30" s="518"/>
      <c r="AM30" s="518"/>
      <c r="AN30" s="518"/>
      <c r="AO30" s="518"/>
      <c r="AP30" s="518"/>
      <c r="AQ30" s="518"/>
      <c r="AR30" s="518"/>
      <c r="AS30" s="518"/>
      <c r="AT30" s="518"/>
      <c r="AU30" s="518"/>
      <c r="AV30" s="518"/>
      <c r="AW30" s="518"/>
      <c r="AX30" s="518"/>
      <c r="AY30" s="518"/>
      <c r="AZ30" s="518"/>
      <c r="BA30" s="518"/>
      <c r="BB30" s="518"/>
      <c r="BC30" s="518"/>
      <c r="BD30" s="518"/>
      <c r="BE30" s="518"/>
      <c r="BF30" s="518"/>
      <c r="BG30" s="518"/>
      <c r="BH30" s="518"/>
      <c r="BI30" s="518"/>
      <c r="BJ30" s="518"/>
      <c r="BK30" s="518"/>
      <c r="BL30" s="518"/>
      <c r="BM30" s="518"/>
      <c r="BN30" s="518"/>
      <c r="BO30" s="518"/>
      <c r="BP30" s="518"/>
      <c r="BQ30" s="518"/>
      <c r="BR30" s="518"/>
      <c r="BS30" s="518"/>
      <c r="BT30" s="518"/>
      <c r="BU30" s="518"/>
      <c r="BV30" s="518"/>
      <c r="BW30" s="518"/>
      <c r="BX30" s="518"/>
      <c r="BY30" s="518"/>
      <c r="BZ30" s="518"/>
      <c r="CA30" s="518"/>
      <c r="CB30" s="518"/>
      <c r="CC30" s="115"/>
      <c r="CD30" s="115"/>
      <c r="CE30" s="115"/>
      <c r="CF30" s="115"/>
      <c r="CG30" s="119"/>
    </row>
    <row r="31" spans="1:88" s="6" customFormat="1" ht="9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117"/>
      <c r="CD31" s="117"/>
      <c r="CE31" s="117"/>
      <c r="CF31" s="118"/>
      <c r="CG31" s="117"/>
    </row>
    <row r="32" spans="1:88" s="3" customFormat="1" ht="15.75" x14ac:dyDescent="0.25">
      <c r="A32" s="3" t="s">
        <v>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624" t="s">
        <v>202</v>
      </c>
      <c r="T32" s="624"/>
      <c r="U32" s="624"/>
      <c r="V32" s="624"/>
      <c r="W32" s="624"/>
      <c r="X32" s="624"/>
      <c r="Y32" s="624"/>
      <c r="Z32" s="624"/>
      <c r="AA32" s="624"/>
      <c r="AB32" s="624"/>
      <c r="AC32" s="624"/>
      <c r="AD32" s="624"/>
      <c r="AE32" s="624"/>
      <c r="AF32" s="624"/>
      <c r="AG32" s="624"/>
      <c r="AH32" s="624"/>
      <c r="AI32" s="624"/>
      <c r="AJ32" s="624"/>
      <c r="AK32" s="624"/>
      <c r="AL32" s="624"/>
      <c r="AM32" s="624"/>
      <c r="AN32" s="624"/>
      <c r="AO32" s="624"/>
      <c r="AP32" s="624"/>
      <c r="AQ32" s="624"/>
      <c r="AR32" s="624"/>
      <c r="AS32" s="624"/>
      <c r="AT32" s="624"/>
      <c r="AU32" s="624"/>
      <c r="AV32" s="624"/>
      <c r="AW32" s="624"/>
      <c r="AX32" s="624"/>
      <c r="AY32" s="624"/>
      <c r="AZ32" s="624"/>
      <c r="BA32" s="624"/>
      <c r="BB32" s="624"/>
      <c r="BC32" s="624"/>
      <c r="BD32" s="624"/>
      <c r="BE32" s="624"/>
      <c r="BF32" s="624"/>
      <c r="BG32" s="624"/>
      <c r="BH32" s="624"/>
      <c r="BI32" s="624"/>
      <c r="BJ32" s="624"/>
      <c r="BK32" s="624"/>
      <c r="BL32" s="624"/>
      <c r="BM32" s="624"/>
      <c r="BN32" s="624"/>
      <c r="BO32" s="624"/>
      <c r="BP32" s="624"/>
      <c r="BQ32" s="624"/>
      <c r="BR32" s="624"/>
      <c r="BS32" s="624"/>
      <c r="BT32" s="624"/>
      <c r="BU32" s="624"/>
      <c r="BV32" s="624"/>
      <c r="BW32" s="624"/>
      <c r="BX32" s="624"/>
      <c r="BY32" s="624"/>
      <c r="BZ32" s="624"/>
      <c r="CA32" s="624"/>
      <c r="CB32" s="624"/>
      <c r="CC32" s="115"/>
      <c r="CD32" s="115"/>
      <c r="CE32" s="115"/>
      <c r="CF32" s="119"/>
      <c r="CG32" s="115"/>
    </row>
    <row r="33" spans="1:85" s="6" customFormat="1" ht="9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117"/>
      <c r="CD33" s="117"/>
      <c r="CE33" s="117"/>
      <c r="CF33" s="118"/>
      <c r="CG33" s="117"/>
    </row>
    <row r="34" spans="1:85" s="3" customFormat="1" ht="17.25" customHeight="1" x14ac:dyDescent="0.25">
      <c r="A34" s="3" t="s">
        <v>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627" t="s">
        <v>129</v>
      </c>
      <c r="AI34" s="627"/>
      <c r="AJ34" s="627"/>
      <c r="AK34" s="627"/>
      <c r="AL34" s="627"/>
      <c r="AM34" s="627"/>
      <c r="AN34" s="627"/>
      <c r="AO34" s="627"/>
      <c r="AP34" s="627"/>
      <c r="AQ34" s="627"/>
      <c r="AR34" s="627"/>
      <c r="AS34" s="627"/>
      <c r="AT34" s="627"/>
      <c r="AU34" s="627"/>
      <c r="AV34" s="627"/>
      <c r="AW34" s="627"/>
      <c r="AX34" s="627"/>
      <c r="AY34" s="627"/>
      <c r="AZ34" s="627"/>
      <c r="BA34" s="627"/>
      <c r="BB34" s="627"/>
      <c r="BC34" s="627"/>
      <c r="BD34" s="627"/>
      <c r="BE34" s="627"/>
      <c r="BF34" s="627"/>
      <c r="BG34" s="627"/>
      <c r="BH34" s="627"/>
      <c r="BI34" s="627"/>
      <c r="BJ34" s="627"/>
      <c r="BK34" s="627"/>
      <c r="BL34" s="627"/>
      <c r="BM34" s="627"/>
      <c r="BN34" s="627"/>
      <c r="BO34" s="627"/>
      <c r="BP34" s="627"/>
      <c r="BQ34" s="627"/>
      <c r="BR34" s="627"/>
      <c r="BS34" s="627"/>
      <c r="BT34" s="627"/>
      <c r="BU34" s="627"/>
      <c r="BV34" s="627"/>
      <c r="BW34" s="627"/>
      <c r="BX34" s="627"/>
      <c r="BY34" s="627"/>
      <c r="BZ34" s="627"/>
      <c r="CA34" s="627"/>
      <c r="CB34" s="627"/>
      <c r="CC34" s="115"/>
      <c r="CD34" s="115"/>
      <c r="CE34" s="115"/>
      <c r="CF34" s="119"/>
      <c r="CG34" s="115"/>
    </row>
    <row r="35" spans="1:85" x14ac:dyDescent="0.2">
      <c r="CC35" s="41"/>
      <c r="CD35" s="41"/>
      <c r="CE35" s="41"/>
      <c r="CF35" s="27"/>
      <c r="CG35" s="41"/>
    </row>
    <row r="36" spans="1:85" x14ac:dyDescent="0.2">
      <c r="A36" s="519" t="s">
        <v>5</v>
      </c>
      <c r="B36" s="520"/>
      <c r="C36" s="520"/>
      <c r="D36" s="523"/>
      <c r="E36" s="519" t="s">
        <v>13</v>
      </c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3"/>
      <c r="AN36" s="519" t="s">
        <v>69</v>
      </c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3"/>
      <c r="BB36" s="519" t="s">
        <v>72</v>
      </c>
      <c r="BC36" s="520"/>
      <c r="BD36" s="520"/>
      <c r="BE36" s="520"/>
      <c r="BF36" s="520"/>
      <c r="BG36" s="520"/>
      <c r="BH36" s="520"/>
      <c r="BI36" s="523"/>
      <c r="BJ36" s="519" t="s">
        <v>74</v>
      </c>
      <c r="BK36" s="520"/>
      <c r="BL36" s="520"/>
      <c r="BM36" s="520"/>
      <c r="BN36" s="520"/>
      <c r="BO36" s="520"/>
      <c r="BP36" s="520"/>
      <c r="BQ36" s="520"/>
      <c r="BR36" s="520"/>
      <c r="BS36" s="520"/>
      <c r="BT36" s="520"/>
      <c r="BU36" s="520"/>
      <c r="BV36" s="520"/>
      <c r="BW36" s="520"/>
      <c r="BX36" s="520"/>
      <c r="BY36" s="520"/>
      <c r="BZ36" s="520"/>
      <c r="CA36" s="520"/>
      <c r="CB36" s="520"/>
      <c r="CC36" s="41"/>
      <c r="CD36" s="41"/>
      <c r="CE36" s="41"/>
      <c r="CF36" s="27"/>
      <c r="CG36" s="41"/>
    </row>
    <row r="37" spans="1:85" x14ac:dyDescent="0.2">
      <c r="A37" s="521" t="s">
        <v>6</v>
      </c>
      <c r="B37" s="522"/>
      <c r="C37" s="522"/>
      <c r="D37" s="537"/>
      <c r="E37" s="521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2"/>
      <c r="AF37" s="522"/>
      <c r="AG37" s="522"/>
      <c r="AH37" s="522"/>
      <c r="AI37" s="522"/>
      <c r="AJ37" s="522"/>
      <c r="AK37" s="522"/>
      <c r="AL37" s="522"/>
      <c r="AM37" s="537"/>
      <c r="AN37" s="521" t="s">
        <v>70</v>
      </c>
      <c r="AO37" s="522"/>
      <c r="AP37" s="522"/>
      <c r="AQ37" s="522"/>
      <c r="AR37" s="522"/>
      <c r="AS37" s="522"/>
      <c r="AT37" s="522"/>
      <c r="AU37" s="522"/>
      <c r="AV37" s="522"/>
      <c r="AW37" s="522"/>
      <c r="AX37" s="522"/>
      <c r="AY37" s="522"/>
      <c r="AZ37" s="522"/>
      <c r="BA37" s="537"/>
      <c r="BB37" s="521" t="s">
        <v>73</v>
      </c>
      <c r="BC37" s="522"/>
      <c r="BD37" s="522"/>
      <c r="BE37" s="522"/>
      <c r="BF37" s="522"/>
      <c r="BG37" s="522"/>
      <c r="BH37" s="522"/>
      <c r="BI37" s="537"/>
      <c r="BJ37" s="521" t="s">
        <v>75</v>
      </c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2"/>
      <c r="CA37" s="522"/>
      <c r="CB37" s="522"/>
      <c r="CC37" s="41"/>
      <c r="CD37" s="41"/>
      <c r="CE37" s="41"/>
      <c r="CF37" s="27"/>
      <c r="CG37" s="41"/>
    </row>
    <row r="38" spans="1:85" x14ac:dyDescent="0.2">
      <c r="A38" s="521"/>
      <c r="B38" s="522"/>
      <c r="C38" s="522"/>
      <c r="D38" s="537"/>
      <c r="E38" s="521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2"/>
      <c r="AL38" s="522"/>
      <c r="AM38" s="537"/>
      <c r="AN38" s="521"/>
      <c r="AO38" s="522"/>
      <c r="AP38" s="522"/>
      <c r="AQ38" s="522"/>
      <c r="AR38" s="522"/>
      <c r="AS38" s="522"/>
      <c r="AT38" s="522"/>
      <c r="AU38" s="522"/>
      <c r="AV38" s="522"/>
      <c r="AW38" s="522"/>
      <c r="AX38" s="522"/>
      <c r="AY38" s="522"/>
      <c r="AZ38" s="522"/>
      <c r="BA38" s="537"/>
      <c r="BB38" s="521"/>
      <c r="BC38" s="522"/>
      <c r="BD38" s="522"/>
      <c r="BE38" s="522"/>
      <c r="BF38" s="522"/>
      <c r="BG38" s="522"/>
      <c r="BH38" s="522"/>
      <c r="BI38" s="537"/>
      <c r="BJ38" s="521" t="s">
        <v>76</v>
      </c>
      <c r="BK38" s="522"/>
      <c r="BL38" s="522"/>
      <c r="BM38" s="522"/>
      <c r="BN38" s="522"/>
      <c r="BO38" s="522"/>
      <c r="BP38" s="522"/>
      <c r="BQ38" s="522"/>
      <c r="BR38" s="522"/>
      <c r="BS38" s="522"/>
      <c r="BT38" s="522"/>
      <c r="BU38" s="522"/>
      <c r="BV38" s="522"/>
      <c r="BW38" s="522"/>
      <c r="BX38" s="522"/>
      <c r="BY38" s="522"/>
      <c r="BZ38" s="522"/>
      <c r="CA38" s="522"/>
      <c r="CB38" s="522"/>
      <c r="CC38" s="41"/>
      <c r="CD38" s="41"/>
      <c r="CE38" s="41"/>
      <c r="CF38" s="27"/>
      <c r="CG38" s="41"/>
    </row>
    <row r="39" spans="1:85" x14ac:dyDescent="0.2">
      <c r="A39" s="521"/>
      <c r="B39" s="522"/>
      <c r="C39" s="522"/>
      <c r="D39" s="537"/>
      <c r="E39" s="521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/>
      <c r="AD39" s="522"/>
      <c r="AE39" s="522"/>
      <c r="AF39" s="522"/>
      <c r="AG39" s="522"/>
      <c r="AH39" s="522"/>
      <c r="AI39" s="522"/>
      <c r="AJ39" s="522"/>
      <c r="AK39" s="522"/>
      <c r="AL39" s="522"/>
      <c r="AM39" s="537"/>
      <c r="AN39" s="521"/>
      <c r="AO39" s="522"/>
      <c r="AP39" s="522"/>
      <c r="AQ39" s="522"/>
      <c r="AR39" s="522"/>
      <c r="AS39" s="522"/>
      <c r="AT39" s="522"/>
      <c r="AU39" s="522"/>
      <c r="AV39" s="522"/>
      <c r="AW39" s="522"/>
      <c r="AX39" s="522"/>
      <c r="AY39" s="522"/>
      <c r="AZ39" s="522"/>
      <c r="BA39" s="537"/>
      <c r="BB39" s="521"/>
      <c r="BC39" s="522"/>
      <c r="BD39" s="522"/>
      <c r="BE39" s="522"/>
      <c r="BF39" s="522"/>
      <c r="BG39" s="522"/>
      <c r="BH39" s="522"/>
      <c r="BI39" s="537"/>
      <c r="BJ39" s="521" t="s">
        <v>78</v>
      </c>
      <c r="BK39" s="522"/>
      <c r="BL39" s="522"/>
      <c r="BM39" s="522"/>
      <c r="BN39" s="522"/>
      <c r="BO39" s="522"/>
      <c r="BP39" s="522"/>
      <c r="BQ39" s="522"/>
      <c r="BR39" s="522"/>
      <c r="BS39" s="522"/>
      <c r="BT39" s="522"/>
      <c r="BU39" s="522"/>
      <c r="BV39" s="522"/>
      <c r="BW39" s="522"/>
      <c r="BX39" s="522"/>
      <c r="BY39" s="522"/>
      <c r="BZ39" s="522"/>
      <c r="CA39" s="522"/>
      <c r="CB39" s="522"/>
      <c r="CC39" s="41"/>
      <c r="CD39" s="41"/>
      <c r="CE39" s="41"/>
      <c r="CF39" s="27"/>
      <c r="CG39" s="41"/>
    </row>
    <row r="40" spans="1:85" ht="15.75" x14ac:dyDescent="0.25">
      <c r="A40" s="554">
        <v>1</v>
      </c>
      <c r="B40" s="555"/>
      <c r="C40" s="555"/>
      <c r="D40" s="556"/>
      <c r="E40" s="554">
        <v>2</v>
      </c>
      <c r="F40" s="555"/>
      <c r="G40" s="555"/>
      <c r="H40" s="555"/>
      <c r="I40" s="555"/>
      <c r="J40" s="555"/>
      <c r="K40" s="555"/>
      <c r="L40" s="555"/>
      <c r="M40" s="555"/>
      <c r="N40" s="555"/>
      <c r="O40" s="555"/>
      <c r="P40" s="555"/>
      <c r="Q40" s="555"/>
      <c r="R40" s="555"/>
      <c r="S40" s="555"/>
      <c r="T40" s="555"/>
      <c r="U40" s="555"/>
      <c r="V40" s="555"/>
      <c r="W40" s="555"/>
      <c r="X40" s="555"/>
      <c r="Y40" s="555"/>
      <c r="Z40" s="555"/>
      <c r="AA40" s="555"/>
      <c r="AB40" s="555"/>
      <c r="AC40" s="555"/>
      <c r="AD40" s="555"/>
      <c r="AE40" s="555"/>
      <c r="AF40" s="555"/>
      <c r="AG40" s="555"/>
      <c r="AH40" s="555"/>
      <c r="AI40" s="555"/>
      <c r="AJ40" s="555"/>
      <c r="AK40" s="555"/>
      <c r="AL40" s="555"/>
      <c r="AM40" s="556"/>
      <c r="AN40" s="554">
        <v>3</v>
      </c>
      <c r="AO40" s="555"/>
      <c r="AP40" s="555"/>
      <c r="AQ40" s="555"/>
      <c r="AR40" s="555"/>
      <c r="AS40" s="555"/>
      <c r="AT40" s="555"/>
      <c r="AU40" s="555"/>
      <c r="AV40" s="555"/>
      <c r="AW40" s="555"/>
      <c r="AX40" s="555"/>
      <c r="AY40" s="555"/>
      <c r="AZ40" s="555"/>
      <c r="BA40" s="556"/>
      <c r="BB40" s="554">
        <v>4</v>
      </c>
      <c r="BC40" s="555"/>
      <c r="BD40" s="555"/>
      <c r="BE40" s="555"/>
      <c r="BF40" s="555"/>
      <c r="BG40" s="555"/>
      <c r="BH40" s="555"/>
      <c r="BI40" s="556"/>
      <c r="BJ40" s="554">
        <v>5</v>
      </c>
      <c r="BK40" s="555"/>
      <c r="BL40" s="555"/>
      <c r="BM40" s="555"/>
      <c r="BN40" s="555"/>
      <c r="BO40" s="555"/>
      <c r="BP40" s="555"/>
      <c r="BQ40" s="555"/>
      <c r="BR40" s="555"/>
      <c r="BS40" s="555"/>
      <c r="BT40" s="555"/>
      <c r="BU40" s="555"/>
      <c r="BV40" s="555"/>
      <c r="BW40" s="555"/>
      <c r="BX40" s="555"/>
      <c r="BY40" s="555"/>
      <c r="BZ40" s="555"/>
      <c r="CA40" s="555"/>
      <c r="CB40" s="556"/>
      <c r="CC40" s="62" t="s">
        <v>193</v>
      </c>
      <c r="CD40" s="62" t="s">
        <v>194</v>
      </c>
      <c r="CE40" s="62" t="s">
        <v>298</v>
      </c>
      <c r="CF40" s="112" t="s">
        <v>296</v>
      </c>
      <c r="CG40" s="41"/>
    </row>
    <row r="41" spans="1:85" x14ac:dyDescent="0.2">
      <c r="A41" s="506">
        <v>1</v>
      </c>
      <c r="B41" s="507"/>
      <c r="C41" s="507"/>
      <c r="D41" s="508"/>
      <c r="E41" s="506" t="s">
        <v>196</v>
      </c>
      <c r="F41" s="507"/>
      <c r="G41" s="507"/>
      <c r="H41" s="507"/>
      <c r="I41" s="507"/>
      <c r="J41" s="507"/>
      <c r="K41" s="507"/>
      <c r="L41" s="507"/>
      <c r="M41" s="507"/>
      <c r="N41" s="507"/>
      <c r="O41" s="507"/>
      <c r="P41" s="507"/>
      <c r="Q41" s="507"/>
      <c r="R41" s="507"/>
      <c r="S41" s="507"/>
      <c r="T41" s="507"/>
      <c r="U41" s="507"/>
      <c r="V41" s="507"/>
      <c r="W41" s="507"/>
      <c r="X41" s="507"/>
      <c r="Y41" s="507"/>
      <c r="Z41" s="507"/>
      <c r="AA41" s="507"/>
      <c r="AB41" s="507"/>
      <c r="AC41" s="507"/>
      <c r="AD41" s="507"/>
      <c r="AE41" s="507"/>
      <c r="AF41" s="507"/>
      <c r="AG41" s="507"/>
      <c r="AH41" s="507"/>
      <c r="AI41" s="507"/>
      <c r="AJ41" s="507"/>
      <c r="AK41" s="507"/>
      <c r="AL41" s="507"/>
      <c r="AM41" s="508"/>
      <c r="AN41" s="538"/>
      <c r="AO41" s="539"/>
      <c r="AP41" s="539"/>
      <c r="AQ41" s="539"/>
      <c r="AR41" s="539"/>
      <c r="AS41" s="539"/>
      <c r="AT41" s="539"/>
      <c r="AU41" s="539"/>
      <c r="AV41" s="539"/>
      <c r="AW41" s="539"/>
      <c r="AX41" s="539"/>
      <c r="AY41" s="539"/>
      <c r="AZ41" s="539"/>
      <c r="BA41" s="607"/>
      <c r="BB41" s="608"/>
      <c r="BC41" s="609"/>
      <c r="BD41" s="609"/>
      <c r="BE41" s="609"/>
      <c r="BF41" s="609"/>
      <c r="BG41" s="609"/>
      <c r="BH41" s="609"/>
      <c r="BI41" s="610"/>
      <c r="BJ41" s="538"/>
      <c r="BK41" s="539"/>
      <c r="BL41" s="539"/>
      <c r="BM41" s="539"/>
      <c r="BN41" s="539"/>
      <c r="BO41" s="539"/>
      <c r="BP41" s="539"/>
      <c r="BQ41" s="539"/>
      <c r="BR41" s="539"/>
      <c r="BS41" s="539"/>
      <c r="BT41" s="539"/>
      <c r="BU41" s="539"/>
      <c r="BV41" s="539"/>
      <c r="BW41" s="539"/>
      <c r="BX41" s="539"/>
      <c r="BY41" s="539"/>
      <c r="BZ41" s="539"/>
      <c r="CA41" s="539"/>
      <c r="CB41" s="607"/>
      <c r="CD41" s="110"/>
      <c r="CE41" s="110">
        <f>CC41-CD41</f>
        <v>0</v>
      </c>
      <c r="CF41" s="106"/>
      <c r="CG41" s="41"/>
    </row>
    <row r="42" spans="1:85" x14ac:dyDescent="0.2">
      <c r="A42" s="506"/>
      <c r="B42" s="507"/>
      <c r="C42" s="507"/>
      <c r="D42" s="508"/>
      <c r="E42" s="506"/>
      <c r="F42" s="507"/>
      <c r="G42" s="507"/>
      <c r="H42" s="507"/>
      <c r="I42" s="507"/>
      <c r="J42" s="507"/>
      <c r="K42" s="507"/>
      <c r="L42" s="507"/>
      <c r="M42" s="507"/>
      <c r="N42" s="507"/>
      <c r="O42" s="507"/>
      <c r="P42" s="507"/>
      <c r="Q42" s="507"/>
      <c r="R42" s="507"/>
      <c r="S42" s="507"/>
      <c r="T42" s="507"/>
      <c r="U42" s="507"/>
      <c r="V42" s="507"/>
      <c r="W42" s="507"/>
      <c r="X42" s="507"/>
      <c r="Y42" s="507"/>
      <c r="Z42" s="507"/>
      <c r="AA42" s="507"/>
      <c r="AB42" s="507"/>
      <c r="AC42" s="507"/>
      <c r="AD42" s="507"/>
      <c r="AE42" s="507"/>
      <c r="AF42" s="507"/>
      <c r="AG42" s="507"/>
      <c r="AH42" s="507"/>
      <c r="AI42" s="507"/>
      <c r="AJ42" s="507"/>
      <c r="AK42" s="507"/>
      <c r="AL42" s="507"/>
      <c r="AM42" s="508"/>
      <c r="AN42" s="538"/>
      <c r="AO42" s="539"/>
      <c r="AP42" s="539"/>
      <c r="AQ42" s="539"/>
      <c r="AR42" s="539"/>
      <c r="AS42" s="539"/>
      <c r="AT42" s="539"/>
      <c r="AU42" s="539"/>
      <c r="AV42" s="539"/>
      <c r="AW42" s="539"/>
      <c r="AX42" s="539"/>
      <c r="AY42" s="539"/>
      <c r="AZ42" s="539"/>
      <c r="BA42" s="607"/>
      <c r="BB42" s="608"/>
      <c r="BC42" s="609"/>
      <c r="BD42" s="609"/>
      <c r="BE42" s="609"/>
      <c r="BF42" s="609"/>
      <c r="BG42" s="609"/>
      <c r="BH42" s="609"/>
      <c r="BI42" s="610"/>
      <c r="BJ42" s="538"/>
      <c r="BK42" s="539"/>
      <c r="BL42" s="539"/>
      <c r="BM42" s="539"/>
      <c r="BN42" s="539"/>
      <c r="BO42" s="539"/>
      <c r="BP42" s="539"/>
      <c r="BQ42" s="539"/>
      <c r="BR42" s="539"/>
      <c r="BS42" s="539"/>
      <c r="BT42" s="539"/>
      <c r="BU42" s="539"/>
      <c r="BV42" s="539"/>
      <c r="BW42" s="539"/>
      <c r="BX42" s="539"/>
      <c r="BY42" s="539"/>
      <c r="BZ42" s="539"/>
      <c r="CA42" s="539"/>
      <c r="CB42" s="607"/>
      <c r="CD42" s="110"/>
      <c r="CE42" s="110">
        <f>CC42-CD42</f>
        <v>0</v>
      </c>
      <c r="CF42" s="106"/>
      <c r="CG42" s="41"/>
    </row>
    <row r="43" spans="1:85" s="155" customFormat="1" x14ac:dyDescent="0.2">
      <c r="A43" s="597"/>
      <c r="B43" s="598"/>
      <c r="C43" s="598"/>
      <c r="D43" s="599"/>
      <c r="E43" s="593" t="s">
        <v>10</v>
      </c>
      <c r="F43" s="594"/>
      <c r="G43" s="594"/>
      <c r="H43" s="594"/>
      <c r="I43" s="594"/>
      <c r="J43" s="594"/>
      <c r="K43" s="594"/>
      <c r="L43" s="594"/>
      <c r="M43" s="594"/>
      <c r="N43" s="594"/>
      <c r="O43" s="594"/>
      <c r="P43" s="594"/>
      <c r="Q43" s="594"/>
      <c r="R43" s="594"/>
      <c r="S43" s="594"/>
      <c r="T43" s="594"/>
      <c r="U43" s="594"/>
      <c r="V43" s="594"/>
      <c r="W43" s="594"/>
      <c r="X43" s="594"/>
      <c r="Y43" s="594"/>
      <c r="Z43" s="594"/>
      <c r="AA43" s="594"/>
      <c r="AB43" s="594"/>
      <c r="AC43" s="594"/>
      <c r="AD43" s="594"/>
      <c r="AE43" s="594"/>
      <c r="AF43" s="594"/>
      <c r="AG43" s="594"/>
      <c r="AH43" s="594"/>
      <c r="AI43" s="594"/>
      <c r="AJ43" s="594"/>
      <c r="AK43" s="594"/>
      <c r="AL43" s="594"/>
      <c r="AM43" s="595"/>
      <c r="AN43" s="593"/>
      <c r="AO43" s="594"/>
      <c r="AP43" s="594"/>
      <c r="AQ43" s="594"/>
      <c r="AR43" s="594"/>
      <c r="AS43" s="594"/>
      <c r="AT43" s="594"/>
      <c r="AU43" s="594"/>
      <c r="AV43" s="594"/>
      <c r="AW43" s="594"/>
      <c r="AX43" s="594"/>
      <c r="AY43" s="594"/>
      <c r="AZ43" s="594"/>
      <c r="BA43" s="595"/>
      <c r="BB43" s="590" t="s">
        <v>11</v>
      </c>
      <c r="BC43" s="591"/>
      <c r="BD43" s="591"/>
      <c r="BE43" s="591"/>
      <c r="BF43" s="591"/>
      <c r="BG43" s="591"/>
      <c r="BH43" s="591"/>
      <c r="BI43" s="592"/>
      <c r="BJ43" s="541">
        <f>BJ41+BJ42</f>
        <v>0</v>
      </c>
      <c r="BK43" s="542"/>
      <c r="BL43" s="542"/>
      <c r="BM43" s="542"/>
      <c r="BN43" s="542"/>
      <c r="BO43" s="542"/>
      <c r="BP43" s="542"/>
      <c r="BQ43" s="542"/>
      <c r="BR43" s="542"/>
      <c r="BS43" s="542"/>
      <c r="BT43" s="542"/>
      <c r="BU43" s="542"/>
      <c r="BV43" s="542"/>
      <c r="BW43" s="542"/>
      <c r="BX43" s="542"/>
      <c r="BY43" s="542"/>
      <c r="BZ43" s="542"/>
      <c r="CA43" s="542"/>
      <c r="CB43" s="542"/>
      <c r="CC43" s="158"/>
      <c r="CD43" s="158"/>
      <c r="CE43" s="158"/>
      <c r="CF43" s="159"/>
      <c r="CG43" s="158"/>
    </row>
    <row r="44" spans="1:85" s="3" customFormat="1" ht="15.75" x14ac:dyDescent="0.25">
      <c r="A44" s="518" t="s">
        <v>310</v>
      </c>
      <c r="B44" s="518"/>
      <c r="C44" s="518"/>
      <c r="D44" s="518"/>
      <c r="E44" s="518"/>
      <c r="F44" s="518"/>
      <c r="G44" s="518"/>
      <c r="H44" s="518"/>
      <c r="I44" s="518"/>
      <c r="J44" s="518"/>
      <c r="K44" s="518"/>
      <c r="L44" s="518"/>
      <c r="M44" s="518"/>
      <c r="N44" s="518"/>
      <c r="O44" s="518"/>
      <c r="P44" s="518"/>
      <c r="Q44" s="518"/>
      <c r="R44" s="518"/>
      <c r="S44" s="518"/>
      <c r="T44" s="518"/>
      <c r="U44" s="518"/>
      <c r="V44" s="518"/>
      <c r="W44" s="518"/>
      <c r="X44" s="518"/>
      <c r="Y44" s="518"/>
      <c r="Z44" s="518"/>
      <c r="AA44" s="518"/>
      <c r="AB44" s="518"/>
      <c r="AC44" s="518"/>
      <c r="AD44" s="518"/>
      <c r="AE44" s="518"/>
      <c r="AF44" s="518"/>
      <c r="AG44" s="518"/>
      <c r="AH44" s="518"/>
      <c r="AI44" s="518"/>
      <c r="AJ44" s="518"/>
      <c r="AK44" s="518"/>
      <c r="AL44" s="518"/>
      <c r="AM44" s="518"/>
      <c r="AN44" s="518"/>
      <c r="AO44" s="518"/>
      <c r="AP44" s="518"/>
      <c r="AQ44" s="518"/>
      <c r="AR44" s="518"/>
      <c r="AS44" s="518"/>
      <c r="AT44" s="518"/>
      <c r="AU44" s="518"/>
      <c r="AV44" s="518"/>
      <c r="AW44" s="518"/>
      <c r="AX44" s="518"/>
      <c r="AY44" s="518"/>
      <c r="AZ44" s="518"/>
      <c r="BA44" s="518"/>
      <c r="BB44" s="518"/>
      <c r="BC44" s="518"/>
      <c r="BD44" s="518"/>
      <c r="BE44" s="518"/>
      <c r="BF44" s="518"/>
      <c r="BG44" s="518"/>
      <c r="BH44" s="518"/>
      <c r="BI44" s="518"/>
      <c r="BJ44" s="518"/>
      <c r="BK44" s="518"/>
      <c r="BL44" s="518"/>
      <c r="BM44" s="518"/>
      <c r="BN44" s="518"/>
      <c r="BO44" s="518"/>
      <c r="BP44" s="518"/>
      <c r="BQ44" s="518"/>
      <c r="BR44" s="518"/>
      <c r="BS44" s="518"/>
      <c r="BT44" s="518"/>
      <c r="BU44" s="518"/>
      <c r="BV44" s="518"/>
      <c r="BW44" s="518"/>
      <c r="BX44" s="518"/>
      <c r="BY44" s="518"/>
      <c r="BZ44" s="518"/>
      <c r="CA44" s="518"/>
      <c r="CB44" s="518"/>
      <c r="CC44" s="115"/>
      <c r="CD44" s="115"/>
      <c r="CE44" s="115"/>
      <c r="CF44" s="119"/>
      <c r="CG44" s="115"/>
    </row>
    <row r="45" spans="1:85" s="6" customFormat="1" ht="9.75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117"/>
      <c r="CD45" s="117"/>
      <c r="CE45" s="117"/>
      <c r="CF45" s="118"/>
      <c r="CG45" s="117"/>
    </row>
    <row r="46" spans="1:85" s="3" customFormat="1" ht="15.75" x14ac:dyDescent="0.25">
      <c r="A46" s="3" t="s">
        <v>2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624" t="s">
        <v>289</v>
      </c>
      <c r="T46" s="624"/>
      <c r="U46" s="624"/>
      <c r="V46" s="624"/>
      <c r="W46" s="624"/>
      <c r="X46" s="624"/>
      <c r="Y46" s="624"/>
      <c r="Z46" s="624"/>
      <c r="AA46" s="624"/>
      <c r="AB46" s="624"/>
      <c r="AC46" s="624"/>
      <c r="AD46" s="624"/>
      <c r="AE46" s="624"/>
      <c r="AF46" s="624"/>
      <c r="AG46" s="624"/>
      <c r="AH46" s="624"/>
      <c r="AI46" s="624"/>
      <c r="AJ46" s="624"/>
      <c r="AK46" s="624"/>
      <c r="AL46" s="624"/>
      <c r="AM46" s="624"/>
      <c r="AN46" s="624"/>
      <c r="AO46" s="624"/>
      <c r="AP46" s="624"/>
      <c r="AQ46" s="624"/>
      <c r="AR46" s="624"/>
      <c r="AS46" s="624"/>
      <c r="AT46" s="624"/>
      <c r="AU46" s="624"/>
      <c r="AV46" s="624"/>
      <c r="AW46" s="624"/>
      <c r="AX46" s="624"/>
      <c r="AY46" s="624"/>
      <c r="AZ46" s="624"/>
      <c r="BA46" s="624"/>
      <c r="BB46" s="624"/>
      <c r="BC46" s="624"/>
      <c r="BD46" s="624"/>
      <c r="BE46" s="624"/>
      <c r="BF46" s="624"/>
      <c r="BG46" s="624"/>
      <c r="BH46" s="624"/>
      <c r="BI46" s="624"/>
      <c r="BJ46" s="624"/>
      <c r="BK46" s="624"/>
      <c r="BL46" s="624"/>
      <c r="BM46" s="624"/>
      <c r="BN46" s="624"/>
      <c r="BO46" s="624"/>
      <c r="BP46" s="624"/>
      <c r="BQ46" s="624"/>
      <c r="BR46" s="624"/>
      <c r="BS46" s="624"/>
      <c r="BT46" s="624"/>
      <c r="BU46" s="624"/>
      <c r="BV46" s="624"/>
      <c r="BW46" s="624"/>
      <c r="BX46" s="624"/>
      <c r="BY46" s="624"/>
      <c r="BZ46" s="624"/>
      <c r="CA46" s="624"/>
      <c r="CB46" s="624"/>
      <c r="CC46" s="115"/>
      <c r="CD46" s="115"/>
      <c r="CE46" s="115"/>
      <c r="CF46" s="119"/>
      <c r="CG46" s="115"/>
    </row>
    <row r="47" spans="1:85" s="6" customFormat="1" ht="9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117"/>
      <c r="CD47" s="117"/>
      <c r="CE47" s="117"/>
      <c r="CF47" s="118"/>
      <c r="CG47" s="117"/>
    </row>
    <row r="48" spans="1:85" s="3" customFormat="1" ht="17.25" customHeight="1" x14ac:dyDescent="0.25">
      <c r="A48" s="3" t="s">
        <v>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627" t="s">
        <v>129</v>
      </c>
      <c r="AI48" s="627"/>
      <c r="AJ48" s="627"/>
      <c r="AK48" s="627"/>
      <c r="AL48" s="627"/>
      <c r="AM48" s="627"/>
      <c r="AN48" s="627"/>
      <c r="AO48" s="627"/>
      <c r="AP48" s="627"/>
      <c r="AQ48" s="627"/>
      <c r="AR48" s="627"/>
      <c r="AS48" s="627"/>
      <c r="AT48" s="627"/>
      <c r="AU48" s="627"/>
      <c r="AV48" s="627"/>
      <c r="AW48" s="627"/>
      <c r="AX48" s="627"/>
      <c r="AY48" s="627"/>
      <c r="AZ48" s="627"/>
      <c r="BA48" s="627"/>
      <c r="BB48" s="627"/>
      <c r="BC48" s="627"/>
      <c r="BD48" s="627"/>
      <c r="BE48" s="627"/>
      <c r="BF48" s="627"/>
      <c r="BG48" s="627"/>
      <c r="BH48" s="627"/>
      <c r="BI48" s="627"/>
      <c r="BJ48" s="627"/>
      <c r="BK48" s="627"/>
      <c r="BL48" s="627"/>
      <c r="BM48" s="627"/>
      <c r="BN48" s="627"/>
      <c r="BO48" s="627"/>
      <c r="BP48" s="627"/>
      <c r="BQ48" s="627"/>
      <c r="BR48" s="627"/>
      <c r="BS48" s="627"/>
      <c r="BT48" s="627"/>
      <c r="BU48" s="627"/>
      <c r="BV48" s="627"/>
      <c r="BW48" s="627"/>
      <c r="BX48" s="627"/>
      <c r="BY48" s="627"/>
      <c r="BZ48" s="627"/>
      <c r="CA48" s="627"/>
      <c r="CB48" s="627"/>
      <c r="CC48" s="115"/>
      <c r="CD48" s="115"/>
      <c r="CE48" s="115"/>
      <c r="CF48" s="119"/>
      <c r="CG48" s="115"/>
    </row>
    <row r="49" spans="1:85" x14ac:dyDescent="0.2">
      <c r="CC49" s="41"/>
      <c r="CD49" s="41"/>
      <c r="CE49" s="41"/>
      <c r="CF49" s="27"/>
      <c r="CG49" s="41"/>
    </row>
    <row r="50" spans="1:85" x14ac:dyDescent="0.2">
      <c r="A50" s="519" t="s">
        <v>5</v>
      </c>
      <c r="B50" s="520"/>
      <c r="C50" s="520"/>
      <c r="D50" s="523"/>
      <c r="E50" s="519" t="s">
        <v>13</v>
      </c>
      <c r="F50" s="520"/>
      <c r="G50" s="520"/>
      <c r="H50" s="520"/>
      <c r="I50" s="520"/>
      <c r="J50" s="520"/>
      <c r="K50" s="520"/>
      <c r="L50" s="520"/>
      <c r="M50" s="520"/>
      <c r="N50" s="520"/>
      <c r="O50" s="520"/>
      <c r="P50" s="520"/>
      <c r="Q50" s="520"/>
      <c r="R50" s="520"/>
      <c r="S50" s="520"/>
      <c r="T50" s="520"/>
      <c r="U50" s="520"/>
      <c r="V50" s="520"/>
      <c r="W50" s="520"/>
      <c r="X50" s="520"/>
      <c r="Y50" s="520"/>
      <c r="Z50" s="520"/>
      <c r="AA50" s="520"/>
      <c r="AB50" s="520"/>
      <c r="AC50" s="520"/>
      <c r="AD50" s="520"/>
      <c r="AE50" s="520"/>
      <c r="AF50" s="520"/>
      <c r="AG50" s="520"/>
      <c r="AH50" s="520"/>
      <c r="AI50" s="520"/>
      <c r="AJ50" s="520"/>
      <c r="AK50" s="520"/>
      <c r="AL50" s="520"/>
      <c r="AM50" s="523"/>
      <c r="AN50" s="519" t="s">
        <v>69</v>
      </c>
      <c r="AO50" s="520"/>
      <c r="AP50" s="520"/>
      <c r="AQ50" s="520"/>
      <c r="AR50" s="520"/>
      <c r="AS50" s="520"/>
      <c r="AT50" s="520"/>
      <c r="AU50" s="520"/>
      <c r="AV50" s="520"/>
      <c r="AW50" s="520"/>
      <c r="AX50" s="520"/>
      <c r="AY50" s="520"/>
      <c r="AZ50" s="520"/>
      <c r="BA50" s="523"/>
      <c r="BB50" s="519" t="s">
        <v>72</v>
      </c>
      <c r="BC50" s="520"/>
      <c r="BD50" s="520"/>
      <c r="BE50" s="520"/>
      <c r="BF50" s="520"/>
      <c r="BG50" s="520"/>
      <c r="BH50" s="520"/>
      <c r="BI50" s="523"/>
      <c r="BJ50" s="519" t="s">
        <v>74</v>
      </c>
      <c r="BK50" s="520"/>
      <c r="BL50" s="520"/>
      <c r="BM50" s="520"/>
      <c r="BN50" s="520"/>
      <c r="BO50" s="520"/>
      <c r="BP50" s="520"/>
      <c r="BQ50" s="520"/>
      <c r="BR50" s="520"/>
      <c r="BS50" s="520"/>
      <c r="BT50" s="520"/>
      <c r="BU50" s="520"/>
      <c r="BV50" s="520"/>
      <c r="BW50" s="520"/>
      <c r="BX50" s="520"/>
      <c r="BY50" s="520"/>
      <c r="BZ50" s="520"/>
      <c r="CA50" s="520"/>
      <c r="CB50" s="520"/>
      <c r="CC50" s="41"/>
      <c r="CD50" s="41"/>
      <c r="CE50" s="41"/>
      <c r="CF50" s="27"/>
      <c r="CG50" s="41"/>
    </row>
    <row r="51" spans="1:85" x14ac:dyDescent="0.2">
      <c r="A51" s="521" t="s">
        <v>6</v>
      </c>
      <c r="B51" s="522"/>
      <c r="C51" s="522"/>
      <c r="D51" s="537"/>
      <c r="E51" s="521"/>
      <c r="F51" s="522"/>
      <c r="G51" s="522"/>
      <c r="H51" s="522"/>
      <c r="I51" s="522"/>
      <c r="J51" s="522"/>
      <c r="K51" s="522"/>
      <c r="L51" s="522"/>
      <c r="M51" s="522"/>
      <c r="N51" s="522"/>
      <c r="O51" s="522"/>
      <c r="P51" s="522"/>
      <c r="Q51" s="522"/>
      <c r="R51" s="522"/>
      <c r="S51" s="522"/>
      <c r="T51" s="522"/>
      <c r="U51" s="522"/>
      <c r="V51" s="522"/>
      <c r="W51" s="522"/>
      <c r="X51" s="522"/>
      <c r="Y51" s="522"/>
      <c r="Z51" s="522"/>
      <c r="AA51" s="522"/>
      <c r="AB51" s="522"/>
      <c r="AC51" s="522"/>
      <c r="AD51" s="522"/>
      <c r="AE51" s="522"/>
      <c r="AF51" s="522"/>
      <c r="AG51" s="522"/>
      <c r="AH51" s="522"/>
      <c r="AI51" s="522"/>
      <c r="AJ51" s="522"/>
      <c r="AK51" s="522"/>
      <c r="AL51" s="522"/>
      <c r="AM51" s="537"/>
      <c r="AN51" s="521" t="s">
        <v>70</v>
      </c>
      <c r="AO51" s="522"/>
      <c r="AP51" s="522"/>
      <c r="AQ51" s="522"/>
      <c r="AR51" s="522"/>
      <c r="AS51" s="522"/>
      <c r="AT51" s="522"/>
      <c r="AU51" s="522"/>
      <c r="AV51" s="522"/>
      <c r="AW51" s="522"/>
      <c r="AX51" s="522"/>
      <c r="AY51" s="522"/>
      <c r="AZ51" s="522"/>
      <c r="BA51" s="537"/>
      <c r="BB51" s="521" t="s">
        <v>73</v>
      </c>
      <c r="BC51" s="522"/>
      <c r="BD51" s="522"/>
      <c r="BE51" s="522"/>
      <c r="BF51" s="522"/>
      <c r="BG51" s="522"/>
      <c r="BH51" s="522"/>
      <c r="BI51" s="537"/>
      <c r="BJ51" s="521" t="s">
        <v>75</v>
      </c>
      <c r="BK51" s="522"/>
      <c r="BL51" s="522"/>
      <c r="BM51" s="522"/>
      <c r="BN51" s="522"/>
      <c r="BO51" s="522"/>
      <c r="BP51" s="522"/>
      <c r="BQ51" s="522"/>
      <c r="BR51" s="522"/>
      <c r="BS51" s="522"/>
      <c r="BT51" s="522"/>
      <c r="BU51" s="522"/>
      <c r="BV51" s="522"/>
      <c r="BW51" s="522"/>
      <c r="BX51" s="522"/>
      <c r="BY51" s="522"/>
      <c r="BZ51" s="522"/>
      <c r="CA51" s="522"/>
      <c r="CB51" s="522"/>
      <c r="CC51" s="41"/>
      <c r="CD51" s="41"/>
      <c r="CE51" s="41"/>
      <c r="CF51" s="27"/>
      <c r="CG51" s="41"/>
    </row>
    <row r="52" spans="1:85" x14ac:dyDescent="0.2">
      <c r="A52" s="521"/>
      <c r="B52" s="522"/>
      <c r="C52" s="522"/>
      <c r="D52" s="537"/>
      <c r="E52" s="521"/>
      <c r="F52" s="522"/>
      <c r="G52" s="522"/>
      <c r="H52" s="522"/>
      <c r="I52" s="522"/>
      <c r="J52" s="522"/>
      <c r="K52" s="522"/>
      <c r="L52" s="522"/>
      <c r="M52" s="522"/>
      <c r="N52" s="522"/>
      <c r="O52" s="522"/>
      <c r="P52" s="522"/>
      <c r="Q52" s="522"/>
      <c r="R52" s="522"/>
      <c r="S52" s="522"/>
      <c r="T52" s="522"/>
      <c r="U52" s="522"/>
      <c r="V52" s="522"/>
      <c r="W52" s="522"/>
      <c r="X52" s="522"/>
      <c r="Y52" s="522"/>
      <c r="Z52" s="522"/>
      <c r="AA52" s="522"/>
      <c r="AB52" s="522"/>
      <c r="AC52" s="522"/>
      <c r="AD52" s="522"/>
      <c r="AE52" s="522"/>
      <c r="AF52" s="522"/>
      <c r="AG52" s="522"/>
      <c r="AH52" s="522"/>
      <c r="AI52" s="522"/>
      <c r="AJ52" s="522"/>
      <c r="AK52" s="522"/>
      <c r="AL52" s="522"/>
      <c r="AM52" s="537"/>
      <c r="AN52" s="521"/>
      <c r="AO52" s="522"/>
      <c r="AP52" s="522"/>
      <c r="AQ52" s="522"/>
      <c r="AR52" s="522"/>
      <c r="AS52" s="522"/>
      <c r="AT52" s="522"/>
      <c r="AU52" s="522"/>
      <c r="AV52" s="522"/>
      <c r="AW52" s="522"/>
      <c r="AX52" s="522"/>
      <c r="AY52" s="522"/>
      <c r="AZ52" s="522"/>
      <c r="BA52" s="537"/>
      <c r="BB52" s="521"/>
      <c r="BC52" s="522"/>
      <c r="BD52" s="522"/>
      <c r="BE52" s="522"/>
      <c r="BF52" s="522"/>
      <c r="BG52" s="522"/>
      <c r="BH52" s="522"/>
      <c r="BI52" s="537"/>
      <c r="BJ52" s="521" t="s">
        <v>76</v>
      </c>
      <c r="BK52" s="522"/>
      <c r="BL52" s="522"/>
      <c r="BM52" s="522"/>
      <c r="BN52" s="522"/>
      <c r="BO52" s="522"/>
      <c r="BP52" s="522"/>
      <c r="BQ52" s="522"/>
      <c r="BR52" s="522"/>
      <c r="BS52" s="522"/>
      <c r="BT52" s="522"/>
      <c r="BU52" s="522"/>
      <c r="BV52" s="522"/>
      <c r="BW52" s="522"/>
      <c r="BX52" s="522"/>
      <c r="BY52" s="522"/>
      <c r="BZ52" s="522"/>
      <c r="CA52" s="522"/>
      <c r="CB52" s="522"/>
      <c r="CC52" s="41"/>
      <c r="CD52" s="41"/>
      <c r="CE52" s="41"/>
      <c r="CF52" s="27"/>
      <c r="CG52" s="41"/>
    </row>
    <row r="53" spans="1:85" x14ac:dyDescent="0.2">
      <c r="A53" s="521"/>
      <c r="B53" s="522"/>
      <c r="C53" s="522"/>
      <c r="D53" s="537"/>
      <c r="E53" s="521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  <c r="R53" s="522"/>
      <c r="S53" s="522"/>
      <c r="T53" s="522"/>
      <c r="U53" s="522"/>
      <c r="V53" s="522"/>
      <c r="W53" s="522"/>
      <c r="X53" s="522"/>
      <c r="Y53" s="522"/>
      <c r="Z53" s="522"/>
      <c r="AA53" s="522"/>
      <c r="AB53" s="522"/>
      <c r="AC53" s="522"/>
      <c r="AD53" s="522"/>
      <c r="AE53" s="522"/>
      <c r="AF53" s="522"/>
      <c r="AG53" s="522"/>
      <c r="AH53" s="522"/>
      <c r="AI53" s="522"/>
      <c r="AJ53" s="522"/>
      <c r="AK53" s="522"/>
      <c r="AL53" s="522"/>
      <c r="AM53" s="537"/>
      <c r="AN53" s="521"/>
      <c r="AO53" s="522"/>
      <c r="AP53" s="522"/>
      <c r="AQ53" s="522"/>
      <c r="AR53" s="522"/>
      <c r="AS53" s="522"/>
      <c r="AT53" s="522"/>
      <c r="AU53" s="522"/>
      <c r="AV53" s="522"/>
      <c r="AW53" s="522"/>
      <c r="AX53" s="522"/>
      <c r="AY53" s="522"/>
      <c r="AZ53" s="522"/>
      <c r="BA53" s="537"/>
      <c r="BB53" s="521"/>
      <c r="BC53" s="522"/>
      <c r="BD53" s="522"/>
      <c r="BE53" s="522"/>
      <c r="BF53" s="522"/>
      <c r="BG53" s="522"/>
      <c r="BH53" s="522"/>
      <c r="BI53" s="537"/>
      <c r="BJ53" s="521" t="s">
        <v>78</v>
      </c>
      <c r="BK53" s="522"/>
      <c r="BL53" s="522"/>
      <c r="BM53" s="522"/>
      <c r="BN53" s="522"/>
      <c r="BO53" s="522"/>
      <c r="BP53" s="522"/>
      <c r="BQ53" s="522"/>
      <c r="BR53" s="522"/>
      <c r="BS53" s="522"/>
      <c r="BT53" s="522"/>
      <c r="BU53" s="522"/>
      <c r="BV53" s="522"/>
      <c r="BW53" s="522"/>
      <c r="BX53" s="522"/>
      <c r="BY53" s="522"/>
      <c r="BZ53" s="522"/>
      <c r="CA53" s="522"/>
      <c r="CB53" s="522"/>
      <c r="CC53" s="41"/>
      <c r="CD53" s="41"/>
      <c r="CE53" s="41"/>
      <c r="CF53" s="27"/>
      <c r="CG53" s="41"/>
    </row>
    <row r="54" spans="1:85" ht="15.75" x14ac:dyDescent="0.25">
      <c r="A54" s="554">
        <v>1</v>
      </c>
      <c r="B54" s="555"/>
      <c r="C54" s="555"/>
      <c r="D54" s="556"/>
      <c r="E54" s="554">
        <v>2</v>
      </c>
      <c r="F54" s="555"/>
      <c r="G54" s="555"/>
      <c r="H54" s="555"/>
      <c r="I54" s="555"/>
      <c r="J54" s="555"/>
      <c r="K54" s="555"/>
      <c r="L54" s="555"/>
      <c r="M54" s="555"/>
      <c r="N54" s="555"/>
      <c r="O54" s="555"/>
      <c r="P54" s="555"/>
      <c r="Q54" s="555"/>
      <c r="R54" s="555"/>
      <c r="S54" s="555"/>
      <c r="T54" s="555"/>
      <c r="U54" s="555"/>
      <c r="V54" s="555"/>
      <c r="W54" s="555"/>
      <c r="X54" s="555"/>
      <c r="Y54" s="555"/>
      <c r="Z54" s="555"/>
      <c r="AA54" s="555"/>
      <c r="AB54" s="555"/>
      <c r="AC54" s="555"/>
      <c r="AD54" s="555"/>
      <c r="AE54" s="555"/>
      <c r="AF54" s="555"/>
      <c r="AG54" s="555"/>
      <c r="AH54" s="555"/>
      <c r="AI54" s="555"/>
      <c r="AJ54" s="555"/>
      <c r="AK54" s="555"/>
      <c r="AL54" s="555"/>
      <c r="AM54" s="556"/>
      <c r="AN54" s="554">
        <v>3</v>
      </c>
      <c r="AO54" s="555"/>
      <c r="AP54" s="555"/>
      <c r="AQ54" s="555"/>
      <c r="AR54" s="555"/>
      <c r="AS54" s="555"/>
      <c r="AT54" s="555"/>
      <c r="AU54" s="555"/>
      <c r="AV54" s="555"/>
      <c r="AW54" s="555"/>
      <c r="AX54" s="555"/>
      <c r="AY54" s="555"/>
      <c r="AZ54" s="555"/>
      <c r="BA54" s="556"/>
      <c r="BB54" s="554">
        <v>4</v>
      </c>
      <c r="BC54" s="555"/>
      <c r="BD54" s="555"/>
      <c r="BE54" s="555"/>
      <c r="BF54" s="555"/>
      <c r="BG54" s="555"/>
      <c r="BH54" s="555"/>
      <c r="BI54" s="556"/>
      <c r="BJ54" s="554">
        <v>5</v>
      </c>
      <c r="BK54" s="555"/>
      <c r="BL54" s="555"/>
      <c r="BM54" s="555"/>
      <c r="BN54" s="555"/>
      <c r="BO54" s="555"/>
      <c r="BP54" s="555"/>
      <c r="BQ54" s="555"/>
      <c r="BR54" s="555"/>
      <c r="BS54" s="555"/>
      <c r="BT54" s="555"/>
      <c r="BU54" s="555"/>
      <c r="BV54" s="555"/>
      <c r="BW54" s="555"/>
      <c r="BX54" s="555"/>
      <c r="BY54" s="555"/>
      <c r="BZ54" s="555"/>
      <c r="CA54" s="555"/>
      <c r="CB54" s="556"/>
      <c r="CC54" s="62" t="s">
        <v>193</v>
      </c>
      <c r="CD54" s="62" t="s">
        <v>194</v>
      </c>
      <c r="CE54" s="62" t="s">
        <v>298</v>
      </c>
      <c r="CF54" s="112" t="s">
        <v>296</v>
      </c>
      <c r="CG54" s="41"/>
    </row>
    <row r="55" spans="1:85" x14ac:dyDescent="0.2">
      <c r="A55" s="506">
        <v>1</v>
      </c>
      <c r="B55" s="507"/>
      <c r="C55" s="507"/>
      <c r="D55" s="508"/>
      <c r="E55" s="630" t="s">
        <v>304</v>
      </c>
      <c r="F55" s="631"/>
      <c r="G55" s="631"/>
      <c r="H55" s="631"/>
      <c r="I55" s="631"/>
      <c r="J55" s="631"/>
      <c r="K55" s="631"/>
      <c r="L55" s="631"/>
      <c r="M55" s="631"/>
      <c r="N55" s="631"/>
      <c r="O55" s="631"/>
      <c r="P55" s="631"/>
      <c r="Q55" s="631"/>
      <c r="R55" s="631"/>
      <c r="S55" s="631"/>
      <c r="T55" s="631"/>
      <c r="U55" s="631"/>
      <c r="V55" s="631"/>
      <c r="W55" s="631"/>
      <c r="X55" s="631"/>
      <c r="Y55" s="631"/>
      <c r="Z55" s="631"/>
      <c r="AA55" s="631"/>
      <c r="AB55" s="631"/>
      <c r="AC55" s="631"/>
      <c r="AD55" s="631"/>
      <c r="AE55" s="631"/>
      <c r="AF55" s="631"/>
      <c r="AG55" s="631"/>
      <c r="AH55" s="631"/>
      <c r="AI55" s="631"/>
      <c r="AJ55" s="631"/>
      <c r="AK55" s="631"/>
      <c r="AL55" s="631"/>
      <c r="AM55" s="632"/>
      <c r="AN55" s="538"/>
      <c r="AO55" s="539"/>
      <c r="AP55" s="539"/>
      <c r="AQ55" s="539"/>
      <c r="AR55" s="539"/>
      <c r="AS55" s="539"/>
      <c r="AT55" s="539"/>
      <c r="AU55" s="539"/>
      <c r="AV55" s="539"/>
      <c r="AW55" s="539"/>
      <c r="AX55" s="539"/>
      <c r="AY55" s="539"/>
      <c r="AZ55" s="539"/>
      <c r="BA55" s="607"/>
      <c r="BB55" s="608"/>
      <c r="BC55" s="609"/>
      <c r="BD55" s="609"/>
      <c r="BE55" s="609"/>
      <c r="BF55" s="609"/>
      <c r="BG55" s="609"/>
      <c r="BH55" s="609"/>
      <c r="BI55" s="610"/>
      <c r="BJ55" s="538">
        <f>100</f>
        <v>100</v>
      </c>
      <c r="BK55" s="539"/>
      <c r="BL55" s="539"/>
      <c r="BM55" s="539"/>
      <c r="BN55" s="539"/>
      <c r="BO55" s="539"/>
      <c r="BP55" s="539"/>
      <c r="BQ55" s="539"/>
      <c r="BR55" s="539"/>
      <c r="BS55" s="539"/>
      <c r="BT55" s="539"/>
      <c r="BU55" s="539"/>
      <c r="BV55" s="539"/>
      <c r="BW55" s="539"/>
      <c r="BX55" s="539"/>
      <c r="BY55" s="539"/>
      <c r="BZ55" s="539"/>
      <c r="CA55" s="539"/>
      <c r="CB55" s="607"/>
      <c r="CE55" s="64">
        <f>CC55-CD55</f>
        <v>0</v>
      </c>
      <c r="CF55" s="106">
        <f>BJ55-CC55</f>
        <v>100</v>
      </c>
      <c r="CG55" s="41"/>
    </row>
    <row r="56" spans="1:85" x14ac:dyDescent="0.2">
      <c r="A56" s="506"/>
      <c r="B56" s="507"/>
      <c r="C56" s="507"/>
      <c r="D56" s="508"/>
      <c r="E56" s="506" t="s">
        <v>505</v>
      </c>
      <c r="F56" s="507"/>
      <c r="G56" s="507"/>
      <c r="H56" s="507"/>
      <c r="I56" s="507"/>
      <c r="J56" s="507"/>
      <c r="K56" s="507"/>
      <c r="L56" s="507"/>
      <c r="M56" s="507"/>
      <c r="N56" s="507"/>
      <c r="O56" s="507"/>
      <c r="P56" s="507"/>
      <c r="Q56" s="507"/>
      <c r="R56" s="507"/>
      <c r="S56" s="507"/>
      <c r="T56" s="507"/>
      <c r="U56" s="507"/>
      <c r="V56" s="507"/>
      <c r="W56" s="507"/>
      <c r="X56" s="507"/>
      <c r="Y56" s="507"/>
      <c r="Z56" s="507"/>
      <c r="AA56" s="507"/>
      <c r="AB56" s="507"/>
      <c r="AC56" s="507"/>
      <c r="AD56" s="507"/>
      <c r="AE56" s="507"/>
      <c r="AF56" s="507"/>
      <c r="AG56" s="507"/>
      <c r="AH56" s="507"/>
      <c r="AI56" s="507"/>
      <c r="AJ56" s="507"/>
      <c r="AK56" s="507"/>
      <c r="AL56" s="507"/>
      <c r="AM56" s="508"/>
      <c r="AN56" s="538"/>
      <c r="AO56" s="539"/>
      <c r="AP56" s="539"/>
      <c r="AQ56" s="539"/>
      <c r="AR56" s="539"/>
      <c r="AS56" s="539"/>
      <c r="AT56" s="539"/>
      <c r="AU56" s="539"/>
      <c r="AV56" s="539"/>
      <c r="AW56" s="539"/>
      <c r="AX56" s="539"/>
      <c r="AY56" s="539"/>
      <c r="AZ56" s="539"/>
      <c r="BA56" s="607"/>
      <c r="BB56" s="608"/>
      <c r="BC56" s="609"/>
      <c r="BD56" s="609"/>
      <c r="BE56" s="609"/>
      <c r="BF56" s="609"/>
      <c r="BG56" s="609"/>
      <c r="BH56" s="609"/>
      <c r="BI56" s="610"/>
      <c r="BJ56" s="538">
        <f>400</f>
        <v>400</v>
      </c>
      <c r="BK56" s="539"/>
      <c r="BL56" s="539"/>
      <c r="BM56" s="539"/>
      <c r="BN56" s="539"/>
      <c r="BO56" s="539"/>
      <c r="BP56" s="539"/>
      <c r="BQ56" s="539"/>
      <c r="BR56" s="539"/>
      <c r="BS56" s="539"/>
      <c r="BT56" s="539"/>
      <c r="BU56" s="539"/>
      <c r="BV56" s="539"/>
      <c r="BW56" s="539"/>
      <c r="BX56" s="539"/>
      <c r="BY56" s="539"/>
      <c r="BZ56" s="539"/>
      <c r="CA56" s="539"/>
      <c r="CB56" s="607"/>
      <c r="CE56" s="64">
        <f>CC56-CD56</f>
        <v>0</v>
      </c>
      <c r="CF56" s="106">
        <f>BJ42-CC56</f>
        <v>0</v>
      </c>
      <c r="CG56" s="41"/>
    </row>
    <row r="57" spans="1:85" x14ac:dyDescent="0.2">
      <c r="A57" s="597"/>
      <c r="B57" s="598"/>
      <c r="C57" s="598"/>
      <c r="D57" s="599"/>
      <c r="E57" s="593" t="s">
        <v>10</v>
      </c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  <c r="T57" s="594"/>
      <c r="U57" s="594"/>
      <c r="V57" s="594"/>
      <c r="W57" s="594"/>
      <c r="X57" s="594"/>
      <c r="Y57" s="594"/>
      <c r="Z57" s="594"/>
      <c r="AA57" s="594"/>
      <c r="AB57" s="594"/>
      <c r="AC57" s="594"/>
      <c r="AD57" s="594"/>
      <c r="AE57" s="594"/>
      <c r="AF57" s="594"/>
      <c r="AG57" s="594"/>
      <c r="AH57" s="594"/>
      <c r="AI57" s="594"/>
      <c r="AJ57" s="594"/>
      <c r="AK57" s="594"/>
      <c r="AL57" s="594"/>
      <c r="AM57" s="595"/>
      <c r="AN57" s="593"/>
      <c r="AO57" s="594"/>
      <c r="AP57" s="594"/>
      <c r="AQ57" s="594"/>
      <c r="AR57" s="594"/>
      <c r="AS57" s="594"/>
      <c r="AT57" s="594"/>
      <c r="AU57" s="594"/>
      <c r="AV57" s="594"/>
      <c r="AW57" s="594"/>
      <c r="AX57" s="594"/>
      <c r="AY57" s="594"/>
      <c r="AZ57" s="594"/>
      <c r="BA57" s="595"/>
      <c r="BB57" s="590" t="s">
        <v>11</v>
      </c>
      <c r="BC57" s="591"/>
      <c r="BD57" s="591"/>
      <c r="BE57" s="591"/>
      <c r="BF57" s="591"/>
      <c r="BG57" s="591"/>
      <c r="BH57" s="591"/>
      <c r="BI57" s="592"/>
      <c r="BJ57" s="541">
        <f>BJ55+BJ56</f>
        <v>500</v>
      </c>
      <c r="BK57" s="542"/>
      <c r="BL57" s="542"/>
      <c r="BM57" s="542"/>
      <c r="BN57" s="542"/>
      <c r="BO57" s="542"/>
      <c r="BP57" s="542"/>
      <c r="BQ57" s="542"/>
      <c r="BR57" s="542"/>
      <c r="BS57" s="542"/>
      <c r="BT57" s="542"/>
      <c r="BU57" s="542"/>
      <c r="BV57" s="542"/>
      <c r="BW57" s="542"/>
      <c r="BX57" s="542"/>
      <c r="BY57" s="542"/>
      <c r="BZ57" s="542"/>
      <c r="CA57" s="542"/>
      <c r="CB57" s="629"/>
      <c r="CE57" s="64">
        <f>CC57-CD57</f>
        <v>0</v>
      </c>
      <c r="CF57" s="106"/>
      <c r="CG57" s="41"/>
    </row>
    <row r="58" spans="1:85" s="3" customFormat="1" ht="45" customHeight="1" x14ac:dyDescent="0.25">
      <c r="A58" s="518" t="s">
        <v>398</v>
      </c>
      <c r="B58" s="518"/>
      <c r="C58" s="518"/>
      <c r="D58" s="518"/>
      <c r="E58" s="518"/>
      <c r="F58" s="518"/>
      <c r="G58" s="518"/>
      <c r="H58" s="518"/>
      <c r="I58" s="518"/>
      <c r="J58" s="518"/>
      <c r="K58" s="518"/>
      <c r="L58" s="518"/>
      <c r="M58" s="518"/>
      <c r="N58" s="518"/>
      <c r="O58" s="518"/>
      <c r="P58" s="518"/>
      <c r="Q58" s="518"/>
      <c r="R58" s="518"/>
      <c r="S58" s="518"/>
      <c r="T58" s="518"/>
      <c r="U58" s="518"/>
      <c r="V58" s="518"/>
      <c r="W58" s="518"/>
      <c r="X58" s="518"/>
      <c r="Y58" s="518"/>
      <c r="Z58" s="518"/>
      <c r="AA58" s="518"/>
      <c r="AB58" s="518"/>
      <c r="AC58" s="518"/>
      <c r="AD58" s="518"/>
      <c r="AE58" s="518"/>
      <c r="AF58" s="518"/>
      <c r="AG58" s="518"/>
      <c r="AH58" s="518"/>
      <c r="AI58" s="518"/>
      <c r="AJ58" s="518"/>
      <c r="AK58" s="518"/>
      <c r="AL58" s="518"/>
      <c r="AM58" s="518"/>
      <c r="AN58" s="518"/>
      <c r="AO58" s="518"/>
      <c r="AP58" s="518"/>
      <c r="AQ58" s="518"/>
      <c r="AR58" s="518"/>
      <c r="AS58" s="518"/>
      <c r="AT58" s="518"/>
      <c r="AU58" s="518"/>
      <c r="AV58" s="518"/>
      <c r="AW58" s="518"/>
      <c r="AX58" s="518"/>
      <c r="AY58" s="518"/>
      <c r="AZ58" s="518"/>
      <c r="BA58" s="518"/>
      <c r="BB58" s="518"/>
      <c r="BC58" s="518"/>
      <c r="BD58" s="518"/>
      <c r="BE58" s="518"/>
      <c r="BF58" s="518"/>
      <c r="BG58" s="518"/>
      <c r="BH58" s="518"/>
      <c r="BI58" s="518"/>
      <c r="BJ58" s="518"/>
      <c r="BK58" s="518"/>
      <c r="BL58" s="518"/>
      <c r="BM58" s="518"/>
      <c r="BN58" s="518"/>
      <c r="BO58" s="518"/>
      <c r="BP58" s="518"/>
      <c r="BQ58" s="518"/>
      <c r="BR58" s="518"/>
      <c r="BS58" s="518"/>
      <c r="BT58" s="518"/>
      <c r="BU58" s="518"/>
      <c r="BV58" s="518"/>
      <c r="BW58" s="518"/>
      <c r="BX58" s="518"/>
      <c r="BY58" s="518"/>
      <c r="BZ58" s="518"/>
      <c r="CA58" s="518"/>
      <c r="CB58" s="628"/>
      <c r="CC58" s="373"/>
      <c r="CD58" s="373"/>
      <c r="CE58" s="374"/>
      <c r="CF58" s="374"/>
      <c r="CG58" s="374"/>
    </row>
    <row r="59" spans="1:85" x14ac:dyDescent="0.2">
      <c r="CC59" s="27"/>
      <c r="CD59" s="27"/>
      <c r="CE59" s="27"/>
      <c r="CF59" s="27"/>
      <c r="CG59" s="27"/>
    </row>
    <row r="60" spans="1:85" x14ac:dyDescent="0.2">
      <c r="A60" s="519" t="s">
        <v>5</v>
      </c>
      <c r="B60" s="520"/>
      <c r="C60" s="520"/>
      <c r="D60" s="523"/>
      <c r="E60" s="519" t="s">
        <v>13</v>
      </c>
      <c r="F60" s="520"/>
      <c r="G60" s="520"/>
      <c r="H60" s="520"/>
      <c r="I60" s="520"/>
      <c r="J60" s="520"/>
      <c r="K60" s="520"/>
      <c r="L60" s="520"/>
      <c r="M60" s="520"/>
      <c r="N60" s="520"/>
      <c r="O60" s="520"/>
      <c r="P60" s="520"/>
      <c r="Q60" s="520"/>
      <c r="R60" s="520"/>
      <c r="S60" s="520"/>
      <c r="T60" s="520"/>
      <c r="U60" s="520"/>
      <c r="V60" s="520"/>
      <c r="W60" s="520"/>
      <c r="X60" s="520"/>
      <c r="Y60" s="520"/>
      <c r="Z60" s="520"/>
      <c r="AA60" s="520"/>
      <c r="AB60" s="520"/>
      <c r="AC60" s="520"/>
      <c r="AD60" s="520"/>
      <c r="AE60" s="520"/>
      <c r="AF60" s="520"/>
      <c r="AG60" s="520"/>
      <c r="AH60" s="520"/>
      <c r="AI60" s="520"/>
      <c r="AJ60" s="520"/>
      <c r="AK60" s="520"/>
      <c r="AL60" s="520"/>
      <c r="AM60" s="523"/>
      <c r="AN60" s="519" t="s">
        <v>69</v>
      </c>
      <c r="AO60" s="520"/>
      <c r="AP60" s="520"/>
      <c r="AQ60" s="520"/>
      <c r="AR60" s="520"/>
      <c r="AS60" s="520"/>
      <c r="AT60" s="520"/>
      <c r="AU60" s="520"/>
      <c r="AV60" s="520"/>
      <c r="AW60" s="520"/>
      <c r="AX60" s="520"/>
      <c r="AY60" s="520"/>
      <c r="AZ60" s="520"/>
      <c r="BA60" s="523"/>
      <c r="BB60" s="519" t="s">
        <v>72</v>
      </c>
      <c r="BC60" s="520"/>
      <c r="BD60" s="520"/>
      <c r="BE60" s="520"/>
      <c r="BF60" s="520"/>
      <c r="BG60" s="520"/>
      <c r="BH60" s="520"/>
      <c r="BI60" s="523"/>
      <c r="BJ60" s="519" t="s">
        <v>74</v>
      </c>
      <c r="BK60" s="520"/>
      <c r="BL60" s="520"/>
      <c r="BM60" s="520"/>
      <c r="BN60" s="520"/>
      <c r="BO60" s="520"/>
      <c r="BP60" s="520"/>
      <c r="BQ60" s="520"/>
      <c r="BR60" s="520"/>
      <c r="BS60" s="520"/>
      <c r="BT60" s="520"/>
      <c r="BU60" s="520"/>
      <c r="BV60" s="520"/>
      <c r="BW60" s="520"/>
      <c r="BX60" s="520"/>
      <c r="BY60" s="520"/>
      <c r="BZ60" s="520"/>
      <c r="CA60" s="520"/>
      <c r="CB60" s="520"/>
      <c r="CC60" s="27"/>
      <c r="CD60" s="27"/>
      <c r="CE60" s="27"/>
      <c r="CF60" s="27"/>
      <c r="CG60" s="27"/>
    </row>
    <row r="61" spans="1:85" x14ac:dyDescent="0.2">
      <c r="A61" s="521" t="s">
        <v>6</v>
      </c>
      <c r="B61" s="522"/>
      <c r="C61" s="522"/>
      <c r="D61" s="537"/>
      <c r="E61" s="521"/>
      <c r="F61" s="522"/>
      <c r="G61" s="522"/>
      <c r="H61" s="522"/>
      <c r="I61" s="522"/>
      <c r="J61" s="522"/>
      <c r="K61" s="522"/>
      <c r="L61" s="522"/>
      <c r="M61" s="522"/>
      <c r="N61" s="522"/>
      <c r="O61" s="522"/>
      <c r="P61" s="522"/>
      <c r="Q61" s="522"/>
      <c r="R61" s="522"/>
      <c r="S61" s="522"/>
      <c r="T61" s="522"/>
      <c r="U61" s="522"/>
      <c r="V61" s="522"/>
      <c r="W61" s="522"/>
      <c r="X61" s="522"/>
      <c r="Y61" s="522"/>
      <c r="Z61" s="522"/>
      <c r="AA61" s="522"/>
      <c r="AB61" s="522"/>
      <c r="AC61" s="522"/>
      <c r="AD61" s="522"/>
      <c r="AE61" s="522"/>
      <c r="AF61" s="522"/>
      <c r="AG61" s="522"/>
      <c r="AH61" s="522"/>
      <c r="AI61" s="522"/>
      <c r="AJ61" s="522"/>
      <c r="AK61" s="522"/>
      <c r="AL61" s="522"/>
      <c r="AM61" s="537"/>
      <c r="AN61" s="521" t="s">
        <v>70</v>
      </c>
      <c r="AO61" s="522"/>
      <c r="AP61" s="522"/>
      <c r="AQ61" s="522"/>
      <c r="AR61" s="522"/>
      <c r="AS61" s="522"/>
      <c r="AT61" s="522"/>
      <c r="AU61" s="522"/>
      <c r="AV61" s="522"/>
      <c r="AW61" s="522"/>
      <c r="AX61" s="522"/>
      <c r="AY61" s="522"/>
      <c r="AZ61" s="522"/>
      <c r="BA61" s="537"/>
      <c r="BB61" s="521" t="s">
        <v>73</v>
      </c>
      <c r="BC61" s="522"/>
      <c r="BD61" s="522"/>
      <c r="BE61" s="522"/>
      <c r="BF61" s="522"/>
      <c r="BG61" s="522"/>
      <c r="BH61" s="522"/>
      <c r="BI61" s="537"/>
      <c r="BJ61" s="521" t="s">
        <v>75</v>
      </c>
      <c r="BK61" s="522"/>
      <c r="BL61" s="522"/>
      <c r="BM61" s="522"/>
      <c r="BN61" s="522"/>
      <c r="BO61" s="522"/>
      <c r="BP61" s="522"/>
      <c r="BQ61" s="522"/>
      <c r="BR61" s="522"/>
      <c r="BS61" s="522"/>
      <c r="BT61" s="522"/>
      <c r="BU61" s="522"/>
      <c r="BV61" s="522"/>
      <c r="BW61" s="522"/>
      <c r="BX61" s="522"/>
      <c r="BY61" s="522"/>
      <c r="BZ61" s="522"/>
      <c r="CA61" s="522"/>
      <c r="CB61" s="522"/>
      <c r="CC61" s="27"/>
      <c r="CD61" s="27"/>
      <c r="CE61" s="27"/>
      <c r="CF61" s="27"/>
      <c r="CG61" s="27"/>
    </row>
    <row r="62" spans="1:85" x14ac:dyDescent="0.2">
      <c r="A62" s="521"/>
      <c r="B62" s="522"/>
      <c r="C62" s="522"/>
      <c r="D62" s="537"/>
      <c r="E62" s="521"/>
      <c r="F62" s="522"/>
      <c r="G62" s="522"/>
      <c r="H62" s="522"/>
      <c r="I62" s="522"/>
      <c r="J62" s="522"/>
      <c r="K62" s="522"/>
      <c r="L62" s="522"/>
      <c r="M62" s="522"/>
      <c r="N62" s="522"/>
      <c r="O62" s="522"/>
      <c r="P62" s="522"/>
      <c r="Q62" s="522"/>
      <c r="R62" s="522"/>
      <c r="S62" s="522"/>
      <c r="T62" s="522"/>
      <c r="U62" s="522"/>
      <c r="V62" s="522"/>
      <c r="W62" s="522"/>
      <c r="X62" s="522"/>
      <c r="Y62" s="522"/>
      <c r="Z62" s="522"/>
      <c r="AA62" s="522"/>
      <c r="AB62" s="522"/>
      <c r="AC62" s="522"/>
      <c r="AD62" s="522"/>
      <c r="AE62" s="522"/>
      <c r="AF62" s="522"/>
      <c r="AG62" s="522"/>
      <c r="AH62" s="522"/>
      <c r="AI62" s="522"/>
      <c r="AJ62" s="522"/>
      <c r="AK62" s="522"/>
      <c r="AL62" s="522"/>
      <c r="AM62" s="537"/>
      <c r="AN62" s="521"/>
      <c r="AO62" s="522"/>
      <c r="AP62" s="522"/>
      <c r="AQ62" s="522"/>
      <c r="AR62" s="522"/>
      <c r="AS62" s="522"/>
      <c r="AT62" s="522"/>
      <c r="AU62" s="522"/>
      <c r="AV62" s="522"/>
      <c r="AW62" s="522"/>
      <c r="AX62" s="522"/>
      <c r="AY62" s="522"/>
      <c r="AZ62" s="522"/>
      <c r="BA62" s="537"/>
      <c r="BB62" s="521"/>
      <c r="BC62" s="522"/>
      <c r="BD62" s="522"/>
      <c r="BE62" s="522"/>
      <c r="BF62" s="522"/>
      <c r="BG62" s="522"/>
      <c r="BH62" s="522"/>
      <c r="BI62" s="537"/>
      <c r="BJ62" s="521" t="s">
        <v>76</v>
      </c>
      <c r="BK62" s="522"/>
      <c r="BL62" s="522"/>
      <c r="BM62" s="522"/>
      <c r="BN62" s="522"/>
      <c r="BO62" s="522"/>
      <c r="BP62" s="522"/>
      <c r="BQ62" s="522"/>
      <c r="BR62" s="522"/>
      <c r="BS62" s="522"/>
      <c r="BT62" s="522"/>
      <c r="BU62" s="522"/>
      <c r="BV62" s="522"/>
      <c r="BW62" s="522"/>
      <c r="BX62" s="522"/>
      <c r="BY62" s="522"/>
      <c r="BZ62" s="522"/>
      <c r="CA62" s="522"/>
      <c r="CB62" s="522"/>
      <c r="CC62" s="27"/>
      <c r="CD62" s="27"/>
      <c r="CE62" s="27"/>
      <c r="CF62" s="27"/>
      <c r="CG62" s="27"/>
    </row>
    <row r="63" spans="1:85" x14ac:dyDescent="0.2">
      <c r="A63" s="521"/>
      <c r="B63" s="522"/>
      <c r="C63" s="522"/>
      <c r="D63" s="537"/>
      <c r="E63" s="521"/>
      <c r="F63" s="522"/>
      <c r="G63" s="522"/>
      <c r="H63" s="522"/>
      <c r="I63" s="522"/>
      <c r="J63" s="522"/>
      <c r="K63" s="522"/>
      <c r="L63" s="522"/>
      <c r="M63" s="522"/>
      <c r="N63" s="522"/>
      <c r="O63" s="522"/>
      <c r="P63" s="522"/>
      <c r="Q63" s="522"/>
      <c r="R63" s="522"/>
      <c r="S63" s="522"/>
      <c r="T63" s="522"/>
      <c r="U63" s="522"/>
      <c r="V63" s="522"/>
      <c r="W63" s="522"/>
      <c r="X63" s="522"/>
      <c r="Y63" s="522"/>
      <c r="Z63" s="522"/>
      <c r="AA63" s="522"/>
      <c r="AB63" s="522"/>
      <c r="AC63" s="522"/>
      <c r="AD63" s="522"/>
      <c r="AE63" s="522"/>
      <c r="AF63" s="522"/>
      <c r="AG63" s="522"/>
      <c r="AH63" s="522"/>
      <c r="AI63" s="522"/>
      <c r="AJ63" s="522"/>
      <c r="AK63" s="522"/>
      <c r="AL63" s="522"/>
      <c r="AM63" s="537"/>
      <c r="AN63" s="521"/>
      <c r="AO63" s="522"/>
      <c r="AP63" s="522"/>
      <c r="AQ63" s="522"/>
      <c r="AR63" s="522"/>
      <c r="AS63" s="522"/>
      <c r="AT63" s="522"/>
      <c r="AU63" s="522"/>
      <c r="AV63" s="522"/>
      <c r="AW63" s="522"/>
      <c r="AX63" s="522"/>
      <c r="AY63" s="522"/>
      <c r="AZ63" s="522"/>
      <c r="BA63" s="537"/>
      <c r="BB63" s="521"/>
      <c r="BC63" s="522"/>
      <c r="BD63" s="522"/>
      <c r="BE63" s="522"/>
      <c r="BF63" s="522"/>
      <c r="BG63" s="522"/>
      <c r="BH63" s="522"/>
      <c r="BI63" s="537"/>
      <c r="BJ63" s="521" t="s">
        <v>78</v>
      </c>
      <c r="BK63" s="522"/>
      <c r="BL63" s="522"/>
      <c r="BM63" s="522"/>
      <c r="BN63" s="522"/>
      <c r="BO63" s="522"/>
      <c r="BP63" s="522"/>
      <c r="BQ63" s="522"/>
      <c r="BR63" s="522"/>
      <c r="BS63" s="522"/>
      <c r="BT63" s="522"/>
      <c r="BU63" s="522"/>
      <c r="BV63" s="522"/>
      <c r="BW63" s="522"/>
      <c r="BX63" s="522"/>
      <c r="BY63" s="522"/>
      <c r="BZ63" s="522"/>
      <c r="CA63" s="522"/>
      <c r="CB63" s="522"/>
      <c r="CC63" s="27"/>
      <c r="CD63" s="27"/>
      <c r="CE63" s="27"/>
      <c r="CF63" s="27"/>
      <c r="CG63" s="27"/>
    </row>
    <row r="64" spans="1:85" x14ac:dyDescent="0.2">
      <c r="A64" s="554">
        <v>1</v>
      </c>
      <c r="B64" s="555"/>
      <c r="C64" s="555"/>
      <c r="D64" s="556"/>
      <c r="E64" s="554">
        <v>2</v>
      </c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  <c r="Q64" s="555"/>
      <c r="R64" s="555"/>
      <c r="S64" s="555"/>
      <c r="T64" s="555"/>
      <c r="U64" s="555"/>
      <c r="V64" s="555"/>
      <c r="W64" s="555"/>
      <c r="X64" s="555"/>
      <c r="Y64" s="555"/>
      <c r="Z64" s="555"/>
      <c r="AA64" s="555"/>
      <c r="AB64" s="555"/>
      <c r="AC64" s="555"/>
      <c r="AD64" s="555"/>
      <c r="AE64" s="555"/>
      <c r="AF64" s="555"/>
      <c r="AG64" s="555"/>
      <c r="AH64" s="555"/>
      <c r="AI64" s="555"/>
      <c r="AJ64" s="555"/>
      <c r="AK64" s="555"/>
      <c r="AL64" s="555"/>
      <c r="AM64" s="556"/>
      <c r="AN64" s="554">
        <v>3</v>
      </c>
      <c r="AO64" s="555"/>
      <c r="AP64" s="555"/>
      <c r="AQ64" s="555"/>
      <c r="AR64" s="555"/>
      <c r="AS64" s="555"/>
      <c r="AT64" s="555"/>
      <c r="AU64" s="555"/>
      <c r="AV64" s="555"/>
      <c r="AW64" s="555"/>
      <c r="AX64" s="555"/>
      <c r="AY64" s="555"/>
      <c r="AZ64" s="555"/>
      <c r="BA64" s="556"/>
      <c r="BB64" s="554">
        <v>4</v>
      </c>
      <c r="BC64" s="555"/>
      <c r="BD64" s="555"/>
      <c r="BE64" s="555"/>
      <c r="BF64" s="555"/>
      <c r="BG64" s="555"/>
      <c r="BH64" s="555"/>
      <c r="BI64" s="556"/>
      <c r="BJ64" s="554">
        <v>5</v>
      </c>
      <c r="BK64" s="555"/>
      <c r="BL64" s="555"/>
      <c r="BM64" s="555"/>
      <c r="BN64" s="555"/>
      <c r="BO64" s="555"/>
      <c r="BP64" s="555"/>
      <c r="BQ64" s="555"/>
      <c r="BR64" s="555"/>
      <c r="BS64" s="555"/>
      <c r="BT64" s="555"/>
      <c r="BU64" s="555"/>
      <c r="BV64" s="555"/>
      <c r="BW64" s="555"/>
      <c r="BX64" s="555"/>
      <c r="BY64" s="555"/>
      <c r="BZ64" s="555"/>
      <c r="CA64" s="555"/>
      <c r="CB64" s="555"/>
      <c r="CC64" s="27"/>
      <c r="CD64" s="27"/>
      <c r="CE64" s="27"/>
      <c r="CF64" s="27"/>
      <c r="CG64" s="27"/>
    </row>
    <row r="65" spans="1:85" ht="16.5" customHeight="1" x14ac:dyDescent="0.2">
      <c r="A65" s="506"/>
      <c r="B65" s="507"/>
      <c r="C65" s="507"/>
      <c r="D65" s="508"/>
      <c r="E65" s="618" t="s">
        <v>399</v>
      </c>
      <c r="F65" s="619"/>
      <c r="G65" s="619"/>
      <c r="H65" s="619"/>
      <c r="I65" s="619"/>
      <c r="J65" s="619"/>
      <c r="K65" s="619"/>
      <c r="L65" s="619"/>
      <c r="M65" s="619"/>
      <c r="N65" s="619"/>
      <c r="O65" s="619"/>
      <c r="P65" s="619"/>
      <c r="Q65" s="619"/>
      <c r="R65" s="619"/>
      <c r="S65" s="619"/>
      <c r="T65" s="619"/>
      <c r="U65" s="619"/>
      <c r="V65" s="619"/>
      <c r="W65" s="619"/>
      <c r="X65" s="619"/>
      <c r="Y65" s="619"/>
      <c r="Z65" s="619"/>
      <c r="AA65" s="619"/>
      <c r="AB65" s="619"/>
      <c r="AC65" s="619"/>
      <c r="AD65" s="619"/>
      <c r="AE65" s="619"/>
      <c r="AF65" s="619"/>
      <c r="AG65" s="619"/>
      <c r="AH65" s="619"/>
      <c r="AI65" s="619"/>
      <c r="AJ65" s="619"/>
      <c r="AK65" s="619"/>
      <c r="AL65" s="619"/>
      <c r="AM65" s="620"/>
      <c r="AN65" s="687"/>
      <c r="AO65" s="611"/>
      <c r="AP65" s="611"/>
      <c r="AQ65" s="611"/>
      <c r="AR65" s="611"/>
      <c r="AS65" s="611"/>
      <c r="AT65" s="611"/>
      <c r="AU65" s="611"/>
      <c r="AV65" s="611"/>
      <c r="AW65" s="611"/>
      <c r="AX65" s="611"/>
      <c r="AY65" s="611"/>
      <c r="AZ65" s="611"/>
      <c r="BA65" s="612"/>
      <c r="BB65" s="611"/>
      <c r="BC65" s="611"/>
      <c r="BD65" s="611"/>
      <c r="BE65" s="611"/>
      <c r="BF65" s="611"/>
      <c r="BG65" s="611"/>
      <c r="BH65" s="611"/>
      <c r="BI65" s="612"/>
      <c r="BJ65" s="685">
        <f>1082600.66</f>
        <v>1082600.6599999999</v>
      </c>
      <c r="BK65" s="686"/>
      <c r="BL65" s="686"/>
      <c r="BM65" s="686"/>
      <c r="BN65" s="686"/>
      <c r="BO65" s="686"/>
      <c r="BP65" s="686"/>
      <c r="BQ65" s="686"/>
      <c r="BR65" s="686"/>
      <c r="BS65" s="686"/>
      <c r="BT65" s="686"/>
      <c r="BU65" s="686"/>
      <c r="BV65" s="686"/>
      <c r="BW65" s="686"/>
      <c r="BX65" s="686"/>
      <c r="BY65" s="686"/>
      <c r="BZ65" s="686"/>
      <c r="CA65" s="686"/>
      <c r="CB65" s="686"/>
      <c r="CC65" s="375"/>
      <c r="CD65" s="27"/>
      <c r="CE65" s="376"/>
      <c r="CF65" s="376"/>
      <c r="CG65" s="376"/>
    </row>
    <row r="66" spans="1:85" ht="17.25" customHeight="1" x14ac:dyDescent="0.2">
      <c r="A66" s="506"/>
      <c r="B66" s="507"/>
      <c r="C66" s="507"/>
      <c r="D66" s="508"/>
      <c r="E66" s="618" t="s">
        <v>400</v>
      </c>
      <c r="F66" s="619"/>
      <c r="G66" s="619"/>
      <c r="H66" s="619"/>
      <c r="I66" s="619"/>
      <c r="J66" s="619"/>
      <c r="K66" s="619"/>
      <c r="L66" s="619"/>
      <c r="M66" s="619"/>
      <c r="N66" s="619"/>
      <c r="O66" s="619"/>
      <c r="P66" s="619"/>
      <c r="Q66" s="619"/>
      <c r="R66" s="619"/>
      <c r="S66" s="619"/>
      <c r="T66" s="619"/>
      <c r="U66" s="619"/>
      <c r="V66" s="619"/>
      <c r="W66" s="619"/>
      <c r="X66" s="619"/>
      <c r="Y66" s="619"/>
      <c r="Z66" s="619"/>
      <c r="AA66" s="619"/>
      <c r="AB66" s="619"/>
      <c r="AC66" s="619"/>
      <c r="AD66" s="619"/>
      <c r="AE66" s="619"/>
      <c r="AF66" s="619"/>
      <c r="AG66" s="619"/>
      <c r="AH66" s="619"/>
      <c r="AI66" s="619"/>
      <c r="AJ66" s="619"/>
      <c r="AK66" s="619"/>
      <c r="AL66" s="619"/>
      <c r="AM66" s="620"/>
      <c r="AN66" s="687"/>
      <c r="AO66" s="611"/>
      <c r="AP66" s="611"/>
      <c r="AQ66" s="611"/>
      <c r="AR66" s="611"/>
      <c r="AS66" s="611"/>
      <c r="AT66" s="611"/>
      <c r="AU66" s="611"/>
      <c r="AV66" s="611"/>
      <c r="AW66" s="611"/>
      <c r="AX66" s="611"/>
      <c r="AY66" s="611"/>
      <c r="AZ66" s="611"/>
      <c r="BA66" s="612"/>
      <c r="BB66" s="611"/>
      <c r="BC66" s="611"/>
      <c r="BD66" s="611"/>
      <c r="BE66" s="611"/>
      <c r="BF66" s="611"/>
      <c r="BG66" s="611"/>
      <c r="BH66" s="611"/>
      <c r="BI66" s="612"/>
      <c r="BJ66" s="685">
        <f>28700.22</f>
        <v>28700.22</v>
      </c>
      <c r="BK66" s="686"/>
      <c r="BL66" s="686"/>
      <c r="BM66" s="686"/>
      <c r="BN66" s="686"/>
      <c r="BO66" s="686"/>
      <c r="BP66" s="686"/>
      <c r="BQ66" s="686"/>
      <c r="BR66" s="686"/>
      <c r="BS66" s="686"/>
      <c r="BT66" s="686"/>
      <c r="BU66" s="686"/>
      <c r="BV66" s="686"/>
      <c r="BW66" s="686"/>
      <c r="BX66" s="686"/>
      <c r="BY66" s="686"/>
      <c r="BZ66" s="686"/>
      <c r="CA66" s="686"/>
      <c r="CB66" s="686"/>
      <c r="CC66" s="375"/>
      <c r="CD66" s="27"/>
      <c r="CE66" s="376"/>
      <c r="CF66" s="376"/>
      <c r="CG66" s="376"/>
    </row>
    <row r="67" spans="1:85" ht="17.25" customHeight="1" x14ac:dyDescent="0.2">
      <c r="A67" s="506"/>
      <c r="B67" s="507"/>
      <c r="C67" s="507"/>
      <c r="D67" s="508"/>
      <c r="E67" s="618" t="s">
        <v>444</v>
      </c>
      <c r="F67" s="619"/>
      <c r="G67" s="619"/>
      <c r="H67" s="619"/>
      <c r="I67" s="619"/>
      <c r="J67" s="619"/>
      <c r="K67" s="619"/>
      <c r="L67" s="619"/>
      <c r="M67" s="619"/>
      <c r="N67" s="619"/>
      <c r="O67" s="619"/>
      <c r="P67" s="619"/>
      <c r="Q67" s="619"/>
      <c r="R67" s="619"/>
      <c r="S67" s="619"/>
      <c r="T67" s="619"/>
      <c r="U67" s="619"/>
      <c r="V67" s="619"/>
      <c r="W67" s="619"/>
      <c r="X67" s="619"/>
      <c r="Y67" s="619"/>
      <c r="Z67" s="619"/>
      <c r="AA67" s="619"/>
      <c r="AB67" s="619"/>
      <c r="AC67" s="619"/>
      <c r="AD67" s="619"/>
      <c r="AE67" s="619"/>
      <c r="AF67" s="619"/>
      <c r="AG67" s="619"/>
      <c r="AH67" s="619"/>
      <c r="AI67" s="619"/>
      <c r="AJ67" s="619"/>
      <c r="AK67" s="619"/>
      <c r="AL67" s="619"/>
      <c r="AM67" s="620"/>
      <c r="AN67" s="687"/>
      <c r="AO67" s="611"/>
      <c r="AP67" s="611"/>
      <c r="AQ67" s="611"/>
      <c r="AR67" s="611"/>
      <c r="AS67" s="611"/>
      <c r="AT67" s="611"/>
      <c r="AU67" s="611"/>
      <c r="AV67" s="611"/>
      <c r="AW67" s="611"/>
      <c r="AX67" s="611"/>
      <c r="AY67" s="611"/>
      <c r="AZ67" s="611"/>
      <c r="BA67" s="612"/>
      <c r="BB67" s="611"/>
      <c r="BC67" s="611"/>
      <c r="BD67" s="611"/>
      <c r="BE67" s="611"/>
      <c r="BF67" s="611"/>
      <c r="BG67" s="611"/>
      <c r="BH67" s="611"/>
      <c r="BI67" s="612"/>
      <c r="BJ67" s="685">
        <f>644.59</f>
        <v>644.59</v>
      </c>
      <c r="BK67" s="686"/>
      <c r="BL67" s="686"/>
      <c r="BM67" s="686"/>
      <c r="BN67" s="686"/>
      <c r="BO67" s="686"/>
      <c r="BP67" s="686"/>
      <c r="BQ67" s="686"/>
      <c r="BR67" s="686"/>
      <c r="BS67" s="686"/>
      <c r="BT67" s="686"/>
      <c r="BU67" s="686"/>
      <c r="BV67" s="686"/>
      <c r="BW67" s="686"/>
      <c r="BX67" s="686"/>
      <c r="BY67" s="686"/>
      <c r="BZ67" s="686"/>
      <c r="CA67" s="686"/>
      <c r="CB67" s="686"/>
      <c r="CC67" s="375"/>
      <c r="CD67" s="27"/>
      <c r="CE67" s="376"/>
      <c r="CF67" s="376"/>
      <c r="CG67" s="376"/>
    </row>
    <row r="68" spans="1:85" x14ac:dyDescent="0.2">
      <c r="A68" s="645"/>
      <c r="B68" s="646"/>
      <c r="C68" s="646"/>
      <c r="D68" s="647"/>
      <c r="E68" s="621" t="s">
        <v>10</v>
      </c>
      <c r="F68" s="622"/>
      <c r="G68" s="622"/>
      <c r="H68" s="622"/>
      <c r="I68" s="622"/>
      <c r="J68" s="622"/>
      <c r="K68" s="622"/>
      <c r="L68" s="622"/>
      <c r="M68" s="622"/>
      <c r="N68" s="622"/>
      <c r="O68" s="622"/>
      <c r="P68" s="622"/>
      <c r="Q68" s="622"/>
      <c r="R68" s="622"/>
      <c r="S68" s="622"/>
      <c r="T68" s="622"/>
      <c r="U68" s="622"/>
      <c r="V68" s="622"/>
      <c r="W68" s="622"/>
      <c r="X68" s="622"/>
      <c r="Y68" s="622"/>
      <c r="Z68" s="622"/>
      <c r="AA68" s="622"/>
      <c r="AB68" s="622"/>
      <c r="AC68" s="622"/>
      <c r="AD68" s="622"/>
      <c r="AE68" s="622"/>
      <c r="AF68" s="622"/>
      <c r="AG68" s="622"/>
      <c r="AH68" s="622"/>
      <c r="AI68" s="622"/>
      <c r="AJ68" s="622"/>
      <c r="AK68" s="622"/>
      <c r="AL68" s="622"/>
      <c r="AM68" s="623"/>
      <c r="AN68" s="621"/>
      <c r="AO68" s="622"/>
      <c r="AP68" s="622"/>
      <c r="AQ68" s="622"/>
      <c r="AR68" s="622"/>
      <c r="AS68" s="622"/>
      <c r="AT68" s="622"/>
      <c r="AU68" s="622"/>
      <c r="AV68" s="622"/>
      <c r="AW68" s="622"/>
      <c r="AX68" s="622"/>
      <c r="AY68" s="622"/>
      <c r="AZ68" s="622"/>
      <c r="BA68" s="623"/>
      <c r="BB68" s="613"/>
      <c r="BC68" s="614"/>
      <c r="BD68" s="614"/>
      <c r="BE68" s="614"/>
      <c r="BF68" s="614"/>
      <c r="BG68" s="614"/>
      <c r="BH68" s="614"/>
      <c r="BI68" s="615"/>
      <c r="BJ68" s="616">
        <f>SUM(BJ65:CB67)</f>
        <v>1111945.47</v>
      </c>
      <c r="BK68" s="617"/>
      <c r="BL68" s="617"/>
      <c r="BM68" s="617"/>
      <c r="BN68" s="617"/>
      <c r="BO68" s="617"/>
      <c r="BP68" s="617"/>
      <c r="BQ68" s="617"/>
      <c r="BR68" s="617"/>
      <c r="BS68" s="617"/>
      <c r="BT68" s="617"/>
      <c r="BU68" s="617"/>
      <c r="BV68" s="617"/>
      <c r="BW68" s="617"/>
      <c r="BX68" s="617"/>
      <c r="BY68" s="617"/>
      <c r="BZ68" s="617"/>
      <c r="CA68" s="617"/>
      <c r="CB68" s="617"/>
      <c r="CC68" s="27"/>
      <c r="CD68" s="27"/>
      <c r="CE68" s="27"/>
      <c r="CF68" s="27"/>
      <c r="CG68" s="27"/>
    </row>
    <row r="69" spans="1:85" s="3" customFormat="1" ht="15.75" x14ac:dyDescent="0.25">
      <c r="A69" s="651" t="s">
        <v>314</v>
      </c>
      <c r="B69" s="651"/>
      <c r="C69" s="651"/>
      <c r="D69" s="651"/>
      <c r="E69" s="651"/>
      <c r="F69" s="651"/>
      <c r="G69" s="651"/>
      <c r="H69" s="651"/>
      <c r="I69" s="651"/>
      <c r="J69" s="651"/>
      <c r="K69" s="651"/>
      <c r="L69" s="651"/>
      <c r="M69" s="651"/>
      <c r="N69" s="651"/>
      <c r="O69" s="651"/>
      <c r="P69" s="651"/>
      <c r="Q69" s="651"/>
      <c r="R69" s="651"/>
      <c r="S69" s="651"/>
      <c r="T69" s="651"/>
      <c r="U69" s="651"/>
      <c r="V69" s="651"/>
      <c r="W69" s="651"/>
      <c r="X69" s="651"/>
      <c r="Y69" s="651"/>
      <c r="Z69" s="651"/>
      <c r="AA69" s="651"/>
      <c r="AB69" s="651"/>
      <c r="AC69" s="651"/>
      <c r="AD69" s="651"/>
      <c r="AE69" s="651"/>
      <c r="AF69" s="651"/>
      <c r="AG69" s="651"/>
      <c r="AH69" s="651"/>
      <c r="AI69" s="651"/>
      <c r="AJ69" s="651"/>
      <c r="AK69" s="651"/>
      <c r="AL69" s="651"/>
      <c r="AM69" s="651"/>
      <c r="AN69" s="651"/>
      <c r="AO69" s="651"/>
      <c r="AP69" s="651"/>
      <c r="AQ69" s="651"/>
      <c r="AR69" s="651"/>
      <c r="AS69" s="651"/>
      <c r="AT69" s="651"/>
      <c r="AU69" s="651"/>
      <c r="AV69" s="651"/>
      <c r="AW69" s="651"/>
      <c r="AX69" s="651"/>
      <c r="AY69" s="651"/>
      <c r="AZ69" s="651"/>
      <c r="BA69" s="651"/>
      <c r="BB69" s="651"/>
      <c r="BC69" s="651"/>
      <c r="BD69" s="651"/>
      <c r="BE69" s="651"/>
      <c r="BF69" s="651"/>
      <c r="BG69" s="651"/>
      <c r="BH69" s="651"/>
      <c r="BI69" s="651"/>
      <c r="BJ69" s="651"/>
      <c r="BK69" s="651"/>
      <c r="BL69" s="651"/>
      <c r="BM69" s="651"/>
      <c r="BN69" s="651"/>
      <c r="BO69" s="651"/>
      <c r="BP69" s="651"/>
      <c r="BQ69" s="651"/>
      <c r="BR69" s="651"/>
      <c r="BS69" s="651"/>
      <c r="BT69" s="651"/>
      <c r="BU69" s="651"/>
      <c r="BV69" s="651"/>
      <c r="BW69" s="651"/>
      <c r="BX69" s="651"/>
      <c r="BY69" s="651"/>
      <c r="BZ69" s="651"/>
      <c r="CA69" s="651"/>
      <c r="CB69" s="651"/>
      <c r="CC69" s="115"/>
      <c r="CD69" s="115"/>
      <c r="CE69" s="41"/>
      <c r="CF69" s="121"/>
      <c r="CG69" s="41"/>
    </row>
    <row r="70" spans="1:85" s="6" customFormat="1" ht="15.75" x14ac:dyDescent="0.25">
      <c r="A70" s="3" t="s">
        <v>2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624" t="s">
        <v>131</v>
      </c>
      <c r="T70" s="624"/>
      <c r="U70" s="624"/>
      <c r="V70" s="624"/>
      <c r="W70" s="624"/>
      <c r="X70" s="624"/>
      <c r="Y70" s="624"/>
      <c r="Z70" s="624"/>
      <c r="AA70" s="624"/>
      <c r="AB70" s="624"/>
      <c r="AC70" s="624"/>
      <c r="AD70" s="624"/>
      <c r="AE70" s="624"/>
      <c r="AF70" s="624"/>
      <c r="AG70" s="624"/>
      <c r="AH70" s="624"/>
      <c r="AI70" s="624"/>
      <c r="AJ70" s="624"/>
      <c r="AK70" s="624"/>
      <c r="AL70" s="624"/>
      <c r="AM70" s="624"/>
      <c r="AN70" s="624"/>
      <c r="AO70" s="624"/>
      <c r="AP70" s="624"/>
      <c r="AQ70" s="624"/>
      <c r="AR70" s="624"/>
      <c r="AS70" s="624"/>
      <c r="AT70" s="624"/>
      <c r="AU70" s="624"/>
      <c r="AV70" s="624"/>
      <c r="AW70" s="624"/>
      <c r="AX70" s="624"/>
      <c r="AY70" s="624"/>
      <c r="AZ70" s="624"/>
      <c r="BA70" s="624"/>
      <c r="BB70" s="624"/>
      <c r="BC70" s="624"/>
      <c r="BD70" s="624"/>
      <c r="BE70" s="624"/>
      <c r="BF70" s="624"/>
      <c r="BG70" s="624"/>
      <c r="BH70" s="624"/>
      <c r="BI70" s="624"/>
      <c r="BJ70" s="624"/>
      <c r="BK70" s="624"/>
      <c r="BL70" s="624"/>
      <c r="BM70" s="624"/>
      <c r="BN70" s="624"/>
      <c r="BO70" s="624"/>
      <c r="BP70" s="624"/>
      <c r="BQ70" s="624"/>
      <c r="BR70" s="624"/>
      <c r="BS70" s="624"/>
      <c r="BT70" s="624"/>
      <c r="BU70" s="624"/>
      <c r="BV70" s="624"/>
      <c r="BW70" s="624"/>
      <c r="BX70" s="624"/>
      <c r="BY70" s="624"/>
      <c r="BZ70" s="624"/>
      <c r="CA70" s="624"/>
      <c r="CB70" s="624"/>
      <c r="CC70" s="117"/>
      <c r="CD70" s="117"/>
      <c r="CE70" s="41"/>
      <c r="CF70" s="121"/>
      <c r="CG70" s="41"/>
    </row>
    <row r="71" spans="1:85" s="3" customFormat="1" ht="15.7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115"/>
      <c r="CD71" s="115"/>
      <c r="CE71" s="41"/>
      <c r="CF71" s="121"/>
      <c r="CG71" s="41"/>
    </row>
    <row r="72" spans="1:85" s="6" customFormat="1" ht="31.5" customHeight="1" x14ac:dyDescent="0.25">
      <c r="A72" s="3" t="s">
        <v>3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536" t="s">
        <v>317</v>
      </c>
      <c r="AI72" s="536"/>
      <c r="AJ72" s="536"/>
      <c r="AK72" s="536"/>
      <c r="AL72" s="536"/>
      <c r="AM72" s="536"/>
      <c r="AN72" s="536"/>
      <c r="AO72" s="536"/>
      <c r="AP72" s="536"/>
      <c r="AQ72" s="536"/>
      <c r="AR72" s="536"/>
      <c r="AS72" s="536"/>
      <c r="AT72" s="536"/>
      <c r="AU72" s="536"/>
      <c r="AV72" s="536"/>
      <c r="AW72" s="536"/>
      <c r="AX72" s="536"/>
      <c r="AY72" s="536"/>
      <c r="AZ72" s="536"/>
      <c r="BA72" s="536"/>
      <c r="BB72" s="536"/>
      <c r="BC72" s="536"/>
      <c r="BD72" s="536"/>
      <c r="BE72" s="536"/>
      <c r="BF72" s="536"/>
      <c r="BG72" s="536"/>
      <c r="BH72" s="536"/>
      <c r="BI72" s="536"/>
      <c r="BJ72" s="536"/>
      <c r="BK72" s="536"/>
      <c r="BL72" s="536"/>
      <c r="BM72" s="536"/>
      <c r="BN72" s="536"/>
      <c r="BO72" s="536"/>
      <c r="BP72" s="536"/>
      <c r="BQ72" s="536"/>
      <c r="BR72" s="536"/>
      <c r="BS72" s="536"/>
      <c r="BT72" s="536"/>
      <c r="BU72" s="536"/>
      <c r="BV72" s="536"/>
      <c r="BW72" s="536"/>
      <c r="BX72" s="536"/>
      <c r="BY72" s="536"/>
      <c r="BZ72" s="536"/>
      <c r="CA72" s="536"/>
      <c r="CB72" s="536"/>
      <c r="CC72" s="117"/>
      <c r="CD72" s="117"/>
      <c r="CE72" s="41"/>
      <c r="CF72" s="121"/>
      <c r="CG72" s="41"/>
    </row>
    <row r="73" spans="1:85" s="3" customFormat="1" ht="18" customHeight="1" x14ac:dyDescent="0.25">
      <c r="A73" s="552"/>
      <c r="B73" s="552"/>
      <c r="C73" s="552"/>
      <c r="D73" s="552"/>
      <c r="E73" s="552"/>
      <c r="F73" s="552"/>
      <c r="G73" s="552"/>
      <c r="H73" s="552"/>
      <c r="I73" s="552"/>
      <c r="J73" s="552"/>
      <c r="K73" s="552"/>
      <c r="L73" s="552"/>
      <c r="M73" s="552"/>
      <c r="N73" s="552"/>
      <c r="O73" s="552"/>
      <c r="P73" s="552"/>
      <c r="Q73" s="552"/>
      <c r="R73" s="552"/>
      <c r="S73" s="552"/>
      <c r="T73" s="552"/>
      <c r="U73" s="552"/>
      <c r="V73" s="552"/>
      <c r="W73" s="552"/>
      <c r="X73" s="552"/>
      <c r="Y73" s="552"/>
      <c r="Z73" s="552"/>
      <c r="AA73" s="552"/>
      <c r="AB73" s="552"/>
      <c r="AC73" s="552"/>
      <c r="AD73" s="552"/>
      <c r="AE73" s="552"/>
      <c r="AF73" s="552"/>
      <c r="AG73" s="552"/>
      <c r="AH73" s="552"/>
      <c r="AI73" s="552"/>
      <c r="AJ73" s="552"/>
      <c r="AK73" s="552"/>
      <c r="AL73" s="552"/>
      <c r="AM73" s="552"/>
      <c r="AN73" s="552"/>
      <c r="AO73" s="552"/>
      <c r="AP73" s="552"/>
      <c r="AQ73" s="552"/>
      <c r="AR73" s="552"/>
      <c r="AS73" s="552"/>
      <c r="AT73" s="552"/>
      <c r="AU73" s="552"/>
      <c r="AV73" s="552"/>
      <c r="AW73" s="552"/>
      <c r="AX73" s="552"/>
      <c r="AY73" s="552"/>
      <c r="AZ73" s="552"/>
      <c r="BA73" s="552"/>
      <c r="BB73" s="552"/>
      <c r="BC73" s="552"/>
      <c r="BD73" s="552"/>
      <c r="BE73" s="552"/>
      <c r="BF73" s="552"/>
      <c r="BG73" s="552"/>
      <c r="BH73" s="552"/>
      <c r="BI73" s="552"/>
      <c r="BJ73" s="552"/>
      <c r="BK73" s="552"/>
      <c r="BL73" s="552"/>
      <c r="BM73" s="552"/>
      <c r="BN73" s="552"/>
      <c r="BO73" s="552"/>
      <c r="BP73" s="552"/>
      <c r="BQ73" s="552"/>
      <c r="BR73" s="552"/>
      <c r="BS73" s="552"/>
      <c r="BT73" s="552"/>
      <c r="BU73" s="552"/>
      <c r="BV73" s="552"/>
      <c r="BW73" s="552"/>
      <c r="BX73" s="552"/>
      <c r="BY73" s="552"/>
      <c r="BZ73" s="552"/>
      <c r="CA73" s="552"/>
      <c r="CB73" s="552"/>
      <c r="CC73" s="115"/>
      <c r="CD73" s="115"/>
      <c r="CE73" s="41"/>
      <c r="CF73" s="121"/>
      <c r="CG73" s="41"/>
    </row>
    <row r="74" spans="1:85" x14ac:dyDescent="0.2">
      <c r="A74" s="519" t="s">
        <v>5</v>
      </c>
      <c r="B74" s="520"/>
      <c r="C74" s="520"/>
      <c r="D74" s="523"/>
      <c r="E74" s="519" t="s">
        <v>13</v>
      </c>
      <c r="F74" s="520"/>
      <c r="G74" s="520"/>
      <c r="H74" s="520"/>
      <c r="I74" s="520"/>
      <c r="J74" s="520"/>
      <c r="K74" s="520"/>
      <c r="L74" s="520"/>
      <c r="M74" s="520"/>
      <c r="N74" s="520"/>
      <c r="O74" s="520"/>
      <c r="P74" s="520"/>
      <c r="Q74" s="520"/>
      <c r="R74" s="520"/>
      <c r="S74" s="520"/>
      <c r="T74" s="520"/>
      <c r="U74" s="520"/>
      <c r="V74" s="520"/>
      <c r="W74" s="520"/>
      <c r="X74" s="520"/>
      <c r="Y74" s="520"/>
      <c r="Z74" s="520"/>
      <c r="AA74" s="520"/>
      <c r="AB74" s="520"/>
      <c r="AC74" s="520"/>
      <c r="AD74" s="520"/>
      <c r="AE74" s="520"/>
      <c r="AF74" s="520"/>
      <c r="AG74" s="520"/>
      <c r="AH74" s="520"/>
      <c r="AI74" s="520"/>
      <c r="AJ74" s="520"/>
      <c r="AK74" s="520"/>
      <c r="AL74" s="520"/>
      <c r="AM74" s="523"/>
      <c r="AN74" s="519" t="s">
        <v>69</v>
      </c>
      <c r="AO74" s="520"/>
      <c r="AP74" s="520"/>
      <c r="AQ74" s="520"/>
      <c r="AR74" s="520"/>
      <c r="AS74" s="520"/>
      <c r="AT74" s="520"/>
      <c r="AU74" s="520"/>
      <c r="AV74" s="520"/>
      <c r="AW74" s="520"/>
      <c r="AX74" s="520"/>
      <c r="AY74" s="520"/>
      <c r="AZ74" s="520"/>
      <c r="BA74" s="523"/>
      <c r="BB74" s="519" t="s">
        <v>72</v>
      </c>
      <c r="BC74" s="520"/>
      <c r="BD74" s="520"/>
      <c r="BE74" s="520"/>
      <c r="BF74" s="520"/>
      <c r="BG74" s="520"/>
      <c r="BH74" s="520"/>
      <c r="BI74" s="523"/>
      <c r="BJ74" s="519" t="s">
        <v>74</v>
      </c>
      <c r="BK74" s="520"/>
      <c r="BL74" s="520"/>
      <c r="BM74" s="520"/>
      <c r="BN74" s="520"/>
      <c r="BO74" s="520"/>
      <c r="BP74" s="520"/>
      <c r="BQ74" s="520"/>
      <c r="BR74" s="520"/>
      <c r="BS74" s="520"/>
      <c r="BT74" s="520"/>
      <c r="BU74" s="520"/>
      <c r="BV74" s="520"/>
      <c r="BW74" s="520"/>
      <c r="BX74" s="520"/>
      <c r="BY74" s="520"/>
      <c r="BZ74" s="520"/>
      <c r="CA74" s="520"/>
      <c r="CB74" s="520"/>
      <c r="CC74" s="41"/>
      <c r="CD74" s="41"/>
      <c r="CE74" s="41"/>
      <c r="CF74" s="121"/>
      <c r="CG74" s="41"/>
    </row>
    <row r="75" spans="1:85" x14ac:dyDescent="0.2">
      <c r="A75" s="521" t="s">
        <v>6</v>
      </c>
      <c r="B75" s="522"/>
      <c r="C75" s="522"/>
      <c r="D75" s="537"/>
      <c r="E75" s="521"/>
      <c r="F75" s="522"/>
      <c r="G75" s="522"/>
      <c r="H75" s="522"/>
      <c r="I75" s="522"/>
      <c r="J75" s="522"/>
      <c r="K75" s="522"/>
      <c r="L75" s="522"/>
      <c r="M75" s="522"/>
      <c r="N75" s="522"/>
      <c r="O75" s="522"/>
      <c r="P75" s="522"/>
      <c r="Q75" s="522"/>
      <c r="R75" s="522"/>
      <c r="S75" s="522"/>
      <c r="T75" s="522"/>
      <c r="U75" s="522"/>
      <c r="V75" s="522"/>
      <c r="W75" s="522"/>
      <c r="X75" s="522"/>
      <c r="Y75" s="522"/>
      <c r="Z75" s="522"/>
      <c r="AA75" s="522"/>
      <c r="AB75" s="522"/>
      <c r="AC75" s="522"/>
      <c r="AD75" s="522"/>
      <c r="AE75" s="522"/>
      <c r="AF75" s="522"/>
      <c r="AG75" s="522"/>
      <c r="AH75" s="522"/>
      <c r="AI75" s="522"/>
      <c r="AJ75" s="522"/>
      <c r="AK75" s="522"/>
      <c r="AL75" s="522"/>
      <c r="AM75" s="537"/>
      <c r="AN75" s="521" t="s">
        <v>70</v>
      </c>
      <c r="AO75" s="522"/>
      <c r="AP75" s="522"/>
      <c r="AQ75" s="522"/>
      <c r="AR75" s="522"/>
      <c r="AS75" s="522"/>
      <c r="AT75" s="522"/>
      <c r="AU75" s="522"/>
      <c r="AV75" s="522"/>
      <c r="AW75" s="522"/>
      <c r="AX75" s="522"/>
      <c r="AY75" s="522"/>
      <c r="AZ75" s="522"/>
      <c r="BA75" s="537"/>
      <c r="BB75" s="521" t="s">
        <v>73</v>
      </c>
      <c r="BC75" s="522"/>
      <c r="BD75" s="522"/>
      <c r="BE75" s="522"/>
      <c r="BF75" s="522"/>
      <c r="BG75" s="522"/>
      <c r="BH75" s="522"/>
      <c r="BI75" s="537"/>
      <c r="BJ75" s="521" t="s">
        <v>75</v>
      </c>
      <c r="BK75" s="522"/>
      <c r="BL75" s="522"/>
      <c r="BM75" s="522"/>
      <c r="BN75" s="522"/>
      <c r="BO75" s="522"/>
      <c r="BP75" s="522"/>
      <c r="BQ75" s="522"/>
      <c r="BR75" s="522"/>
      <c r="BS75" s="522"/>
      <c r="BT75" s="522"/>
      <c r="BU75" s="522"/>
      <c r="BV75" s="522"/>
      <c r="BW75" s="522"/>
      <c r="BX75" s="522"/>
      <c r="BY75" s="522"/>
      <c r="BZ75" s="522"/>
      <c r="CA75" s="522"/>
      <c r="CB75" s="522"/>
      <c r="CC75" s="41"/>
      <c r="CD75" s="41"/>
      <c r="CE75" s="41"/>
      <c r="CF75" s="121"/>
      <c r="CG75" s="41"/>
    </row>
    <row r="76" spans="1:85" x14ac:dyDescent="0.2">
      <c r="A76" s="521"/>
      <c r="B76" s="522"/>
      <c r="C76" s="522"/>
      <c r="D76" s="537"/>
      <c r="E76" s="521"/>
      <c r="F76" s="522"/>
      <c r="G76" s="522"/>
      <c r="H76" s="522"/>
      <c r="I76" s="522"/>
      <c r="J76" s="522"/>
      <c r="K76" s="522"/>
      <c r="L76" s="522"/>
      <c r="M76" s="522"/>
      <c r="N76" s="522"/>
      <c r="O76" s="522"/>
      <c r="P76" s="522"/>
      <c r="Q76" s="522"/>
      <c r="R76" s="522"/>
      <c r="S76" s="522"/>
      <c r="T76" s="522"/>
      <c r="U76" s="522"/>
      <c r="V76" s="522"/>
      <c r="W76" s="522"/>
      <c r="X76" s="522"/>
      <c r="Y76" s="522"/>
      <c r="Z76" s="522"/>
      <c r="AA76" s="522"/>
      <c r="AB76" s="522"/>
      <c r="AC76" s="522"/>
      <c r="AD76" s="522"/>
      <c r="AE76" s="522"/>
      <c r="AF76" s="522"/>
      <c r="AG76" s="522"/>
      <c r="AH76" s="522"/>
      <c r="AI76" s="522"/>
      <c r="AJ76" s="522"/>
      <c r="AK76" s="522"/>
      <c r="AL76" s="522"/>
      <c r="AM76" s="537"/>
      <c r="AN76" s="521"/>
      <c r="AO76" s="522"/>
      <c r="AP76" s="522"/>
      <c r="AQ76" s="522"/>
      <c r="AR76" s="522"/>
      <c r="AS76" s="522"/>
      <c r="AT76" s="522"/>
      <c r="AU76" s="522"/>
      <c r="AV76" s="522"/>
      <c r="AW76" s="522"/>
      <c r="AX76" s="522"/>
      <c r="AY76" s="522"/>
      <c r="AZ76" s="522"/>
      <c r="BA76" s="537"/>
      <c r="BB76" s="521"/>
      <c r="BC76" s="522"/>
      <c r="BD76" s="522"/>
      <c r="BE76" s="522"/>
      <c r="BF76" s="522"/>
      <c r="BG76" s="522"/>
      <c r="BH76" s="522"/>
      <c r="BI76" s="537"/>
      <c r="BJ76" s="521" t="s">
        <v>76</v>
      </c>
      <c r="BK76" s="522"/>
      <c r="BL76" s="522"/>
      <c r="BM76" s="522"/>
      <c r="BN76" s="522"/>
      <c r="BO76" s="522"/>
      <c r="BP76" s="522"/>
      <c r="BQ76" s="522"/>
      <c r="BR76" s="522"/>
      <c r="BS76" s="522"/>
      <c r="BT76" s="522"/>
      <c r="BU76" s="522"/>
      <c r="BV76" s="522"/>
      <c r="BW76" s="522"/>
      <c r="BX76" s="522"/>
      <c r="BY76" s="522"/>
      <c r="BZ76" s="522"/>
      <c r="CA76" s="522"/>
      <c r="CB76" s="522"/>
      <c r="CC76" s="41"/>
      <c r="CD76" s="41"/>
      <c r="CE76" s="41"/>
      <c r="CF76" s="121"/>
      <c r="CG76" s="41"/>
    </row>
    <row r="77" spans="1:85" x14ac:dyDescent="0.2">
      <c r="A77" s="521"/>
      <c r="B77" s="522"/>
      <c r="C77" s="522"/>
      <c r="D77" s="537"/>
      <c r="E77" s="521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2"/>
      <c r="Q77" s="522"/>
      <c r="R77" s="522"/>
      <c r="S77" s="522"/>
      <c r="T77" s="522"/>
      <c r="U77" s="522"/>
      <c r="V77" s="522"/>
      <c r="W77" s="522"/>
      <c r="X77" s="522"/>
      <c r="Y77" s="522"/>
      <c r="Z77" s="522"/>
      <c r="AA77" s="522"/>
      <c r="AB77" s="522"/>
      <c r="AC77" s="522"/>
      <c r="AD77" s="522"/>
      <c r="AE77" s="522"/>
      <c r="AF77" s="522"/>
      <c r="AG77" s="522"/>
      <c r="AH77" s="522"/>
      <c r="AI77" s="522"/>
      <c r="AJ77" s="522"/>
      <c r="AK77" s="522"/>
      <c r="AL77" s="522"/>
      <c r="AM77" s="537"/>
      <c r="AN77" s="521"/>
      <c r="AO77" s="522"/>
      <c r="AP77" s="522"/>
      <c r="AQ77" s="522"/>
      <c r="AR77" s="522"/>
      <c r="AS77" s="522"/>
      <c r="AT77" s="522"/>
      <c r="AU77" s="522"/>
      <c r="AV77" s="522"/>
      <c r="AW77" s="522"/>
      <c r="AX77" s="522"/>
      <c r="AY77" s="522"/>
      <c r="AZ77" s="522"/>
      <c r="BA77" s="537"/>
      <c r="BB77" s="521"/>
      <c r="BC77" s="522"/>
      <c r="BD77" s="522"/>
      <c r="BE77" s="522"/>
      <c r="BF77" s="522"/>
      <c r="BG77" s="522"/>
      <c r="BH77" s="522"/>
      <c r="BI77" s="537"/>
      <c r="BJ77" s="521" t="s">
        <v>78</v>
      </c>
      <c r="BK77" s="522"/>
      <c r="BL77" s="522"/>
      <c r="BM77" s="522"/>
      <c r="BN77" s="522"/>
      <c r="BO77" s="522"/>
      <c r="BP77" s="522"/>
      <c r="BQ77" s="522"/>
      <c r="BR77" s="522"/>
      <c r="BS77" s="522"/>
      <c r="BT77" s="522"/>
      <c r="BU77" s="522"/>
      <c r="BV77" s="522"/>
      <c r="BW77" s="522"/>
      <c r="BX77" s="522"/>
      <c r="BY77" s="522"/>
      <c r="BZ77" s="522"/>
      <c r="CA77" s="522"/>
      <c r="CB77" s="522"/>
      <c r="CC77" s="41"/>
      <c r="CD77" s="41"/>
      <c r="CE77" s="41"/>
      <c r="CF77" s="121"/>
      <c r="CG77" s="41"/>
    </row>
    <row r="78" spans="1:85" x14ac:dyDescent="0.2">
      <c r="A78" s="554">
        <v>1</v>
      </c>
      <c r="B78" s="555"/>
      <c r="C78" s="555"/>
      <c r="D78" s="556"/>
      <c r="E78" s="554">
        <v>2</v>
      </c>
      <c r="F78" s="555"/>
      <c r="G78" s="555"/>
      <c r="H78" s="555"/>
      <c r="I78" s="555"/>
      <c r="J78" s="555"/>
      <c r="K78" s="555"/>
      <c r="L78" s="555"/>
      <c r="M78" s="555"/>
      <c r="N78" s="555"/>
      <c r="O78" s="555"/>
      <c r="P78" s="555"/>
      <c r="Q78" s="555"/>
      <c r="R78" s="555"/>
      <c r="S78" s="555"/>
      <c r="T78" s="555"/>
      <c r="U78" s="555"/>
      <c r="V78" s="555"/>
      <c r="W78" s="555"/>
      <c r="X78" s="555"/>
      <c r="Y78" s="555"/>
      <c r="Z78" s="555"/>
      <c r="AA78" s="555"/>
      <c r="AB78" s="555"/>
      <c r="AC78" s="555"/>
      <c r="AD78" s="555"/>
      <c r="AE78" s="555"/>
      <c r="AF78" s="555"/>
      <c r="AG78" s="555"/>
      <c r="AH78" s="555"/>
      <c r="AI78" s="555"/>
      <c r="AJ78" s="555"/>
      <c r="AK78" s="555"/>
      <c r="AL78" s="555"/>
      <c r="AM78" s="556"/>
      <c r="AN78" s="554">
        <v>3</v>
      </c>
      <c r="AO78" s="555"/>
      <c r="AP78" s="555"/>
      <c r="AQ78" s="555"/>
      <c r="AR78" s="555"/>
      <c r="AS78" s="555"/>
      <c r="AT78" s="555"/>
      <c r="AU78" s="555"/>
      <c r="AV78" s="555"/>
      <c r="AW78" s="555"/>
      <c r="AX78" s="555"/>
      <c r="AY78" s="555"/>
      <c r="AZ78" s="555"/>
      <c r="BA78" s="556"/>
      <c r="BB78" s="554">
        <v>4</v>
      </c>
      <c r="BC78" s="555"/>
      <c r="BD78" s="555"/>
      <c r="BE78" s="555"/>
      <c r="BF78" s="555"/>
      <c r="BG78" s="555"/>
      <c r="BH78" s="555"/>
      <c r="BI78" s="556"/>
      <c r="BJ78" s="554">
        <v>5</v>
      </c>
      <c r="BK78" s="555"/>
      <c r="BL78" s="555"/>
      <c r="BM78" s="555"/>
      <c r="BN78" s="555"/>
      <c r="BO78" s="555"/>
      <c r="BP78" s="555"/>
      <c r="BQ78" s="555"/>
      <c r="BR78" s="555"/>
      <c r="BS78" s="555"/>
      <c r="BT78" s="555"/>
      <c r="BU78" s="555"/>
      <c r="BV78" s="555"/>
      <c r="BW78" s="555"/>
      <c r="BX78" s="555"/>
      <c r="BY78" s="555"/>
      <c r="BZ78" s="555"/>
      <c r="CA78" s="555"/>
      <c r="CB78" s="555"/>
      <c r="CC78" s="64" t="s">
        <v>193</v>
      </c>
      <c r="CD78" s="64" t="s">
        <v>194</v>
      </c>
      <c r="CE78" s="64" t="s">
        <v>298</v>
      </c>
      <c r="CF78" s="191" t="s">
        <v>296</v>
      </c>
      <c r="CG78" s="41"/>
    </row>
    <row r="79" spans="1:85" ht="15.75" customHeight="1" x14ac:dyDescent="0.25">
      <c r="A79" s="557">
        <v>1</v>
      </c>
      <c r="B79" s="558"/>
      <c r="C79" s="558"/>
      <c r="D79" s="559"/>
      <c r="E79" s="509" t="s">
        <v>315</v>
      </c>
      <c r="F79" s="510"/>
      <c r="G79" s="510"/>
      <c r="H79" s="510"/>
      <c r="I79" s="510"/>
      <c r="J79" s="510"/>
      <c r="K79" s="510"/>
      <c r="L79" s="510"/>
      <c r="M79" s="510"/>
      <c r="N79" s="510"/>
      <c r="O79" s="510"/>
      <c r="P79" s="510"/>
      <c r="Q79" s="510"/>
      <c r="R79" s="510"/>
      <c r="S79" s="510"/>
      <c r="T79" s="510"/>
      <c r="U79" s="510"/>
      <c r="V79" s="510"/>
      <c r="W79" s="510"/>
      <c r="X79" s="510"/>
      <c r="Y79" s="510"/>
      <c r="Z79" s="510"/>
      <c r="AA79" s="510"/>
      <c r="AB79" s="510"/>
      <c r="AC79" s="510"/>
      <c r="AD79" s="510"/>
      <c r="AE79" s="510"/>
      <c r="AF79" s="510"/>
      <c r="AG79" s="510"/>
      <c r="AH79" s="510"/>
      <c r="AI79" s="510"/>
      <c r="AJ79" s="510"/>
      <c r="AK79" s="510"/>
      <c r="AL79" s="510"/>
      <c r="AM79" s="511"/>
      <c r="AN79" s="538"/>
      <c r="AO79" s="539"/>
      <c r="AP79" s="539"/>
      <c r="AQ79" s="539"/>
      <c r="AR79" s="539"/>
      <c r="AS79" s="539"/>
      <c r="AT79" s="539"/>
      <c r="AU79" s="539"/>
      <c r="AV79" s="539"/>
      <c r="AW79" s="539"/>
      <c r="AX79" s="539"/>
      <c r="AY79" s="539"/>
      <c r="AZ79" s="539"/>
      <c r="BA79" s="607"/>
      <c r="BB79" s="608"/>
      <c r="BC79" s="609"/>
      <c r="BD79" s="609"/>
      <c r="BE79" s="609"/>
      <c r="BF79" s="609"/>
      <c r="BG79" s="609"/>
      <c r="BH79" s="609"/>
      <c r="BI79" s="610"/>
      <c r="BJ79" s="515">
        <f>6672394.87</f>
        <v>6672394.8700000001</v>
      </c>
      <c r="BK79" s="516"/>
      <c r="BL79" s="516"/>
      <c r="BM79" s="516"/>
      <c r="BN79" s="516"/>
      <c r="BO79" s="516"/>
      <c r="BP79" s="516"/>
      <c r="BQ79" s="516"/>
      <c r="BR79" s="516"/>
      <c r="BS79" s="516"/>
      <c r="BT79" s="516"/>
      <c r="BU79" s="516"/>
      <c r="BV79" s="516"/>
      <c r="BW79" s="516"/>
      <c r="BX79" s="516"/>
      <c r="BY79" s="516"/>
      <c r="BZ79" s="516"/>
      <c r="CA79" s="516"/>
      <c r="CB79" s="516"/>
      <c r="CC79" s="192">
        <f>373551.92+210812.76+3822481.28</f>
        <v>4406845.96</v>
      </c>
      <c r="CD79" s="192">
        <f>373551.92+210812.76+130591.32+534957.75+554364.97+389848.05</f>
        <v>2194126.77</v>
      </c>
      <c r="CE79" s="192">
        <f t="shared" ref="CE79:CE85" si="0">CC79-CD79</f>
        <v>2212719.19</v>
      </c>
      <c r="CF79" s="193">
        <f t="shared" ref="CF79:CF85" si="1">BJ79-CC79</f>
        <v>2265548.91</v>
      </c>
      <c r="CG79" s="41"/>
    </row>
    <row r="80" spans="1:85" ht="15" x14ac:dyDescent="0.25">
      <c r="A80" s="551">
        <v>2</v>
      </c>
      <c r="B80" s="552"/>
      <c r="C80" s="552"/>
      <c r="D80" s="553"/>
      <c r="E80" s="509" t="s">
        <v>316</v>
      </c>
      <c r="F80" s="510"/>
      <c r="G80" s="510"/>
      <c r="H80" s="510"/>
      <c r="I80" s="510"/>
      <c r="J80" s="510"/>
      <c r="K80" s="510"/>
      <c r="L80" s="510"/>
      <c r="M80" s="510"/>
      <c r="N80" s="510"/>
      <c r="O80" s="510"/>
      <c r="P80" s="510"/>
      <c r="Q80" s="510"/>
      <c r="R80" s="510"/>
      <c r="S80" s="510"/>
      <c r="T80" s="510"/>
      <c r="U80" s="510"/>
      <c r="V80" s="510"/>
      <c r="W80" s="510"/>
      <c r="X80" s="510"/>
      <c r="Y80" s="510"/>
      <c r="Z80" s="510"/>
      <c r="AA80" s="510"/>
      <c r="AB80" s="510"/>
      <c r="AC80" s="510"/>
      <c r="AD80" s="510"/>
      <c r="AE80" s="510"/>
      <c r="AF80" s="510"/>
      <c r="AG80" s="510"/>
      <c r="AH80" s="510"/>
      <c r="AI80" s="510"/>
      <c r="AJ80" s="510"/>
      <c r="AK80" s="510"/>
      <c r="AL80" s="510"/>
      <c r="AM80" s="511"/>
      <c r="AN80" s="538"/>
      <c r="AO80" s="539"/>
      <c r="AP80" s="539"/>
      <c r="AQ80" s="539"/>
      <c r="AR80" s="539"/>
      <c r="AS80" s="539"/>
      <c r="AT80" s="539"/>
      <c r="AU80" s="539"/>
      <c r="AV80" s="539"/>
      <c r="AW80" s="539"/>
      <c r="AX80" s="539"/>
      <c r="AY80" s="539"/>
      <c r="AZ80" s="539"/>
      <c r="BA80" s="607"/>
      <c r="BB80" s="608"/>
      <c r="BC80" s="609"/>
      <c r="BD80" s="609"/>
      <c r="BE80" s="609"/>
      <c r="BF80" s="609"/>
      <c r="BG80" s="609"/>
      <c r="BH80" s="609"/>
      <c r="BI80" s="610"/>
      <c r="BJ80" s="515">
        <f>351178.68</f>
        <v>351178.68</v>
      </c>
      <c r="BK80" s="516"/>
      <c r="BL80" s="516"/>
      <c r="BM80" s="516"/>
      <c r="BN80" s="516"/>
      <c r="BO80" s="516"/>
      <c r="BP80" s="516"/>
      <c r="BQ80" s="516"/>
      <c r="BR80" s="516"/>
      <c r="BS80" s="516"/>
      <c r="BT80" s="516"/>
      <c r="BU80" s="516"/>
      <c r="BV80" s="516"/>
      <c r="BW80" s="516"/>
      <c r="BX80" s="516"/>
      <c r="BY80" s="516"/>
      <c r="BZ80" s="516"/>
      <c r="CA80" s="516"/>
      <c r="CB80" s="516"/>
      <c r="CC80" s="192">
        <f>19660.63+11095.41+201183.23</f>
        <v>231939.27000000002</v>
      </c>
      <c r="CD80" s="192">
        <f>19660.63+11095.41+6873.23+28155.67+29177.1+20518.32</f>
        <v>115480.36000000002</v>
      </c>
      <c r="CE80" s="192">
        <f t="shared" si="0"/>
        <v>116458.91</v>
      </c>
      <c r="CF80" s="193">
        <f t="shared" si="1"/>
        <v>119239.40999999997</v>
      </c>
      <c r="CG80" s="41"/>
    </row>
    <row r="81" spans="1:85" ht="15" x14ac:dyDescent="0.25">
      <c r="A81" s="551">
        <v>3</v>
      </c>
      <c r="B81" s="552"/>
      <c r="C81" s="552"/>
      <c r="D81" s="553"/>
      <c r="E81" s="509" t="s">
        <v>394</v>
      </c>
      <c r="F81" s="510"/>
      <c r="G81" s="510"/>
      <c r="H81" s="510"/>
      <c r="I81" s="510"/>
      <c r="J81" s="510"/>
      <c r="K81" s="510"/>
      <c r="L81" s="510"/>
      <c r="M81" s="510"/>
      <c r="N81" s="510"/>
      <c r="O81" s="510"/>
      <c r="P81" s="510"/>
      <c r="Q81" s="510"/>
      <c r="R81" s="510"/>
      <c r="S81" s="510"/>
      <c r="T81" s="510"/>
      <c r="U81" s="510"/>
      <c r="V81" s="510"/>
      <c r="W81" s="510"/>
      <c r="X81" s="510"/>
      <c r="Y81" s="510"/>
      <c r="Z81" s="510"/>
      <c r="AA81" s="510"/>
      <c r="AB81" s="510"/>
      <c r="AC81" s="510"/>
      <c r="AD81" s="510"/>
      <c r="AE81" s="510"/>
      <c r="AF81" s="510"/>
      <c r="AG81" s="510"/>
      <c r="AH81" s="510"/>
      <c r="AI81" s="510"/>
      <c r="AJ81" s="510"/>
      <c r="AK81" s="510"/>
      <c r="AL81" s="510"/>
      <c r="AM81" s="511"/>
      <c r="AN81" s="538"/>
      <c r="AO81" s="539"/>
      <c r="AP81" s="539"/>
      <c r="AQ81" s="539"/>
      <c r="AR81" s="539"/>
      <c r="AS81" s="539"/>
      <c r="AT81" s="539"/>
      <c r="AU81" s="539"/>
      <c r="AV81" s="539"/>
      <c r="AW81" s="539"/>
      <c r="AX81" s="539"/>
      <c r="AY81" s="539"/>
      <c r="AZ81" s="539"/>
      <c r="BA81" s="607"/>
      <c r="BB81" s="608"/>
      <c r="BC81" s="609"/>
      <c r="BD81" s="609"/>
      <c r="BE81" s="609"/>
      <c r="BF81" s="609"/>
      <c r="BG81" s="609"/>
      <c r="BH81" s="609"/>
      <c r="BI81" s="610"/>
      <c r="BJ81" s="515">
        <f>7030.6</f>
        <v>7030.6</v>
      </c>
      <c r="BK81" s="516"/>
      <c r="BL81" s="516"/>
      <c r="BM81" s="516"/>
      <c r="BN81" s="516"/>
      <c r="BO81" s="516"/>
      <c r="BP81" s="516"/>
      <c r="BQ81" s="516"/>
      <c r="BR81" s="516"/>
      <c r="BS81" s="516"/>
      <c r="BT81" s="516"/>
      <c r="BU81" s="516"/>
      <c r="BV81" s="516"/>
      <c r="BW81" s="516"/>
      <c r="BX81" s="516"/>
      <c r="BY81" s="516"/>
      <c r="BZ81" s="516"/>
      <c r="CA81" s="516"/>
      <c r="CB81" s="516"/>
      <c r="CC81" s="64">
        <f>393.6+222.13+4027.69</f>
        <v>4643.42</v>
      </c>
      <c r="CD81" s="64">
        <f>393.6+222.13+137.6+563.68+584.13+410.78</f>
        <v>2311.92</v>
      </c>
      <c r="CE81" s="192">
        <f t="shared" si="0"/>
        <v>2331.5</v>
      </c>
      <c r="CF81" s="193">
        <f t="shared" si="1"/>
        <v>2387.1800000000003</v>
      </c>
      <c r="CG81" s="41"/>
    </row>
    <row r="82" spans="1:85" ht="29.25" customHeight="1" x14ac:dyDescent="0.25">
      <c r="A82" s="557">
        <v>4</v>
      </c>
      <c r="B82" s="558"/>
      <c r="C82" s="558"/>
      <c r="D82" s="199"/>
      <c r="E82" s="679" t="s">
        <v>401</v>
      </c>
      <c r="F82" s="680"/>
      <c r="G82" s="680"/>
      <c r="H82" s="680"/>
      <c r="I82" s="680"/>
      <c r="J82" s="680"/>
      <c r="K82" s="680"/>
      <c r="L82" s="680"/>
      <c r="M82" s="680"/>
      <c r="N82" s="680"/>
      <c r="O82" s="680"/>
      <c r="P82" s="680"/>
      <c r="Q82" s="680"/>
      <c r="R82" s="680"/>
      <c r="S82" s="680"/>
      <c r="T82" s="680"/>
      <c r="U82" s="680"/>
      <c r="V82" s="680"/>
      <c r="W82" s="680"/>
      <c r="X82" s="680"/>
      <c r="Y82" s="680"/>
      <c r="Z82" s="680"/>
      <c r="AA82" s="680"/>
      <c r="AB82" s="680"/>
      <c r="AC82" s="680"/>
      <c r="AD82" s="680"/>
      <c r="AE82" s="680"/>
      <c r="AF82" s="680"/>
      <c r="AG82" s="680"/>
      <c r="AH82" s="680"/>
      <c r="AI82" s="680"/>
      <c r="AJ82" s="680"/>
      <c r="AK82" s="680"/>
      <c r="AL82" s="680"/>
      <c r="AM82" s="681"/>
      <c r="AN82" s="197"/>
      <c r="AO82" s="198"/>
      <c r="AP82" s="198"/>
      <c r="AQ82" s="198"/>
      <c r="AR82" s="198"/>
      <c r="AS82" s="198"/>
      <c r="AT82" s="198"/>
      <c r="AU82" s="198"/>
      <c r="AV82" s="198"/>
      <c r="AW82" s="198"/>
      <c r="AX82" s="198"/>
      <c r="AY82" s="198"/>
      <c r="AZ82" s="198"/>
      <c r="BA82" s="200"/>
      <c r="BB82" s="201"/>
      <c r="BC82" s="202"/>
      <c r="BD82" s="202"/>
      <c r="BE82" s="202"/>
      <c r="BF82" s="202"/>
      <c r="BG82" s="202"/>
      <c r="BH82" s="202"/>
      <c r="BI82" s="203"/>
      <c r="BJ82" s="538">
        <f>180650.61-25240.32</f>
        <v>155410.28999999998</v>
      </c>
      <c r="BK82" s="539"/>
      <c r="BL82" s="539"/>
      <c r="BM82" s="539"/>
      <c r="BN82" s="539"/>
      <c r="BO82" s="539"/>
      <c r="BP82" s="539"/>
      <c r="BQ82" s="539"/>
      <c r="BR82" s="539"/>
      <c r="BS82" s="539"/>
      <c r="BT82" s="539"/>
      <c r="BU82" s="539"/>
      <c r="BV82" s="539"/>
      <c r="BW82" s="539"/>
      <c r="BX82" s="539"/>
      <c r="BY82" s="539"/>
      <c r="BZ82" s="539"/>
      <c r="CA82" s="539"/>
      <c r="CB82" s="539"/>
      <c r="CE82" s="192">
        <f t="shared" si="0"/>
        <v>0</v>
      </c>
      <c r="CF82" s="193">
        <f t="shared" si="1"/>
        <v>155410.28999999998</v>
      </c>
      <c r="CG82" s="41"/>
    </row>
    <row r="83" spans="1:85" ht="14.25" customHeight="1" x14ac:dyDescent="0.25">
      <c r="A83" s="557">
        <v>5</v>
      </c>
      <c r="B83" s="558"/>
      <c r="C83" s="558"/>
      <c r="D83" s="199"/>
      <c r="E83" s="679" t="s">
        <v>467</v>
      </c>
      <c r="F83" s="680"/>
      <c r="G83" s="680"/>
      <c r="H83" s="680"/>
      <c r="I83" s="680"/>
      <c r="J83" s="680"/>
      <c r="K83" s="680"/>
      <c r="L83" s="680"/>
      <c r="M83" s="680"/>
      <c r="N83" s="680"/>
      <c r="O83" s="680"/>
      <c r="P83" s="680"/>
      <c r="Q83" s="680"/>
      <c r="R83" s="680"/>
      <c r="S83" s="680"/>
      <c r="T83" s="680"/>
      <c r="U83" s="680"/>
      <c r="V83" s="680"/>
      <c r="W83" s="680"/>
      <c r="X83" s="680"/>
      <c r="Y83" s="680"/>
      <c r="Z83" s="680"/>
      <c r="AA83" s="680"/>
      <c r="AB83" s="680"/>
      <c r="AC83" s="680"/>
      <c r="AD83" s="680"/>
      <c r="AE83" s="680"/>
      <c r="AF83" s="680"/>
      <c r="AG83" s="680"/>
      <c r="AH83" s="680"/>
      <c r="AI83" s="680"/>
      <c r="AJ83" s="680"/>
      <c r="AK83" s="680"/>
      <c r="AL83" s="680"/>
      <c r="AM83" s="681"/>
      <c r="AN83" s="197"/>
      <c r="AO83" s="198"/>
      <c r="AP83" s="198"/>
      <c r="AQ83" s="198"/>
      <c r="AR83" s="198"/>
      <c r="AS83" s="198"/>
      <c r="AT83" s="198"/>
      <c r="AU83" s="198"/>
      <c r="AV83" s="198"/>
      <c r="AW83" s="198"/>
      <c r="AX83" s="198"/>
      <c r="AY83" s="198"/>
      <c r="AZ83" s="198"/>
      <c r="BA83" s="200"/>
      <c r="BB83" s="201"/>
      <c r="BC83" s="202"/>
      <c r="BD83" s="202"/>
      <c r="BE83" s="202"/>
      <c r="BF83" s="202"/>
      <c r="BG83" s="202"/>
      <c r="BH83" s="202"/>
      <c r="BI83" s="203"/>
      <c r="BJ83" s="538"/>
      <c r="BK83" s="539"/>
      <c r="BL83" s="539"/>
      <c r="BM83" s="539"/>
      <c r="BN83" s="539"/>
      <c r="BO83" s="539"/>
      <c r="BP83" s="539"/>
      <c r="BQ83" s="539"/>
      <c r="BR83" s="539"/>
      <c r="BS83" s="539"/>
      <c r="BT83" s="539"/>
      <c r="BU83" s="539"/>
      <c r="BV83" s="539"/>
      <c r="BW83" s="539"/>
      <c r="BX83" s="539"/>
      <c r="BY83" s="539"/>
      <c r="BZ83" s="539"/>
      <c r="CA83" s="539"/>
      <c r="CB83" s="539"/>
      <c r="CE83" s="192">
        <f>CC83-CD83</f>
        <v>0</v>
      </c>
      <c r="CF83" s="193">
        <f>BJ83-CC83</f>
        <v>0</v>
      </c>
      <c r="CG83" s="41"/>
    </row>
    <row r="84" spans="1:85" ht="27" customHeight="1" x14ac:dyDescent="0.25">
      <c r="A84" s="557">
        <v>6</v>
      </c>
      <c r="B84" s="558"/>
      <c r="C84" s="558"/>
      <c r="D84" s="199"/>
      <c r="E84" s="679" t="s">
        <v>466</v>
      </c>
      <c r="F84" s="680"/>
      <c r="G84" s="680"/>
      <c r="H84" s="680"/>
      <c r="I84" s="680"/>
      <c r="J84" s="680"/>
      <c r="K84" s="680"/>
      <c r="L84" s="680"/>
      <c r="M84" s="680"/>
      <c r="N84" s="680"/>
      <c r="O84" s="680"/>
      <c r="P84" s="680"/>
      <c r="Q84" s="680"/>
      <c r="R84" s="680"/>
      <c r="S84" s="680"/>
      <c r="T84" s="680"/>
      <c r="U84" s="680"/>
      <c r="V84" s="680"/>
      <c r="W84" s="680"/>
      <c r="X84" s="680"/>
      <c r="Y84" s="680"/>
      <c r="Z84" s="680"/>
      <c r="AA84" s="680"/>
      <c r="AB84" s="680"/>
      <c r="AC84" s="680"/>
      <c r="AD84" s="680"/>
      <c r="AE84" s="680"/>
      <c r="AF84" s="680"/>
      <c r="AG84" s="680"/>
      <c r="AH84" s="680"/>
      <c r="AI84" s="680"/>
      <c r="AJ84" s="680"/>
      <c r="AK84" s="680"/>
      <c r="AL84" s="680"/>
      <c r="AM84" s="681"/>
      <c r="AN84" s="197"/>
      <c r="AO84" s="198"/>
      <c r="AP84" s="198"/>
      <c r="AQ84" s="198"/>
      <c r="AR84" s="198"/>
      <c r="AS84" s="198"/>
      <c r="AT84" s="198"/>
      <c r="AU84" s="198"/>
      <c r="AV84" s="198"/>
      <c r="AW84" s="198"/>
      <c r="AX84" s="198"/>
      <c r="AY84" s="198"/>
      <c r="AZ84" s="198"/>
      <c r="BA84" s="200"/>
      <c r="BB84" s="201"/>
      <c r="BC84" s="202"/>
      <c r="BD84" s="202"/>
      <c r="BE84" s="202"/>
      <c r="BF84" s="202"/>
      <c r="BG84" s="202"/>
      <c r="BH84" s="202"/>
      <c r="BI84" s="203"/>
      <c r="BJ84" s="538"/>
      <c r="BK84" s="539"/>
      <c r="BL84" s="539"/>
      <c r="BM84" s="539"/>
      <c r="BN84" s="539"/>
      <c r="BO84" s="539"/>
      <c r="BP84" s="539"/>
      <c r="BQ84" s="539"/>
      <c r="BR84" s="539"/>
      <c r="BS84" s="539"/>
      <c r="BT84" s="539"/>
      <c r="BU84" s="539"/>
      <c r="BV84" s="539"/>
      <c r="BW84" s="539"/>
      <c r="BX84" s="539"/>
      <c r="BY84" s="539"/>
      <c r="BZ84" s="539"/>
      <c r="CA84" s="539"/>
      <c r="CB84" s="539"/>
      <c r="CE84" s="192">
        <f t="shared" si="0"/>
        <v>0</v>
      </c>
      <c r="CF84" s="193">
        <f t="shared" si="1"/>
        <v>0</v>
      </c>
      <c r="CG84" s="41"/>
    </row>
    <row r="85" spans="1:85" ht="15" x14ac:dyDescent="0.25">
      <c r="A85" s="557">
        <v>7</v>
      </c>
      <c r="B85" s="558"/>
      <c r="C85" s="558"/>
      <c r="D85" s="199"/>
      <c r="E85" s="674" t="s">
        <v>337</v>
      </c>
      <c r="F85" s="675"/>
      <c r="G85" s="675"/>
      <c r="H85" s="675"/>
      <c r="I85" s="675"/>
      <c r="J85" s="675"/>
      <c r="K85" s="675"/>
      <c r="L85" s="675"/>
      <c r="M85" s="675"/>
      <c r="N85" s="675"/>
      <c r="O85" s="675"/>
      <c r="P85" s="675"/>
      <c r="Q85" s="675"/>
      <c r="R85" s="675"/>
      <c r="S85" s="675"/>
      <c r="T85" s="675"/>
      <c r="U85" s="675"/>
      <c r="V85" s="675"/>
      <c r="W85" s="675"/>
      <c r="X85" s="675"/>
      <c r="Y85" s="675"/>
      <c r="Z85" s="675"/>
      <c r="AA85" s="675"/>
      <c r="AB85" s="675"/>
      <c r="AC85" s="675"/>
      <c r="AD85" s="675"/>
      <c r="AE85" s="675"/>
      <c r="AF85" s="675"/>
      <c r="AG85" s="675"/>
      <c r="AH85" s="675"/>
      <c r="AI85" s="675"/>
      <c r="AJ85" s="675"/>
      <c r="AK85" s="675"/>
      <c r="AL85" s="675"/>
      <c r="AM85" s="676"/>
      <c r="AN85" s="197"/>
      <c r="AO85" s="198"/>
      <c r="AP85" s="198"/>
      <c r="AQ85" s="198"/>
      <c r="AR85" s="198"/>
      <c r="AS85" s="198"/>
      <c r="AT85" s="198"/>
      <c r="AU85" s="198"/>
      <c r="AV85" s="198"/>
      <c r="AW85" s="198"/>
      <c r="AX85" s="198"/>
      <c r="AY85" s="198"/>
      <c r="AZ85" s="198"/>
      <c r="BA85" s="200"/>
      <c r="BB85" s="201"/>
      <c r="BC85" s="202"/>
      <c r="BD85" s="202"/>
      <c r="BE85" s="202"/>
      <c r="BF85" s="202"/>
      <c r="BG85" s="202"/>
      <c r="BH85" s="202"/>
      <c r="BI85" s="203"/>
      <c r="BJ85" s="538"/>
      <c r="BK85" s="539"/>
      <c r="BL85" s="539"/>
      <c r="BM85" s="539"/>
      <c r="BN85" s="539"/>
      <c r="BO85" s="539"/>
      <c r="BP85" s="539"/>
      <c r="BQ85" s="539"/>
      <c r="BR85" s="539"/>
      <c r="BS85" s="539"/>
      <c r="BT85" s="539"/>
      <c r="BU85" s="539"/>
      <c r="BV85" s="539"/>
      <c r="BW85" s="539"/>
      <c r="BX85" s="539"/>
      <c r="BY85" s="539"/>
      <c r="BZ85" s="539"/>
      <c r="CA85" s="539"/>
      <c r="CB85" s="539"/>
      <c r="CE85" s="192">
        <f t="shared" si="0"/>
        <v>0</v>
      </c>
      <c r="CF85" s="193">
        <f t="shared" si="1"/>
        <v>0</v>
      </c>
      <c r="CG85" s="41"/>
    </row>
    <row r="86" spans="1:85" s="155" customFormat="1" x14ac:dyDescent="0.2">
      <c r="A86" s="645"/>
      <c r="B86" s="646"/>
      <c r="C86" s="646"/>
      <c r="D86" s="647"/>
      <c r="E86" s="621" t="s">
        <v>10</v>
      </c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22"/>
      <c r="S86" s="622"/>
      <c r="T86" s="622"/>
      <c r="U86" s="622"/>
      <c r="V86" s="622"/>
      <c r="W86" s="622"/>
      <c r="X86" s="622"/>
      <c r="Y86" s="622"/>
      <c r="Z86" s="622"/>
      <c r="AA86" s="622"/>
      <c r="AB86" s="622"/>
      <c r="AC86" s="622"/>
      <c r="AD86" s="622"/>
      <c r="AE86" s="622"/>
      <c r="AF86" s="622"/>
      <c r="AG86" s="622"/>
      <c r="AH86" s="622"/>
      <c r="AI86" s="622"/>
      <c r="AJ86" s="622"/>
      <c r="AK86" s="622"/>
      <c r="AL86" s="622"/>
      <c r="AM86" s="623"/>
      <c r="AN86" s="621"/>
      <c r="AO86" s="622"/>
      <c r="AP86" s="622"/>
      <c r="AQ86" s="622"/>
      <c r="AR86" s="622"/>
      <c r="AS86" s="622"/>
      <c r="AT86" s="622"/>
      <c r="AU86" s="622"/>
      <c r="AV86" s="622"/>
      <c r="AW86" s="622"/>
      <c r="AX86" s="622"/>
      <c r="AY86" s="622"/>
      <c r="AZ86" s="622"/>
      <c r="BA86" s="623"/>
      <c r="BB86" s="613" t="s">
        <v>11</v>
      </c>
      <c r="BC86" s="614"/>
      <c r="BD86" s="614"/>
      <c r="BE86" s="614"/>
      <c r="BF86" s="614"/>
      <c r="BG86" s="614"/>
      <c r="BH86" s="614"/>
      <c r="BI86" s="615"/>
      <c r="BJ86" s="677">
        <f>SUM(BJ79:CB85)</f>
        <v>7186014.4399999995</v>
      </c>
      <c r="BK86" s="678"/>
      <c r="BL86" s="678"/>
      <c r="BM86" s="678"/>
      <c r="BN86" s="678"/>
      <c r="BO86" s="678"/>
      <c r="BP86" s="678"/>
      <c r="BQ86" s="678"/>
      <c r="BR86" s="678"/>
      <c r="BS86" s="678"/>
      <c r="BT86" s="678"/>
      <c r="BU86" s="678"/>
      <c r="BV86" s="678"/>
      <c r="BW86" s="678"/>
      <c r="BX86" s="678"/>
      <c r="BY86" s="678"/>
      <c r="BZ86" s="678"/>
      <c r="CA86" s="678"/>
      <c r="CB86" s="678"/>
      <c r="CC86" s="158"/>
      <c r="CD86" s="158"/>
      <c r="CE86" s="154"/>
      <c r="CF86" s="156"/>
      <c r="CG86" s="154"/>
    </row>
    <row r="87" spans="1:85" s="1" customFormat="1" ht="15.75" x14ac:dyDescent="0.25">
      <c r="A87" s="518"/>
      <c r="B87" s="518"/>
      <c r="C87" s="518"/>
      <c r="D87" s="518"/>
      <c r="E87" s="518"/>
      <c r="F87" s="518"/>
      <c r="G87" s="518"/>
      <c r="H87" s="518"/>
      <c r="I87" s="518"/>
      <c r="J87" s="518"/>
      <c r="K87" s="518"/>
      <c r="L87" s="518"/>
      <c r="M87" s="518"/>
      <c r="N87" s="518"/>
      <c r="O87" s="518"/>
      <c r="P87" s="518"/>
      <c r="Q87" s="518"/>
      <c r="R87" s="518"/>
      <c r="S87" s="518"/>
      <c r="T87" s="518"/>
      <c r="U87" s="518"/>
      <c r="V87" s="518"/>
      <c r="W87" s="518"/>
      <c r="X87" s="518"/>
      <c r="Y87" s="518"/>
      <c r="Z87" s="518"/>
      <c r="AA87" s="518"/>
      <c r="AB87" s="518"/>
      <c r="AC87" s="518"/>
      <c r="AD87" s="518"/>
      <c r="AE87" s="518"/>
      <c r="AF87" s="518"/>
      <c r="AG87" s="518"/>
      <c r="AH87" s="518"/>
      <c r="AI87" s="518"/>
      <c r="AJ87" s="518"/>
      <c r="AK87" s="518"/>
      <c r="AL87" s="518"/>
      <c r="AM87" s="518"/>
      <c r="AN87" s="518"/>
      <c r="AO87" s="518"/>
      <c r="AP87" s="518"/>
      <c r="AQ87" s="518"/>
      <c r="AR87" s="518"/>
      <c r="AS87" s="518"/>
      <c r="AT87" s="518"/>
      <c r="AU87" s="518"/>
      <c r="AV87" s="518"/>
      <c r="AW87" s="518"/>
      <c r="AX87" s="518"/>
      <c r="AY87" s="518"/>
      <c r="AZ87" s="518"/>
      <c r="BA87" s="518"/>
      <c r="BB87" s="518"/>
      <c r="BC87" s="518"/>
      <c r="BD87" s="518"/>
      <c r="BE87" s="518"/>
      <c r="BF87" s="518"/>
      <c r="BG87" s="518"/>
      <c r="BH87" s="518"/>
      <c r="BI87" s="518"/>
      <c r="BJ87" s="518"/>
      <c r="BK87" s="518"/>
      <c r="BL87" s="518"/>
      <c r="BM87" s="518"/>
      <c r="BN87" s="518"/>
      <c r="BO87" s="518"/>
      <c r="BP87" s="518"/>
      <c r="BQ87" s="518"/>
      <c r="BR87" s="518"/>
      <c r="BS87" s="518"/>
      <c r="BT87" s="518"/>
      <c r="BU87" s="518"/>
      <c r="BV87" s="518"/>
      <c r="BW87" s="518"/>
      <c r="BX87" s="518"/>
      <c r="BY87" s="518"/>
      <c r="BZ87" s="518"/>
      <c r="CA87" s="518"/>
      <c r="CB87" s="518"/>
      <c r="CC87" s="47"/>
      <c r="CD87" s="47"/>
      <c r="CE87" s="41"/>
      <c r="CF87" s="121"/>
      <c r="CG87" s="41"/>
    </row>
    <row r="88" spans="1:85" s="3" customFormat="1" ht="15.75" x14ac:dyDescent="0.25">
      <c r="A88" s="3" t="s">
        <v>2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624" t="s">
        <v>131</v>
      </c>
      <c r="T88" s="624"/>
      <c r="U88" s="624"/>
      <c r="V88" s="624"/>
      <c r="W88" s="624"/>
      <c r="X88" s="624"/>
      <c r="Y88" s="624"/>
      <c r="Z88" s="624"/>
      <c r="AA88" s="624"/>
      <c r="AB88" s="624"/>
      <c r="AC88" s="624"/>
      <c r="AD88" s="624"/>
      <c r="AE88" s="624"/>
      <c r="AF88" s="624"/>
      <c r="AG88" s="624"/>
      <c r="AH88" s="624"/>
      <c r="AI88" s="624"/>
      <c r="AJ88" s="624"/>
      <c r="AK88" s="624"/>
      <c r="AL88" s="624"/>
      <c r="AM88" s="624"/>
      <c r="AN88" s="624"/>
      <c r="AO88" s="624"/>
      <c r="AP88" s="624"/>
      <c r="AQ88" s="624"/>
      <c r="AR88" s="624"/>
      <c r="AS88" s="624"/>
      <c r="AT88" s="624"/>
      <c r="AU88" s="624"/>
      <c r="AV88" s="624"/>
      <c r="AW88" s="624"/>
      <c r="AX88" s="624"/>
      <c r="AY88" s="624"/>
      <c r="AZ88" s="624"/>
      <c r="BA88" s="624"/>
      <c r="BB88" s="624"/>
      <c r="BC88" s="624"/>
      <c r="BD88" s="624"/>
      <c r="BE88" s="624"/>
      <c r="BF88" s="624"/>
      <c r="BG88" s="624"/>
      <c r="BH88" s="624"/>
      <c r="BI88" s="624"/>
      <c r="BJ88" s="624"/>
      <c r="BK88" s="624"/>
      <c r="BL88" s="624"/>
      <c r="BM88" s="624"/>
      <c r="BN88" s="624"/>
      <c r="BO88" s="624"/>
      <c r="BP88" s="624"/>
      <c r="BQ88" s="624"/>
      <c r="BR88" s="624"/>
      <c r="BS88" s="624"/>
      <c r="BT88" s="624"/>
      <c r="BU88" s="624"/>
      <c r="BV88" s="624"/>
      <c r="BW88" s="624"/>
      <c r="BX88" s="624"/>
      <c r="BY88" s="624"/>
      <c r="BZ88" s="624"/>
      <c r="CA88" s="624"/>
      <c r="CB88" s="624"/>
      <c r="CC88" s="115"/>
      <c r="CD88" s="115"/>
      <c r="CE88" s="41"/>
      <c r="CF88" s="121"/>
      <c r="CG88" s="41"/>
    </row>
    <row r="89" spans="1:85" s="6" customForma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117"/>
      <c r="CD89" s="117"/>
      <c r="CE89" s="41"/>
      <c r="CF89" s="121"/>
      <c r="CG89" s="41"/>
    </row>
    <row r="90" spans="1:85" s="3" customFormat="1" ht="15" customHeight="1" x14ac:dyDescent="0.25">
      <c r="A90" s="3" t="s">
        <v>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536" t="s">
        <v>132</v>
      </c>
      <c r="AI90" s="536"/>
      <c r="AJ90" s="536"/>
      <c r="AK90" s="536"/>
      <c r="AL90" s="536"/>
      <c r="AM90" s="536"/>
      <c r="AN90" s="536"/>
      <c r="AO90" s="536"/>
      <c r="AP90" s="536"/>
      <c r="AQ90" s="536"/>
      <c r="AR90" s="536"/>
      <c r="AS90" s="536"/>
      <c r="AT90" s="536"/>
      <c r="AU90" s="536"/>
      <c r="AV90" s="536"/>
      <c r="AW90" s="536"/>
      <c r="AX90" s="536"/>
      <c r="AY90" s="536"/>
      <c r="AZ90" s="536"/>
      <c r="BA90" s="536"/>
      <c r="BB90" s="536"/>
      <c r="BC90" s="536"/>
      <c r="BD90" s="536"/>
      <c r="BE90" s="536"/>
      <c r="BF90" s="536"/>
      <c r="BG90" s="536"/>
      <c r="BH90" s="536"/>
      <c r="BI90" s="536"/>
      <c r="BJ90" s="536"/>
      <c r="BK90" s="536"/>
      <c r="BL90" s="536"/>
      <c r="BM90" s="536"/>
      <c r="BN90" s="536"/>
      <c r="BO90" s="536"/>
      <c r="BP90" s="536"/>
      <c r="BQ90" s="536"/>
      <c r="BR90" s="536"/>
      <c r="BS90" s="536"/>
      <c r="BT90" s="536"/>
      <c r="BU90" s="536"/>
      <c r="BV90" s="536"/>
      <c r="BW90" s="536"/>
      <c r="BX90" s="536"/>
      <c r="BY90" s="536"/>
      <c r="BZ90" s="536"/>
      <c r="CA90" s="536"/>
      <c r="CB90" s="536"/>
      <c r="CC90" s="115"/>
      <c r="CD90" s="115"/>
      <c r="CE90" s="41"/>
      <c r="CF90" s="121"/>
      <c r="CG90" s="41"/>
    </row>
    <row r="91" spans="1:85" ht="15.75" x14ac:dyDescent="0.25">
      <c r="A91" s="518" t="s">
        <v>328</v>
      </c>
      <c r="B91" s="518"/>
      <c r="C91" s="518"/>
      <c r="D91" s="518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O91" s="518"/>
      <c r="P91" s="518"/>
      <c r="Q91" s="518"/>
      <c r="R91" s="518"/>
      <c r="S91" s="518"/>
      <c r="T91" s="518"/>
      <c r="U91" s="518"/>
      <c r="V91" s="518"/>
      <c r="W91" s="518"/>
      <c r="X91" s="518"/>
      <c r="Y91" s="518"/>
      <c r="Z91" s="518"/>
      <c r="AA91" s="518"/>
      <c r="AB91" s="518"/>
      <c r="AC91" s="518"/>
      <c r="AD91" s="518"/>
      <c r="AE91" s="518"/>
      <c r="AF91" s="518"/>
      <c r="AG91" s="518"/>
      <c r="AH91" s="518"/>
      <c r="AI91" s="518"/>
      <c r="AJ91" s="518"/>
      <c r="AK91" s="518"/>
      <c r="AL91" s="518"/>
      <c r="AM91" s="518"/>
      <c r="AN91" s="518"/>
      <c r="AO91" s="518"/>
      <c r="AP91" s="518"/>
      <c r="AQ91" s="518"/>
      <c r="AR91" s="518"/>
      <c r="AS91" s="518"/>
      <c r="AT91" s="518"/>
      <c r="AU91" s="518"/>
      <c r="AV91" s="518"/>
      <c r="AW91" s="518"/>
      <c r="AX91" s="518"/>
      <c r="AY91" s="518"/>
      <c r="AZ91" s="518"/>
      <c r="BA91" s="518"/>
      <c r="BB91" s="518"/>
      <c r="BC91" s="518"/>
      <c r="BD91" s="518"/>
      <c r="BE91" s="518"/>
      <c r="BF91" s="518"/>
      <c r="BG91" s="518"/>
      <c r="BH91" s="518"/>
      <c r="BI91" s="518"/>
      <c r="BJ91" s="518"/>
      <c r="BK91" s="518"/>
      <c r="BL91" s="518"/>
      <c r="BM91" s="518"/>
      <c r="BN91" s="518"/>
      <c r="BO91" s="518"/>
      <c r="BP91" s="518"/>
      <c r="BQ91" s="518"/>
      <c r="BR91" s="518"/>
      <c r="BS91" s="518"/>
      <c r="BT91" s="518"/>
      <c r="BU91" s="518"/>
      <c r="BV91" s="518"/>
      <c r="BW91" s="518"/>
      <c r="BX91" s="518"/>
      <c r="BY91" s="518"/>
      <c r="BZ91" s="518"/>
      <c r="CA91" s="518"/>
      <c r="CB91" s="518"/>
      <c r="CC91" s="41"/>
      <c r="CD91" s="41"/>
      <c r="CE91" s="41"/>
      <c r="CF91" s="121"/>
      <c r="CG91" s="41"/>
    </row>
    <row r="92" spans="1:85" ht="15.75" x14ac:dyDescent="0.25">
      <c r="A92" s="518" t="s">
        <v>197</v>
      </c>
      <c r="B92" s="518"/>
      <c r="C92" s="518"/>
      <c r="D92" s="518"/>
      <c r="E92" s="518"/>
      <c r="F92" s="518"/>
      <c r="G92" s="518"/>
      <c r="H92" s="518"/>
      <c r="I92" s="518"/>
      <c r="J92" s="518"/>
      <c r="K92" s="518"/>
      <c r="L92" s="518"/>
      <c r="M92" s="518"/>
      <c r="N92" s="518"/>
      <c r="O92" s="518"/>
      <c r="P92" s="518"/>
      <c r="Q92" s="518"/>
      <c r="R92" s="518"/>
      <c r="S92" s="518"/>
      <c r="T92" s="518"/>
      <c r="U92" s="518"/>
      <c r="V92" s="518"/>
      <c r="W92" s="518"/>
      <c r="X92" s="518"/>
      <c r="Y92" s="518"/>
      <c r="Z92" s="518"/>
      <c r="AA92" s="518"/>
      <c r="AB92" s="518"/>
      <c r="AC92" s="518"/>
      <c r="AD92" s="518"/>
      <c r="AE92" s="518"/>
      <c r="AF92" s="518"/>
      <c r="AG92" s="518"/>
      <c r="AH92" s="518"/>
      <c r="AI92" s="518"/>
      <c r="AJ92" s="518"/>
      <c r="AK92" s="518"/>
      <c r="AL92" s="518"/>
      <c r="AM92" s="518"/>
      <c r="AN92" s="518"/>
      <c r="AO92" s="518"/>
      <c r="AP92" s="518"/>
      <c r="AQ92" s="518"/>
      <c r="AR92" s="518"/>
      <c r="AS92" s="518"/>
      <c r="AT92" s="518"/>
      <c r="AU92" s="518"/>
      <c r="AV92" s="518"/>
      <c r="AW92" s="518"/>
      <c r="AX92" s="518"/>
      <c r="AY92" s="518"/>
      <c r="AZ92" s="518"/>
      <c r="BA92" s="518"/>
      <c r="BB92" s="518"/>
      <c r="BC92" s="518"/>
      <c r="BD92" s="518"/>
      <c r="BE92" s="518"/>
      <c r="BF92" s="518"/>
      <c r="BG92" s="518"/>
      <c r="BH92" s="518"/>
      <c r="BI92" s="518"/>
      <c r="BJ92" s="518"/>
      <c r="BK92" s="518"/>
      <c r="BL92" s="518"/>
      <c r="BM92" s="518"/>
      <c r="BN92" s="518"/>
      <c r="BO92" s="518"/>
      <c r="BP92" s="518"/>
      <c r="BQ92" s="518"/>
      <c r="BR92" s="518"/>
      <c r="BS92" s="518"/>
      <c r="BT92" s="518"/>
      <c r="BU92" s="518"/>
      <c r="BV92" s="518"/>
      <c r="BW92" s="518"/>
      <c r="BX92" s="518"/>
      <c r="BY92" s="518"/>
      <c r="BZ92" s="518"/>
      <c r="CA92" s="518"/>
      <c r="CB92" s="518"/>
      <c r="CC92" s="41"/>
      <c r="CD92" s="41"/>
      <c r="CE92" s="41"/>
      <c r="CF92" s="121"/>
      <c r="CG92" s="41"/>
    </row>
    <row r="93" spans="1:85" x14ac:dyDescent="0.2">
      <c r="A93" s="519" t="s">
        <v>5</v>
      </c>
      <c r="B93" s="520"/>
      <c r="C93" s="520"/>
      <c r="D93" s="523"/>
      <c r="E93" s="519" t="s">
        <v>13</v>
      </c>
      <c r="F93" s="520"/>
      <c r="G93" s="520"/>
      <c r="H93" s="520"/>
      <c r="I93" s="520"/>
      <c r="J93" s="520"/>
      <c r="K93" s="520"/>
      <c r="L93" s="520"/>
      <c r="M93" s="520"/>
      <c r="N93" s="520"/>
      <c r="O93" s="520"/>
      <c r="P93" s="520"/>
      <c r="Q93" s="520"/>
      <c r="R93" s="520"/>
      <c r="S93" s="520"/>
      <c r="T93" s="520"/>
      <c r="U93" s="520"/>
      <c r="V93" s="520"/>
      <c r="W93" s="520"/>
      <c r="X93" s="520"/>
      <c r="Y93" s="520"/>
      <c r="Z93" s="520"/>
      <c r="AA93" s="520"/>
      <c r="AB93" s="520"/>
      <c r="AC93" s="520"/>
      <c r="AD93" s="520"/>
      <c r="AE93" s="520"/>
      <c r="AF93" s="520"/>
      <c r="AG93" s="520"/>
      <c r="AH93" s="520"/>
      <c r="AI93" s="520"/>
      <c r="AJ93" s="520"/>
      <c r="AK93" s="520"/>
      <c r="AL93" s="520"/>
      <c r="AM93" s="520"/>
      <c r="AN93" s="520"/>
      <c r="AO93" s="520"/>
      <c r="AP93" s="520"/>
      <c r="AQ93" s="520"/>
      <c r="AR93" s="523"/>
      <c r="AS93" s="519" t="s">
        <v>18</v>
      </c>
      <c r="AT93" s="520"/>
      <c r="AU93" s="520"/>
      <c r="AV93" s="520"/>
      <c r="AW93" s="520"/>
      <c r="AX93" s="520"/>
      <c r="AY93" s="520"/>
      <c r="AZ93" s="520"/>
      <c r="BA93" s="520"/>
      <c r="BB93" s="523"/>
      <c r="BC93" s="519" t="s">
        <v>106</v>
      </c>
      <c r="BD93" s="520"/>
      <c r="BE93" s="520"/>
      <c r="BF93" s="520"/>
      <c r="BG93" s="520"/>
      <c r="BH93" s="520"/>
      <c r="BI93" s="520"/>
      <c r="BJ93" s="520"/>
      <c r="BK93" s="520"/>
      <c r="BL93" s="520"/>
      <c r="BM93" s="523"/>
      <c r="BN93" s="519" t="s">
        <v>22</v>
      </c>
      <c r="BO93" s="520"/>
      <c r="BP93" s="520"/>
      <c r="BQ93" s="520"/>
      <c r="BR93" s="520"/>
      <c r="BS93" s="520"/>
      <c r="BT93" s="520"/>
      <c r="BU93" s="520"/>
      <c r="BV93" s="520"/>
      <c r="BW93" s="520"/>
      <c r="BX93" s="520"/>
      <c r="BY93" s="520"/>
      <c r="BZ93" s="520"/>
      <c r="CA93" s="520"/>
      <c r="CB93" s="520"/>
      <c r="CE93" s="41"/>
      <c r="CF93" s="121"/>
      <c r="CG93" s="41"/>
    </row>
    <row r="94" spans="1:85" x14ac:dyDescent="0.2">
      <c r="A94" s="521" t="s">
        <v>6</v>
      </c>
      <c r="B94" s="522"/>
      <c r="C94" s="522"/>
      <c r="D94" s="537"/>
      <c r="E94" s="521"/>
      <c r="F94" s="522"/>
      <c r="G94" s="522"/>
      <c r="H94" s="522"/>
      <c r="I94" s="522"/>
      <c r="J94" s="522"/>
      <c r="K94" s="522"/>
      <c r="L94" s="522"/>
      <c r="M94" s="522"/>
      <c r="N94" s="522"/>
      <c r="O94" s="522"/>
      <c r="P94" s="522"/>
      <c r="Q94" s="522"/>
      <c r="R94" s="522"/>
      <c r="S94" s="522"/>
      <c r="T94" s="522"/>
      <c r="U94" s="522"/>
      <c r="V94" s="522"/>
      <c r="W94" s="522"/>
      <c r="X94" s="522"/>
      <c r="Y94" s="522"/>
      <c r="Z94" s="522"/>
      <c r="AA94" s="522"/>
      <c r="AB94" s="522"/>
      <c r="AC94" s="522"/>
      <c r="AD94" s="522"/>
      <c r="AE94" s="522"/>
      <c r="AF94" s="522"/>
      <c r="AG94" s="522"/>
      <c r="AH94" s="522"/>
      <c r="AI94" s="522"/>
      <c r="AJ94" s="522"/>
      <c r="AK94" s="522"/>
      <c r="AL94" s="522"/>
      <c r="AM94" s="522"/>
      <c r="AN94" s="522"/>
      <c r="AO94" s="522"/>
      <c r="AP94" s="522"/>
      <c r="AQ94" s="522"/>
      <c r="AR94" s="537"/>
      <c r="AS94" s="521"/>
      <c r="AT94" s="522"/>
      <c r="AU94" s="522"/>
      <c r="AV94" s="522"/>
      <c r="AW94" s="522"/>
      <c r="AX94" s="522"/>
      <c r="AY94" s="522"/>
      <c r="AZ94" s="522"/>
      <c r="BA94" s="522"/>
      <c r="BB94" s="537"/>
      <c r="BC94" s="521" t="s">
        <v>107</v>
      </c>
      <c r="BD94" s="522"/>
      <c r="BE94" s="522"/>
      <c r="BF94" s="522"/>
      <c r="BG94" s="522"/>
      <c r="BH94" s="522"/>
      <c r="BI94" s="522"/>
      <c r="BJ94" s="522"/>
      <c r="BK94" s="522"/>
      <c r="BL94" s="522"/>
      <c r="BM94" s="537"/>
      <c r="BN94" s="521" t="s">
        <v>116</v>
      </c>
      <c r="BO94" s="522"/>
      <c r="BP94" s="522"/>
      <c r="BQ94" s="522"/>
      <c r="BR94" s="522"/>
      <c r="BS94" s="522"/>
      <c r="BT94" s="522"/>
      <c r="BU94" s="522"/>
      <c r="BV94" s="522"/>
      <c r="BW94" s="522"/>
      <c r="BX94" s="522"/>
      <c r="BY94" s="522"/>
      <c r="BZ94" s="522"/>
      <c r="CA94" s="522"/>
      <c r="CB94" s="522"/>
      <c r="CE94" s="41"/>
      <c r="CF94" s="121"/>
      <c r="CG94" s="41"/>
    </row>
    <row r="95" spans="1:85" x14ac:dyDescent="0.2">
      <c r="A95" s="521"/>
      <c r="B95" s="522"/>
      <c r="C95" s="522"/>
      <c r="D95" s="537"/>
      <c r="E95" s="521"/>
      <c r="F95" s="522"/>
      <c r="G95" s="522"/>
      <c r="H95" s="522"/>
      <c r="I95" s="522"/>
      <c r="J95" s="522"/>
      <c r="K95" s="522"/>
      <c r="L95" s="522"/>
      <c r="M95" s="522"/>
      <c r="N95" s="522"/>
      <c r="O95" s="522"/>
      <c r="P95" s="522"/>
      <c r="Q95" s="522"/>
      <c r="R95" s="522"/>
      <c r="S95" s="522"/>
      <c r="T95" s="522"/>
      <c r="U95" s="522"/>
      <c r="V95" s="522"/>
      <c r="W95" s="522"/>
      <c r="X95" s="522"/>
      <c r="Y95" s="522"/>
      <c r="Z95" s="522"/>
      <c r="AA95" s="522"/>
      <c r="AB95" s="522"/>
      <c r="AC95" s="522"/>
      <c r="AD95" s="522"/>
      <c r="AE95" s="522"/>
      <c r="AF95" s="522"/>
      <c r="AG95" s="522"/>
      <c r="AH95" s="522"/>
      <c r="AI95" s="522"/>
      <c r="AJ95" s="522"/>
      <c r="AK95" s="522"/>
      <c r="AL95" s="522"/>
      <c r="AM95" s="522"/>
      <c r="AN95" s="522"/>
      <c r="AO95" s="522"/>
      <c r="AP95" s="522"/>
      <c r="AQ95" s="522"/>
      <c r="AR95" s="537"/>
      <c r="AS95" s="521"/>
      <c r="AT95" s="522"/>
      <c r="AU95" s="522"/>
      <c r="AV95" s="522"/>
      <c r="AW95" s="522"/>
      <c r="AX95" s="522"/>
      <c r="AY95" s="522"/>
      <c r="AZ95" s="522"/>
      <c r="BA95" s="522"/>
      <c r="BB95" s="537"/>
      <c r="BC95" s="521" t="s">
        <v>17</v>
      </c>
      <c r="BD95" s="522"/>
      <c r="BE95" s="522"/>
      <c r="BF95" s="522"/>
      <c r="BG95" s="522"/>
      <c r="BH95" s="522"/>
      <c r="BI95" s="522"/>
      <c r="BJ95" s="522"/>
      <c r="BK95" s="522"/>
      <c r="BL95" s="522"/>
      <c r="BM95" s="537"/>
      <c r="BN95" s="521"/>
      <c r="BO95" s="522"/>
      <c r="BP95" s="522"/>
      <c r="BQ95" s="522"/>
      <c r="BR95" s="522"/>
      <c r="BS95" s="522"/>
      <c r="BT95" s="522"/>
      <c r="BU95" s="522"/>
      <c r="BV95" s="522"/>
      <c r="BW95" s="522"/>
      <c r="BX95" s="522"/>
      <c r="BY95" s="522"/>
      <c r="BZ95" s="522"/>
      <c r="CA95" s="522"/>
      <c r="CB95" s="522"/>
      <c r="CE95" s="41"/>
      <c r="CF95" s="121"/>
      <c r="CG95" s="41"/>
    </row>
    <row r="96" spans="1:85" s="153" customFormat="1" x14ac:dyDescent="0.2">
      <c r="A96" s="554"/>
      <c r="B96" s="555"/>
      <c r="C96" s="555"/>
      <c r="D96" s="556"/>
      <c r="E96" s="554">
        <v>1</v>
      </c>
      <c r="F96" s="555"/>
      <c r="G96" s="555"/>
      <c r="H96" s="555"/>
      <c r="I96" s="555"/>
      <c r="J96" s="555"/>
      <c r="K96" s="555"/>
      <c r="L96" s="555"/>
      <c r="M96" s="555"/>
      <c r="N96" s="555"/>
      <c r="O96" s="555"/>
      <c r="P96" s="555"/>
      <c r="Q96" s="555"/>
      <c r="R96" s="555"/>
      <c r="S96" s="555"/>
      <c r="T96" s="555"/>
      <c r="U96" s="555"/>
      <c r="V96" s="555"/>
      <c r="W96" s="555"/>
      <c r="X96" s="555"/>
      <c r="Y96" s="555"/>
      <c r="Z96" s="555"/>
      <c r="AA96" s="555"/>
      <c r="AB96" s="555"/>
      <c r="AC96" s="555"/>
      <c r="AD96" s="555"/>
      <c r="AE96" s="555"/>
      <c r="AF96" s="555"/>
      <c r="AG96" s="555"/>
      <c r="AH96" s="555"/>
      <c r="AI96" s="555"/>
      <c r="AJ96" s="555"/>
      <c r="AK96" s="555"/>
      <c r="AL96" s="555"/>
      <c r="AM96" s="555"/>
      <c r="AN96" s="555"/>
      <c r="AO96" s="555"/>
      <c r="AP96" s="555"/>
      <c r="AQ96" s="555"/>
      <c r="AR96" s="556"/>
      <c r="AS96" s="554">
        <v>2</v>
      </c>
      <c r="AT96" s="555"/>
      <c r="AU96" s="555"/>
      <c r="AV96" s="555"/>
      <c r="AW96" s="555"/>
      <c r="AX96" s="555"/>
      <c r="AY96" s="555"/>
      <c r="AZ96" s="555"/>
      <c r="BA96" s="555"/>
      <c r="BB96" s="556"/>
      <c r="BC96" s="554">
        <v>3</v>
      </c>
      <c r="BD96" s="555"/>
      <c r="BE96" s="555"/>
      <c r="BF96" s="555"/>
      <c r="BG96" s="555"/>
      <c r="BH96" s="555"/>
      <c r="BI96" s="555"/>
      <c r="BJ96" s="555"/>
      <c r="BK96" s="555"/>
      <c r="BL96" s="555"/>
      <c r="BM96" s="556"/>
      <c r="BN96" s="554">
        <v>4</v>
      </c>
      <c r="BO96" s="555"/>
      <c r="BP96" s="555"/>
      <c r="BQ96" s="555"/>
      <c r="BR96" s="555"/>
      <c r="BS96" s="555"/>
      <c r="BT96" s="555"/>
      <c r="BU96" s="555"/>
      <c r="BV96" s="555"/>
      <c r="BW96" s="555"/>
      <c r="BX96" s="555"/>
      <c r="BY96" s="555"/>
      <c r="BZ96" s="555"/>
      <c r="CA96" s="555"/>
      <c r="CB96" s="555"/>
      <c r="CC96" s="194"/>
      <c r="CD96" s="194"/>
      <c r="CE96" s="152"/>
      <c r="CF96" s="186"/>
      <c r="CG96" s="152"/>
    </row>
    <row r="97" spans="1:85" s="3" customFormat="1" ht="15.75" x14ac:dyDescent="0.25">
      <c r="A97" s="648">
        <v>1</v>
      </c>
      <c r="B97" s="649"/>
      <c r="C97" s="649"/>
      <c r="D97" s="650"/>
      <c r="E97" s="639" t="s">
        <v>288</v>
      </c>
      <c r="F97" s="640"/>
      <c r="G97" s="640"/>
      <c r="H97" s="640"/>
      <c r="I97" s="640"/>
      <c r="J97" s="640"/>
      <c r="K97" s="640"/>
      <c r="L97" s="640"/>
      <c r="M97" s="640"/>
      <c r="N97" s="640"/>
      <c r="O97" s="640"/>
      <c r="P97" s="640"/>
      <c r="Q97" s="640"/>
      <c r="R97" s="640"/>
      <c r="S97" s="640"/>
      <c r="T97" s="640"/>
      <c r="U97" s="640"/>
      <c r="V97" s="640"/>
      <c r="W97" s="640"/>
      <c r="X97" s="640"/>
      <c r="Y97" s="640"/>
      <c r="Z97" s="640"/>
      <c r="AA97" s="640"/>
      <c r="AB97" s="640"/>
      <c r="AC97" s="640"/>
      <c r="AD97" s="640"/>
      <c r="AE97" s="640"/>
      <c r="AF97" s="640"/>
      <c r="AG97" s="640"/>
      <c r="AH97" s="640"/>
      <c r="AI97" s="640"/>
      <c r="AJ97" s="640"/>
      <c r="AK97" s="640"/>
      <c r="AL97" s="640"/>
      <c r="AM97" s="640"/>
      <c r="AN97" s="640"/>
      <c r="AO97" s="640"/>
      <c r="AP97" s="640"/>
      <c r="AQ97" s="640"/>
      <c r="AR97" s="641"/>
      <c r="AS97" s="660"/>
      <c r="AT97" s="661"/>
      <c r="AU97" s="661"/>
      <c r="AV97" s="661"/>
      <c r="AW97" s="661"/>
      <c r="AX97" s="661"/>
      <c r="AY97" s="661"/>
      <c r="AZ97" s="661"/>
      <c r="BA97" s="661"/>
      <c r="BB97" s="662"/>
      <c r="BC97" s="642"/>
      <c r="BD97" s="643"/>
      <c r="BE97" s="643"/>
      <c r="BF97" s="643"/>
      <c r="BG97" s="643"/>
      <c r="BH97" s="643"/>
      <c r="BI97" s="643"/>
      <c r="BJ97" s="643"/>
      <c r="BK97" s="643"/>
      <c r="BL97" s="643"/>
      <c r="BM97" s="644"/>
      <c r="BN97" s="634">
        <f>BN98+BN99+BN100</f>
        <v>50000</v>
      </c>
      <c r="BO97" s="635"/>
      <c r="BP97" s="635"/>
      <c r="BQ97" s="635"/>
      <c r="BR97" s="635"/>
      <c r="BS97" s="635"/>
      <c r="BT97" s="635"/>
      <c r="BU97" s="635"/>
      <c r="BV97" s="635"/>
      <c r="BW97" s="635"/>
      <c r="BX97" s="635"/>
      <c r="BY97" s="635"/>
      <c r="BZ97" s="635"/>
      <c r="CA97" s="635"/>
      <c r="CB97" s="635"/>
      <c r="CC97" s="195"/>
      <c r="CD97" s="195"/>
      <c r="CE97" s="41"/>
      <c r="CF97" s="121"/>
      <c r="CG97" s="41"/>
    </row>
    <row r="98" spans="1:85" s="6" customFormat="1" x14ac:dyDescent="0.2">
      <c r="A98" s="15"/>
      <c r="B98" s="72"/>
      <c r="C98" s="72"/>
      <c r="D98" s="73"/>
      <c r="E98" s="636" t="s">
        <v>470</v>
      </c>
      <c r="F98" s="637"/>
      <c r="G98" s="637"/>
      <c r="H98" s="637"/>
      <c r="I98" s="637"/>
      <c r="J98" s="637"/>
      <c r="K98" s="637"/>
      <c r="L98" s="637"/>
      <c r="M98" s="637"/>
      <c r="N98" s="637"/>
      <c r="O98" s="637"/>
      <c r="P98" s="637"/>
      <c r="Q98" s="637"/>
      <c r="R98" s="637"/>
      <c r="S98" s="637"/>
      <c r="T98" s="637"/>
      <c r="U98" s="637"/>
      <c r="V98" s="637"/>
      <c r="W98" s="637"/>
      <c r="X98" s="637"/>
      <c r="Y98" s="637"/>
      <c r="Z98" s="637"/>
      <c r="AA98" s="637"/>
      <c r="AB98" s="637"/>
      <c r="AC98" s="637"/>
      <c r="AD98" s="637"/>
      <c r="AE98" s="637"/>
      <c r="AF98" s="637"/>
      <c r="AG98" s="637"/>
      <c r="AH98" s="637"/>
      <c r="AI98" s="637"/>
      <c r="AJ98" s="637"/>
      <c r="AK98" s="637"/>
      <c r="AL98" s="637"/>
      <c r="AM98" s="637"/>
      <c r="AN98" s="637"/>
      <c r="AO98" s="637"/>
      <c r="AP98" s="637"/>
      <c r="AQ98" s="637"/>
      <c r="AR98" s="638"/>
      <c r="AS98" s="74"/>
      <c r="AT98" s="75"/>
      <c r="AU98" s="75"/>
      <c r="AV98" s="75"/>
      <c r="AW98" s="75"/>
      <c r="AX98" s="75"/>
      <c r="AY98" s="75"/>
      <c r="AZ98" s="75"/>
      <c r="BA98" s="75"/>
      <c r="BB98" s="76"/>
      <c r="BC98" s="77"/>
      <c r="BD98" s="78"/>
      <c r="BE98" s="78"/>
      <c r="BF98" s="78"/>
      <c r="BG98" s="78"/>
      <c r="BH98" s="78"/>
      <c r="BI98" s="78"/>
      <c r="BJ98" s="78"/>
      <c r="BK98" s="78"/>
      <c r="BL98" s="78"/>
      <c r="BM98" s="79"/>
      <c r="BN98" s="634"/>
      <c r="BO98" s="635"/>
      <c r="BP98" s="635"/>
      <c r="BQ98" s="635"/>
      <c r="BR98" s="635"/>
      <c r="BS98" s="635"/>
      <c r="BT98" s="635"/>
      <c r="BU98" s="635"/>
      <c r="BV98" s="635"/>
      <c r="BW98" s="635"/>
      <c r="BX98" s="635"/>
      <c r="BY98" s="635"/>
      <c r="BZ98" s="635"/>
      <c r="CA98" s="635"/>
      <c r="CB98" s="635"/>
      <c r="CC98" s="195"/>
      <c r="CD98" s="195"/>
      <c r="CE98" s="64">
        <f t="shared" ref="CE98:CE107" si="2">BN98-CC98</f>
        <v>0</v>
      </c>
      <c r="CF98" s="121"/>
      <c r="CG98" s="41"/>
    </row>
    <row r="99" spans="1:85" s="3" customFormat="1" ht="15.75" x14ac:dyDescent="0.25">
      <c r="A99" s="15"/>
      <c r="B99" s="72"/>
      <c r="C99" s="72"/>
      <c r="D99" s="73"/>
      <c r="E99" s="636" t="s">
        <v>471</v>
      </c>
      <c r="F99" s="637"/>
      <c r="G99" s="637"/>
      <c r="H99" s="637"/>
      <c r="I99" s="637"/>
      <c r="J99" s="637"/>
      <c r="K99" s="637"/>
      <c r="L99" s="637"/>
      <c r="M99" s="637"/>
      <c r="N99" s="637"/>
      <c r="O99" s="637"/>
      <c r="P99" s="637"/>
      <c r="Q99" s="637"/>
      <c r="R99" s="637"/>
      <c r="S99" s="637"/>
      <c r="T99" s="637"/>
      <c r="U99" s="637"/>
      <c r="V99" s="637"/>
      <c r="W99" s="637"/>
      <c r="X99" s="637"/>
      <c r="Y99" s="637"/>
      <c r="Z99" s="637"/>
      <c r="AA99" s="637"/>
      <c r="AB99" s="637"/>
      <c r="AC99" s="637"/>
      <c r="AD99" s="637"/>
      <c r="AE99" s="637"/>
      <c r="AF99" s="637"/>
      <c r="AG99" s="637"/>
      <c r="AH99" s="637"/>
      <c r="AI99" s="637"/>
      <c r="AJ99" s="637"/>
      <c r="AK99" s="637"/>
      <c r="AL99" s="637"/>
      <c r="AM99" s="637"/>
      <c r="AN99" s="637"/>
      <c r="AO99" s="637"/>
      <c r="AP99" s="637"/>
      <c r="AQ99" s="637"/>
      <c r="AR99" s="638"/>
      <c r="AS99" s="74"/>
      <c r="AT99" s="75"/>
      <c r="AU99" s="75"/>
      <c r="AV99" s="75"/>
      <c r="AW99" s="75"/>
      <c r="AX99" s="75"/>
      <c r="AY99" s="75"/>
      <c r="AZ99" s="75"/>
      <c r="BA99" s="75"/>
      <c r="BB99" s="76"/>
      <c r="BC99" s="77"/>
      <c r="BD99" s="78"/>
      <c r="BE99" s="78"/>
      <c r="BF99" s="78"/>
      <c r="BG99" s="78"/>
      <c r="BH99" s="78"/>
      <c r="BI99" s="78"/>
      <c r="BJ99" s="78"/>
      <c r="BK99" s="78"/>
      <c r="BL99" s="78"/>
      <c r="BM99" s="79"/>
      <c r="BN99" s="634"/>
      <c r="BO99" s="635"/>
      <c r="BP99" s="635"/>
      <c r="BQ99" s="635"/>
      <c r="BR99" s="635"/>
      <c r="BS99" s="635"/>
      <c r="BT99" s="635"/>
      <c r="BU99" s="635"/>
      <c r="BV99" s="635"/>
      <c r="BW99" s="635"/>
      <c r="BX99" s="635"/>
      <c r="BY99" s="635"/>
      <c r="BZ99" s="635"/>
      <c r="CA99" s="635"/>
      <c r="CB99" s="635"/>
      <c r="CC99" s="195"/>
      <c r="CD99" s="195"/>
      <c r="CE99" s="64">
        <f t="shared" si="2"/>
        <v>0</v>
      </c>
      <c r="CF99" s="121"/>
      <c r="CG99" s="41"/>
    </row>
    <row r="100" spans="1:85" s="6" customFormat="1" x14ac:dyDescent="0.2">
      <c r="A100" s="15"/>
      <c r="B100" s="72"/>
      <c r="C100" s="72"/>
      <c r="D100" s="73"/>
      <c r="E100" s="636" t="s">
        <v>472</v>
      </c>
      <c r="F100" s="637"/>
      <c r="G100" s="637"/>
      <c r="H100" s="637"/>
      <c r="I100" s="637"/>
      <c r="J100" s="637"/>
      <c r="K100" s="637"/>
      <c r="L100" s="637"/>
      <c r="M100" s="637"/>
      <c r="N100" s="637"/>
      <c r="O100" s="637"/>
      <c r="P100" s="637"/>
      <c r="Q100" s="637"/>
      <c r="R100" s="637"/>
      <c r="S100" s="637"/>
      <c r="T100" s="637"/>
      <c r="U100" s="637"/>
      <c r="V100" s="637"/>
      <c r="W100" s="637"/>
      <c r="X100" s="637"/>
      <c r="Y100" s="637"/>
      <c r="Z100" s="637"/>
      <c r="AA100" s="637"/>
      <c r="AB100" s="637"/>
      <c r="AC100" s="637"/>
      <c r="AD100" s="637"/>
      <c r="AE100" s="637"/>
      <c r="AF100" s="637"/>
      <c r="AG100" s="637"/>
      <c r="AH100" s="637"/>
      <c r="AI100" s="637"/>
      <c r="AJ100" s="637"/>
      <c r="AK100" s="637"/>
      <c r="AL100" s="637"/>
      <c r="AM100" s="637"/>
      <c r="AN100" s="637"/>
      <c r="AO100" s="637"/>
      <c r="AP100" s="637"/>
      <c r="AQ100" s="637"/>
      <c r="AR100" s="638"/>
      <c r="AS100" s="74"/>
      <c r="AT100" s="75"/>
      <c r="AU100" s="75"/>
      <c r="AV100" s="75"/>
      <c r="AW100" s="75"/>
      <c r="AX100" s="75"/>
      <c r="AY100" s="75"/>
      <c r="AZ100" s="75"/>
      <c r="BA100" s="75"/>
      <c r="BB100" s="76"/>
      <c r="BC100" s="77"/>
      <c r="BD100" s="78"/>
      <c r="BE100" s="78"/>
      <c r="BF100" s="78"/>
      <c r="BG100" s="78"/>
      <c r="BH100" s="78"/>
      <c r="BI100" s="78"/>
      <c r="BJ100" s="78"/>
      <c r="BK100" s="78"/>
      <c r="BL100" s="78"/>
      <c r="BM100" s="79"/>
      <c r="BN100" s="634">
        <v>50000</v>
      </c>
      <c r="BO100" s="635"/>
      <c r="BP100" s="635"/>
      <c r="BQ100" s="635"/>
      <c r="BR100" s="635"/>
      <c r="BS100" s="635"/>
      <c r="BT100" s="635"/>
      <c r="BU100" s="635"/>
      <c r="BV100" s="635"/>
      <c r="BW100" s="635"/>
      <c r="BX100" s="635"/>
      <c r="BY100" s="635"/>
      <c r="BZ100" s="635"/>
      <c r="CA100" s="635"/>
      <c r="CB100" s="635"/>
      <c r="CC100" s="195"/>
      <c r="CD100" s="195"/>
      <c r="CE100" s="64">
        <f t="shared" si="2"/>
        <v>50000</v>
      </c>
      <c r="CF100" s="106" t="s">
        <v>331</v>
      </c>
      <c r="CG100" s="106" t="s">
        <v>446</v>
      </c>
    </row>
    <row r="101" spans="1:85" s="3" customFormat="1" ht="15.75" x14ac:dyDescent="0.25">
      <c r="A101" s="648">
        <v>2</v>
      </c>
      <c r="B101" s="649"/>
      <c r="C101" s="649"/>
      <c r="D101" s="650"/>
      <c r="E101" s="639" t="s">
        <v>445</v>
      </c>
      <c r="F101" s="640"/>
      <c r="G101" s="640"/>
      <c r="H101" s="640"/>
      <c r="I101" s="640"/>
      <c r="J101" s="640"/>
      <c r="K101" s="640"/>
      <c r="L101" s="640"/>
      <c r="M101" s="640"/>
      <c r="N101" s="640"/>
      <c r="O101" s="640"/>
      <c r="P101" s="640"/>
      <c r="Q101" s="640"/>
      <c r="R101" s="640"/>
      <c r="S101" s="640"/>
      <c r="T101" s="640"/>
      <c r="U101" s="640"/>
      <c r="V101" s="640"/>
      <c r="W101" s="640"/>
      <c r="X101" s="640"/>
      <c r="Y101" s="640"/>
      <c r="Z101" s="640"/>
      <c r="AA101" s="640"/>
      <c r="AB101" s="640"/>
      <c r="AC101" s="640"/>
      <c r="AD101" s="640"/>
      <c r="AE101" s="640"/>
      <c r="AF101" s="640"/>
      <c r="AG101" s="640"/>
      <c r="AH101" s="640"/>
      <c r="AI101" s="640"/>
      <c r="AJ101" s="640"/>
      <c r="AK101" s="640"/>
      <c r="AL101" s="640"/>
      <c r="AM101" s="640"/>
      <c r="AN101" s="640"/>
      <c r="AO101" s="640"/>
      <c r="AP101" s="640"/>
      <c r="AQ101" s="640"/>
      <c r="AR101" s="641"/>
      <c r="AS101" s="660"/>
      <c r="AT101" s="661"/>
      <c r="AU101" s="661"/>
      <c r="AV101" s="661"/>
      <c r="AW101" s="661"/>
      <c r="AX101" s="661"/>
      <c r="AY101" s="661"/>
      <c r="AZ101" s="661"/>
      <c r="BA101" s="661"/>
      <c r="BB101" s="662"/>
      <c r="BC101" s="642"/>
      <c r="BD101" s="643"/>
      <c r="BE101" s="643"/>
      <c r="BF101" s="643"/>
      <c r="BG101" s="643"/>
      <c r="BH101" s="643"/>
      <c r="BI101" s="643"/>
      <c r="BJ101" s="643"/>
      <c r="BK101" s="643"/>
      <c r="BL101" s="643"/>
      <c r="BM101" s="644"/>
      <c r="BN101" s="634"/>
      <c r="BO101" s="635"/>
      <c r="BP101" s="635"/>
      <c r="BQ101" s="635"/>
      <c r="BR101" s="635"/>
      <c r="BS101" s="635"/>
      <c r="BT101" s="635"/>
      <c r="BU101" s="635"/>
      <c r="BV101" s="635"/>
      <c r="BW101" s="635"/>
      <c r="BX101" s="635"/>
      <c r="BY101" s="635"/>
      <c r="BZ101" s="635"/>
      <c r="CA101" s="635"/>
      <c r="CB101" s="635"/>
      <c r="CC101" s="195"/>
      <c r="CD101" s="195"/>
      <c r="CE101" s="64">
        <f t="shared" si="2"/>
        <v>0</v>
      </c>
      <c r="CF101" s="106"/>
      <c r="CG101" s="195"/>
    </row>
    <row r="102" spans="1:85" s="3" customFormat="1" ht="15.75" x14ac:dyDescent="0.25">
      <c r="A102" s="658">
        <v>3</v>
      </c>
      <c r="B102" s="659"/>
      <c r="C102" s="659"/>
      <c r="D102" s="107"/>
      <c r="E102" s="639" t="s">
        <v>501</v>
      </c>
      <c r="F102" s="640"/>
      <c r="G102" s="640"/>
      <c r="H102" s="640"/>
      <c r="I102" s="640"/>
      <c r="J102" s="640"/>
      <c r="K102" s="640"/>
      <c r="L102" s="640"/>
      <c r="M102" s="640"/>
      <c r="N102" s="640"/>
      <c r="O102" s="640"/>
      <c r="P102" s="640"/>
      <c r="Q102" s="640"/>
      <c r="R102" s="640"/>
      <c r="S102" s="640"/>
      <c r="T102" s="640"/>
      <c r="U102" s="640"/>
      <c r="V102" s="640"/>
      <c r="W102" s="640"/>
      <c r="X102" s="640"/>
      <c r="Y102" s="640"/>
      <c r="Z102" s="640"/>
      <c r="AA102" s="640"/>
      <c r="AB102" s="640"/>
      <c r="AC102" s="640"/>
      <c r="AD102" s="640"/>
      <c r="AE102" s="640"/>
      <c r="AF102" s="640"/>
      <c r="AG102" s="640"/>
      <c r="AH102" s="640"/>
      <c r="AI102" s="640"/>
      <c r="AJ102" s="640"/>
      <c r="AK102" s="640"/>
      <c r="AL102" s="640"/>
      <c r="AM102" s="640"/>
      <c r="AN102" s="640"/>
      <c r="AO102" s="640"/>
      <c r="AP102" s="640"/>
      <c r="AQ102" s="640"/>
      <c r="AR102" s="641"/>
      <c r="AS102" s="74"/>
      <c r="AT102" s="75"/>
      <c r="AU102" s="75"/>
      <c r="AV102" s="75"/>
      <c r="AW102" s="75"/>
      <c r="AX102" s="75"/>
      <c r="AY102" s="75"/>
      <c r="AZ102" s="75"/>
      <c r="BA102" s="75"/>
      <c r="BB102" s="76"/>
      <c r="BC102" s="77"/>
      <c r="BD102" s="78"/>
      <c r="BE102" s="78"/>
      <c r="BF102" s="78"/>
      <c r="BG102" s="78"/>
      <c r="BH102" s="78"/>
      <c r="BI102" s="78"/>
      <c r="BJ102" s="78"/>
      <c r="BK102" s="78"/>
      <c r="BL102" s="78"/>
      <c r="BM102" s="79"/>
      <c r="BN102" s="634">
        <f>7980</f>
        <v>7980</v>
      </c>
      <c r="BO102" s="635"/>
      <c r="BP102" s="635"/>
      <c r="BQ102" s="635"/>
      <c r="BR102" s="635"/>
      <c r="BS102" s="635"/>
      <c r="BT102" s="635"/>
      <c r="BU102" s="635"/>
      <c r="BV102" s="635"/>
      <c r="BW102" s="635"/>
      <c r="BX102" s="635"/>
      <c r="BY102" s="635"/>
      <c r="BZ102" s="635"/>
      <c r="CA102" s="635"/>
      <c r="CB102" s="635"/>
      <c r="CC102" s="60">
        <v>12000</v>
      </c>
      <c r="CD102" s="64">
        <f>1000+1000+1000+1000</f>
        <v>4000</v>
      </c>
      <c r="CE102" s="64">
        <f t="shared" si="2"/>
        <v>-4020</v>
      </c>
      <c r="CF102" s="121"/>
      <c r="CG102" s="41"/>
    </row>
    <row r="103" spans="1:85" s="3" customFormat="1" ht="15.75" x14ac:dyDescent="0.25">
      <c r="A103" s="658">
        <v>3</v>
      </c>
      <c r="B103" s="659"/>
      <c r="C103" s="659"/>
      <c r="D103" s="448"/>
      <c r="E103" s="639" t="s">
        <v>506</v>
      </c>
      <c r="F103" s="640"/>
      <c r="G103" s="640"/>
      <c r="H103" s="640"/>
      <c r="I103" s="640"/>
      <c r="J103" s="640"/>
      <c r="K103" s="640"/>
      <c r="L103" s="640"/>
      <c r="M103" s="640"/>
      <c r="N103" s="640"/>
      <c r="O103" s="640"/>
      <c r="P103" s="640"/>
      <c r="Q103" s="640"/>
      <c r="R103" s="640"/>
      <c r="S103" s="640"/>
      <c r="T103" s="640"/>
      <c r="U103" s="640"/>
      <c r="V103" s="640"/>
      <c r="W103" s="640"/>
      <c r="X103" s="640"/>
      <c r="Y103" s="640"/>
      <c r="Z103" s="640"/>
      <c r="AA103" s="640"/>
      <c r="AB103" s="640"/>
      <c r="AC103" s="640"/>
      <c r="AD103" s="640"/>
      <c r="AE103" s="640"/>
      <c r="AF103" s="640"/>
      <c r="AG103" s="640"/>
      <c r="AH103" s="640"/>
      <c r="AI103" s="640"/>
      <c r="AJ103" s="640"/>
      <c r="AK103" s="640"/>
      <c r="AL103" s="640"/>
      <c r="AM103" s="640"/>
      <c r="AN103" s="640"/>
      <c r="AO103" s="640"/>
      <c r="AP103" s="640"/>
      <c r="AQ103" s="640"/>
      <c r="AR103" s="641"/>
      <c r="AS103" s="442"/>
      <c r="AT103" s="443"/>
      <c r="AU103" s="443"/>
      <c r="AV103" s="443"/>
      <c r="AW103" s="443"/>
      <c r="AX103" s="443"/>
      <c r="AY103" s="443"/>
      <c r="AZ103" s="443"/>
      <c r="BA103" s="443"/>
      <c r="BB103" s="444"/>
      <c r="BC103" s="445"/>
      <c r="BD103" s="446"/>
      <c r="BE103" s="446"/>
      <c r="BF103" s="446"/>
      <c r="BG103" s="446"/>
      <c r="BH103" s="446"/>
      <c r="BI103" s="446"/>
      <c r="BJ103" s="446"/>
      <c r="BK103" s="446"/>
      <c r="BL103" s="446"/>
      <c r="BM103" s="447"/>
      <c r="BN103" s="634">
        <f>5460+160</f>
        <v>5620</v>
      </c>
      <c r="BO103" s="635"/>
      <c r="BP103" s="635"/>
      <c r="BQ103" s="635"/>
      <c r="BR103" s="635"/>
      <c r="BS103" s="635"/>
      <c r="BT103" s="635"/>
      <c r="BU103" s="635"/>
      <c r="BV103" s="635"/>
      <c r="BW103" s="635"/>
      <c r="BX103" s="635"/>
      <c r="BY103" s="635"/>
      <c r="BZ103" s="635"/>
      <c r="CA103" s="635"/>
      <c r="CB103" s="635"/>
      <c r="CC103" s="60"/>
      <c r="CD103" s="64"/>
      <c r="CE103" s="64">
        <f t="shared" ref="CE103" si="3">BN103-CC103</f>
        <v>5620</v>
      </c>
      <c r="CF103" s="121"/>
      <c r="CG103" s="41"/>
    </row>
    <row r="104" spans="1:85" s="3" customFormat="1" ht="15.75" x14ac:dyDescent="0.25">
      <c r="A104" s="648">
        <v>4</v>
      </c>
      <c r="B104" s="649"/>
      <c r="C104" s="649"/>
      <c r="D104" s="650"/>
      <c r="E104" s="682" t="s">
        <v>473</v>
      </c>
      <c r="F104" s="683"/>
      <c r="G104" s="683"/>
      <c r="H104" s="683"/>
      <c r="I104" s="683"/>
      <c r="J104" s="683"/>
      <c r="K104" s="683"/>
      <c r="L104" s="683"/>
      <c r="M104" s="683"/>
      <c r="N104" s="683"/>
      <c r="O104" s="683"/>
      <c r="P104" s="683"/>
      <c r="Q104" s="683"/>
      <c r="R104" s="683"/>
      <c r="S104" s="683"/>
      <c r="T104" s="683"/>
      <c r="U104" s="683"/>
      <c r="V104" s="683"/>
      <c r="W104" s="683"/>
      <c r="X104" s="683"/>
      <c r="Y104" s="683"/>
      <c r="Z104" s="683"/>
      <c r="AA104" s="683"/>
      <c r="AB104" s="683"/>
      <c r="AC104" s="683"/>
      <c r="AD104" s="683"/>
      <c r="AE104" s="683"/>
      <c r="AF104" s="683"/>
      <c r="AG104" s="683"/>
      <c r="AH104" s="683"/>
      <c r="AI104" s="683"/>
      <c r="AJ104" s="683"/>
      <c r="AK104" s="683"/>
      <c r="AL104" s="683"/>
      <c r="AM104" s="683"/>
      <c r="AN104" s="683"/>
      <c r="AO104" s="683"/>
      <c r="AP104" s="683"/>
      <c r="AQ104" s="683"/>
      <c r="AR104" s="684"/>
      <c r="AS104" s="660"/>
      <c r="AT104" s="661"/>
      <c r="AU104" s="661"/>
      <c r="AV104" s="661"/>
      <c r="AW104" s="661"/>
      <c r="AX104" s="661"/>
      <c r="AY104" s="661"/>
      <c r="AZ104" s="661"/>
      <c r="BA104" s="661"/>
      <c r="BB104" s="662"/>
      <c r="BC104" s="642"/>
      <c r="BD104" s="643"/>
      <c r="BE104" s="643"/>
      <c r="BF104" s="643"/>
      <c r="BG104" s="643"/>
      <c r="BH104" s="643"/>
      <c r="BI104" s="643"/>
      <c r="BJ104" s="643"/>
      <c r="BK104" s="643"/>
      <c r="BL104" s="643"/>
      <c r="BM104" s="644"/>
      <c r="BN104" s="672"/>
      <c r="BO104" s="673"/>
      <c r="BP104" s="673"/>
      <c r="BQ104" s="673"/>
      <c r="BR104" s="673"/>
      <c r="BS104" s="673"/>
      <c r="BT104" s="673"/>
      <c r="BU104" s="673"/>
      <c r="BV104" s="673"/>
      <c r="BW104" s="673"/>
      <c r="BX104" s="673"/>
      <c r="BY104" s="673"/>
      <c r="BZ104" s="673"/>
      <c r="CA104" s="673"/>
      <c r="CB104" s="673"/>
      <c r="CC104" s="196"/>
      <c r="CD104" s="196"/>
      <c r="CE104" s="64">
        <f>BN104-CC104</f>
        <v>0</v>
      </c>
      <c r="CF104" s="121" t="s">
        <v>461</v>
      </c>
      <c r="CG104" s="41">
        <f>CD104-CC104</f>
        <v>0</v>
      </c>
    </row>
    <row r="105" spans="1:85" s="3" customFormat="1" ht="15.75" x14ac:dyDescent="0.25">
      <c r="A105" s="648">
        <v>5</v>
      </c>
      <c r="B105" s="649"/>
      <c r="C105" s="649"/>
      <c r="D105" s="650"/>
      <c r="E105" s="639" t="s">
        <v>448</v>
      </c>
      <c r="F105" s="640"/>
      <c r="G105" s="640"/>
      <c r="H105" s="640"/>
      <c r="I105" s="640"/>
      <c r="J105" s="640"/>
      <c r="K105" s="640"/>
      <c r="L105" s="640"/>
      <c r="M105" s="640"/>
      <c r="N105" s="640"/>
      <c r="O105" s="640"/>
      <c r="P105" s="640"/>
      <c r="Q105" s="640"/>
      <c r="R105" s="640"/>
      <c r="S105" s="640"/>
      <c r="T105" s="640"/>
      <c r="U105" s="640"/>
      <c r="V105" s="640"/>
      <c r="W105" s="640"/>
      <c r="X105" s="640"/>
      <c r="Y105" s="640"/>
      <c r="Z105" s="640"/>
      <c r="AA105" s="640"/>
      <c r="AB105" s="640"/>
      <c r="AC105" s="640"/>
      <c r="AD105" s="640"/>
      <c r="AE105" s="640"/>
      <c r="AF105" s="640"/>
      <c r="AG105" s="640"/>
      <c r="AH105" s="640"/>
      <c r="AI105" s="640"/>
      <c r="AJ105" s="640"/>
      <c r="AK105" s="640"/>
      <c r="AL105" s="640"/>
      <c r="AM105" s="640"/>
      <c r="AN105" s="640"/>
      <c r="AO105" s="640"/>
      <c r="AP105" s="640"/>
      <c r="AQ105" s="640"/>
      <c r="AR105" s="641"/>
      <c r="AS105" s="660"/>
      <c r="AT105" s="661"/>
      <c r="AU105" s="661"/>
      <c r="AV105" s="661"/>
      <c r="AW105" s="661"/>
      <c r="AX105" s="661"/>
      <c r="AY105" s="661"/>
      <c r="AZ105" s="661"/>
      <c r="BA105" s="661"/>
      <c r="BB105" s="662"/>
      <c r="BC105" s="642"/>
      <c r="BD105" s="643"/>
      <c r="BE105" s="643"/>
      <c r="BF105" s="643"/>
      <c r="BG105" s="643"/>
      <c r="BH105" s="643"/>
      <c r="BI105" s="643"/>
      <c r="BJ105" s="643"/>
      <c r="BK105" s="643"/>
      <c r="BL105" s="643"/>
      <c r="BM105" s="644"/>
      <c r="BN105" s="634"/>
      <c r="BO105" s="635"/>
      <c r="BP105" s="635"/>
      <c r="BQ105" s="635"/>
      <c r="BR105" s="635"/>
      <c r="BS105" s="635"/>
      <c r="BT105" s="635"/>
      <c r="BU105" s="635"/>
      <c r="BV105" s="635"/>
      <c r="BW105" s="635"/>
      <c r="BX105" s="635"/>
      <c r="BY105" s="635"/>
      <c r="BZ105" s="635"/>
      <c r="CA105" s="635"/>
      <c r="CB105" s="635"/>
      <c r="CC105" s="196"/>
      <c r="CD105" s="195"/>
      <c r="CE105" s="64">
        <f>BN105-CC105</f>
        <v>0</v>
      </c>
      <c r="CF105" s="121"/>
      <c r="CG105" s="41"/>
    </row>
    <row r="106" spans="1:85" s="3" customFormat="1" ht="15.75" x14ac:dyDescent="0.25">
      <c r="A106" s="652">
        <v>6</v>
      </c>
      <c r="B106" s="653"/>
      <c r="C106" s="653"/>
      <c r="D106" s="654"/>
      <c r="E106" s="666" t="s">
        <v>449</v>
      </c>
      <c r="F106" s="667"/>
      <c r="G106" s="667"/>
      <c r="H106" s="667"/>
      <c r="I106" s="667"/>
      <c r="J106" s="667"/>
      <c r="K106" s="667"/>
      <c r="L106" s="667"/>
      <c r="M106" s="667"/>
      <c r="N106" s="667"/>
      <c r="O106" s="667"/>
      <c r="P106" s="667"/>
      <c r="Q106" s="667"/>
      <c r="R106" s="667"/>
      <c r="S106" s="667"/>
      <c r="T106" s="667"/>
      <c r="U106" s="667"/>
      <c r="V106" s="667"/>
      <c r="W106" s="667"/>
      <c r="X106" s="667"/>
      <c r="Y106" s="667"/>
      <c r="Z106" s="667"/>
      <c r="AA106" s="667"/>
      <c r="AB106" s="667"/>
      <c r="AC106" s="667"/>
      <c r="AD106" s="667"/>
      <c r="AE106" s="667"/>
      <c r="AF106" s="667"/>
      <c r="AG106" s="667"/>
      <c r="AH106" s="667"/>
      <c r="AI106" s="667"/>
      <c r="AJ106" s="667"/>
      <c r="AK106" s="667"/>
      <c r="AL106" s="667"/>
      <c r="AM106" s="667"/>
      <c r="AN106" s="667"/>
      <c r="AO106" s="667"/>
      <c r="AP106" s="667"/>
      <c r="AQ106" s="667"/>
      <c r="AR106" s="668"/>
      <c r="AS106" s="663" t="s">
        <v>464</v>
      </c>
      <c r="AT106" s="664"/>
      <c r="AU106" s="664"/>
      <c r="AV106" s="664"/>
      <c r="AW106" s="664"/>
      <c r="AX106" s="664"/>
      <c r="AY106" s="664"/>
      <c r="AZ106" s="664"/>
      <c r="BA106" s="664"/>
      <c r="BB106" s="665"/>
      <c r="BC106" s="642"/>
      <c r="BD106" s="643"/>
      <c r="BE106" s="643"/>
      <c r="BF106" s="643"/>
      <c r="BG106" s="643"/>
      <c r="BH106" s="643"/>
      <c r="BI106" s="643"/>
      <c r="BJ106" s="643"/>
      <c r="BK106" s="643"/>
      <c r="BL106" s="643"/>
      <c r="BM106" s="644"/>
      <c r="BN106" s="634">
        <v>3300</v>
      </c>
      <c r="BO106" s="635"/>
      <c r="BP106" s="635"/>
      <c r="BQ106" s="635"/>
      <c r="BR106" s="635"/>
      <c r="BS106" s="635"/>
      <c r="BT106" s="635"/>
      <c r="BU106" s="635"/>
      <c r="BV106" s="635"/>
      <c r="BW106" s="635"/>
      <c r="BX106" s="635"/>
      <c r="BY106" s="635"/>
      <c r="BZ106" s="635"/>
      <c r="CA106" s="635"/>
      <c r="CB106" s="635"/>
      <c r="CC106" s="196"/>
      <c r="CD106" s="195"/>
      <c r="CE106" s="64">
        <f>BN106-CC106</f>
        <v>3300</v>
      </c>
      <c r="CF106" s="121"/>
      <c r="CG106" s="41"/>
    </row>
    <row r="107" spans="1:85" s="3" customFormat="1" ht="23.25" customHeight="1" x14ac:dyDescent="0.25">
      <c r="A107" s="655"/>
      <c r="B107" s="656"/>
      <c r="C107" s="656"/>
      <c r="D107" s="657"/>
      <c r="E107" s="669"/>
      <c r="F107" s="670"/>
      <c r="G107" s="670"/>
      <c r="H107" s="670"/>
      <c r="I107" s="670"/>
      <c r="J107" s="670"/>
      <c r="K107" s="670"/>
      <c r="L107" s="670"/>
      <c r="M107" s="670"/>
      <c r="N107" s="670"/>
      <c r="O107" s="670"/>
      <c r="P107" s="670"/>
      <c r="Q107" s="670"/>
      <c r="R107" s="670"/>
      <c r="S107" s="670"/>
      <c r="T107" s="670"/>
      <c r="U107" s="670"/>
      <c r="V107" s="670"/>
      <c r="W107" s="670"/>
      <c r="X107" s="670"/>
      <c r="Y107" s="670"/>
      <c r="Z107" s="670"/>
      <c r="AA107" s="670"/>
      <c r="AB107" s="670"/>
      <c r="AC107" s="670"/>
      <c r="AD107" s="670"/>
      <c r="AE107" s="670"/>
      <c r="AF107" s="670"/>
      <c r="AG107" s="670"/>
      <c r="AH107" s="670"/>
      <c r="AI107" s="670"/>
      <c r="AJ107" s="670"/>
      <c r="AK107" s="670"/>
      <c r="AL107" s="670"/>
      <c r="AM107" s="670"/>
      <c r="AN107" s="670"/>
      <c r="AO107" s="670"/>
      <c r="AP107" s="670"/>
      <c r="AQ107" s="670"/>
      <c r="AR107" s="671"/>
      <c r="AS107" s="663" t="s">
        <v>293</v>
      </c>
      <c r="AT107" s="664"/>
      <c r="AU107" s="664"/>
      <c r="AV107" s="664"/>
      <c r="AW107" s="664"/>
      <c r="AX107" s="664"/>
      <c r="AY107" s="664"/>
      <c r="AZ107" s="664"/>
      <c r="BA107" s="664"/>
      <c r="BB107" s="665"/>
      <c r="BC107" s="642"/>
      <c r="BD107" s="643"/>
      <c r="BE107" s="643"/>
      <c r="BF107" s="643"/>
      <c r="BG107" s="643"/>
      <c r="BH107" s="643"/>
      <c r="BI107" s="643"/>
      <c r="BJ107" s="643"/>
      <c r="BK107" s="643"/>
      <c r="BL107" s="643"/>
      <c r="BM107" s="644"/>
      <c r="BN107" s="634">
        <v>996.6</v>
      </c>
      <c r="BO107" s="635"/>
      <c r="BP107" s="635"/>
      <c r="BQ107" s="635"/>
      <c r="BR107" s="635"/>
      <c r="BS107" s="635"/>
      <c r="BT107" s="635"/>
      <c r="BU107" s="635"/>
      <c r="BV107" s="635"/>
      <c r="BW107" s="635"/>
      <c r="BX107" s="635"/>
      <c r="BY107" s="635"/>
      <c r="BZ107" s="635"/>
      <c r="CA107" s="635"/>
      <c r="CB107" s="635"/>
      <c r="CC107" s="196"/>
      <c r="CD107" s="195"/>
      <c r="CE107" s="64">
        <f t="shared" si="2"/>
        <v>996.6</v>
      </c>
      <c r="CF107" s="121"/>
      <c r="CG107" s="41"/>
    </row>
    <row r="108" spans="1:85" x14ac:dyDescent="0.2">
      <c r="A108" s="645"/>
      <c r="B108" s="646"/>
      <c r="C108" s="646"/>
      <c r="D108" s="647"/>
      <c r="E108" s="593" t="s">
        <v>10</v>
      </c>
      <c r="F108" s="594"/>
      <c r="G108" s="594"/>
      <c r="H108" s="594"/>
      <c r="I108" s="594"/>
      <c r="J108" s="594"/>
      <c r="K108" s="594"/>
      <c r="L108" s="594"/>
      <c r="M108" s="594"/>
      <c r="N108" s="594"/>
      <c r="O108" s="594"/>
      <c r="P108" s="594"/>
      <c r="Q108" s="594"/>
      <c r="R108" s="594"/>
      <c r="S108" s="594"/>
      <c r="T108" s="594"/>
      <c r="U108" s="594"/>
      <c r="V108" s="594"/>
      <c r="W108" s="594"/>
      <c r="X108" s="594"/>
      <c r="Y108" s="594"/>
      <c r="Z108" s="594"/>
      <c r="AA108" s="594"/>
      <c r="AB108" s="594"/>
      <c r="AC108" s="594"/>
      <c r="AD108" s="594"/>
      <c r="AE108" s="594"/>
      <c r="AF108" s="594"/>
      <c r="AG108" s="594"/>
      <c r="AH108" s="594"/>
      <c r="AI108" s="594"/>
      <c r="AJ108" s="594"/>
      <c r="AK108" s="594"/>
      <c r="AL108" s="594"/>
      <c r="AM108" s="594"/>
      <c r="AN108" s="594"/>
      <c r="AO108" s="594"/>
      <c r="AP108" s="594"/>
      <c r="AQ108" s="594"/>
      <c r="AR108" s="595"/>
      <c r="AS108" s="528" t="s">
        <v>11</v>
      </c>
      <c r="AT108" s="529"/>
      <c r="AU108" s="529"/>
      <c r="AV108" s="529"/>
      <c r="AW108" s="529"/>
      <c r="AX108" s="529"/>
      <c r="AY108" s="529"/>
      <c r="AZ108" s="529"/>
      <c r="BA108" s="529"/>
      <c r="BB108" s="530"/>
      <c r="BC108" s="590" t="s">
        <v>11</v>
      </c>
      <c r="BD108" s="591"/>
      <c r="BE108" s="591"/>
      <c r="BF108" s="591"/>
      <c r="BG108" s="591"/>
      <c r="BH108" s="591"/>
      <c r="BI108" s="591"/>
      <c r="BJ108" s="591"/>
      <c r="BK108" s="591"/>
      <c r="BL108" s="591"/>
      <c r="BM108" s="592"/>
      <c r="BN108" s="541">
        <f>BN101+BN97+BN102+BN104+BN107+BN105+BN106+BN103</f>
        <v>67896.600000000006</v>
      </c>
      <c r="BO108" s="542"/>
      <c r="BP108" s="542"/>
      <c r="BQ108" s="542"/>
      <c r="BR108" s="542"/>
      <c r="BS108" s="542"/>
      <c r="BT108" s="542"/>
      <c r="BU108" s="542"/>
      <c r="BV108" s="542"/>
      <c r="BW108" s="542"/>
      <c r="BX108" s="542"/>
      <c r="BY108" s="542"/>
      <c r="BZ108" s="542"/>
      <c r="CA108" s="542"/>
      <c r="CB108" s="542"/>
      <c r="CC108" s="41"/>
      <c r="CD108" s="41"/>
      <c r="CE108" s="41"/>
      <c r="CF108" s="121"/>
      <c r="CG108" s="41"/>
    </row>
    <row r="109" spans="1:85" s="14" customFormat="1" x14ac:dyDescent="0.2">
      <c r="A109" s="15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124"/>
      <c r="CD109" s="124"/>
      <c r="CE109" s="41"/>
      <c r="CF109" s="121"/>
      <c r="CG109" s="41"/>
    </row>
    <row r="110" spans="1:85" s="3" customFormat="1" ht="15.75" x14ac:dyDescent="0.25">
      <c r="A110" s="651" t="s">
        <v>314</v>
      </c>
      <c r="B110" s="651"/>
      <c r="C110" s="651"/>
      <c r="D110" s="651"/>
      <c r="E110" s="651"/>
      <c r="F110" s="651"/>
      <c r="G110" s="651"/>
      <c r="H110" s="651"/>
      <c r="I110" s="651"/>
      <c r="J110" s="651"/>
      <c r="K110" s="651"/>
      <c r="L110" s="651"/>
      <c r="M110" s="651"/>
      <c r="N110" s="651"/>
      <c r="O110" s="651"/>
      <c r="P110" s="651"/>
      <c r="Q110" s="651"/>
      <c r="R110" s="651"/>
      <c r="S110" s="651"/>
      <c r="T110" s="651"/>
      <c r="U110" s="651"/>
      <c r="V110" s="651"/>
      <c r="W110" s="651"/>
      <c r="X110" s="651"/>
      <c r="Y110" s="651"/>
      <c r="Z110" s="651"/>
      <c r="AA110" s="651"/>
      <c r="AB110" s="651"/>
      <c r="AC110" s="651"/>
      <c r="AD110" s="651"/>
      <c r="AE110" s="651"/>
      <c r="AF110" s="651"/>
      <c r="AG110" s="651"/>
      <c r="AH110" s="651"/>
      <c r="AI110" s="651"/>
      <c r="AJ110" s="651"/>
      <c r="AK110" s="651"/>
      <c r="AL110" s="651"/>
      <c r="AM110" s="651"/>
      <c r="AN110" s="651"/>
      <c r="AO110" s="651"/>
      <c r="AP110" s="651"/>
      <c r="AQ110" s="651"/>
      <c r="AR110" s="651"/>
      <c r="AS110" s="651"/>
      <c r="AT110" s="651"/>
      <c r="AU110" s="651"/>
      <c r="AV110" s="651"/>
      <c r="AW110" s="651"/>
      <c r="AX110" s="651"/>
      <c r="AY110" s="651"/>
      <c r="AZ110" s="651"/>
      <c r="BA110" s="651"/>
      <c r="BB110" s="651"/>
      <c r="BC110" s="651"/>
      <c r="BD110" s="651"/>
      <c r="BE110" s="651"/>
      <c r="BF110" s="651"/>
      <c r="BG110" s="651"/>
      <c r="BH110" s="651"/>
      <c r="BI110" s="651"/>
      <c r="BJ110" s="651"/>
      <c r="BK110" s="651"/>
      <c r="BL110" s="651"/>
      <c r="BM110" s="651"/>
      <c r="BN110" s="651"/>
      <c r="BO110" s="651"/>
      <c r="BP110" s="651"/>
      <c r="BQ110" s="651"/>
      <c r="BR110" s="651"/>
      <c r="BS110" s="651"/>
      <c r="BT110" s="651"/>
      <c r="BU110" s="651"/>
      <c r="BV110" s="651"/>
      <c r="BW110" s="651"/>
      <c r="BX110" s="651"/>
      <c r="BY110" s="651"/>
      <c r="BZ110" s="651"/>
      <c r="CA110" s="651"/>
      <c r="CB110" s="651"/>
      <c r="CC110" s="115"/>
      <c r="CD110" s="115"/>
      <c r="CE110" s="41"/>
      <c r="CF110" s="121"/>
      <c r="CG110" s="41"/>
    </row>
    <row r="111" spans="1:85" s="6" customFormat="1" ht="15.75" x14ac:dyDescent="0.25">
      <c r="A111" s="3" t="s">
        <v>2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624" t="s">
        <v>131</v>
      </c>
      <c r="T111" s="624"/>
      <c r="U111" s="624"/>
      <c r="V111" s="624"/>
      <c r="W111" s="624"/>
      <c r="X111" s="624"/>
      <c r="Y111" s="624"/>
      <c r="Z111" s="624"/>
      <c r="AA111" s="624"/>
      <c r="AB111" s="624"/>
      <c r="AC111" s="624"/>
      <c r="AD111" s="624"/>
      <c r="AE111" s="624"/>
      <c r="AF111" s="624"/>
      <c r="AG111" s="624"/>
      <c r="AH111" s="624"/>
      <c r="AI111" s="624"/>
      <c r="AJ111" s="624"/>
      <c r="AK111" s="624"/>
      <c r="AL111" s="624"/>
      <c r="AM111" s="624"/>
      <c r="AN111" s="624"/>
      <c r="AO111" s="624"/>
      <c r="AP111" s="624"/>
      <c r="AQ111" s="624"/>
      <c r="AR111" s="624"/>
      <c r="AS111" s="624"/>
      <c r="AT111" s="624"/>
      <c r="AU111" s="624"/>
      <c r="AV111" s="624"/>
      <c r="AW111" s="624"/>
      <c r="AX111" s="624"/>
      <c r="AY111" s="624"/>
      <c r="AZ111" s="624"/>
      <c r="BA111" s="624"/>
      <c r="BB111" s="624"/>
      <c r="BC111" s="624"/>
      <c r="BD111" s="624"/>
      <c r="BE111" s="624"/>
      <c r="BF111" s="624"/>
      <c r="BG111" s="624"/>
      <c r="BH111" s="624"/>
      <c r="BI111" s="624"/>
      <c r="BJ111" s="624"/>
      <c r="BK111" s="624"/>
      <c r="BL111" s="624"/>
      <c r="BM111" s="624"/>
      <c r="BN111" s="624"/>
      <c r="BO111" s="624"/>
      <c r="BP111" s="624"/>
      <c r="BQ111" s="624"/>
      <c r="BR111" s="624"/>
      <c r="BS111" s="624"/>
      <c r="BT111" s="624"/>
      <c r="BU111" s="624"/>
      <c r="BV111" s="624"/>
      <c r="BW111" s="624"/>
      <c r="BX111" s="624"/>
      <c r="BY111" s="624"/>
      <c r="BZ111" s="624"/>
      <c r="CA111" s="624"/>
      <c r="CB111" s="624"/>
      <c r="CC111" s="117"/>
      <c r="CD111" s="117"/>
      <c r="CE111" s="41"/>
      <c r="CF111" s="121"/>
      <c r="CG111" s="41"/>
    </row>
    <row r="112" spans="1:85" s="3" customFormat="1" ht="7.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115"/>
      <c r="CD112" s="115"/>
      <c r="CE112" s="41"/>
      <c r="CF112" s="121"/>
      <c r="CG112" s="41"/>
    </row>
    <row r="113" spans="1:85" s="6" customFormat="1" ht="31.5" customHeight="1" x14ac:dyDescent="0.25">
      <c r="A113" s="3" t="s">
        <v>3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536" t="s">
        <v>338</v>
      </c>
      <c r="AI113" s="536"/>
      <c r="AJ113" s="536"/>
      <c r="AK113" s="536"/>
      <c r="AL113" s="536"/>
      <c r="AM113" s="536"/>
      <c r="AN113" s="536"/>
      <c r="AO113" s="536"/>
      <c r="AP113" s="536"/>
      <c r="AQ113" s="536"/>
      <c r="AR113" s="536"/>
      <c r="AS113" s="536"/>
      <c r="AT113" s="536"/>
      <c r="AU113" s="536"/>
      <c r="AV113" s="536"/>
      <c r="AW113" s="536"/>
      <c r="AX113" s="536"/>
      <c r="AY113" s="536"/>
      <c r="AZ113" s="536"/>
      <c r="BA113" s="536"/>
      <c r="BB113" s="536"/>
      <c r="BC113" s="536"/>
      <c r="BD113" s="536"/>
      <c r="BE113" s="536"/>
      <c r="BF113" s="536"/>
      <c r="BG113" s="536"/>
      <c r="BH113" s="536"/>
      <c r="BI113" s="536"/>
      <c r="BJ113" s="536"/>
      <c r="BK113" s="536"/>
      <c r="BL113" s="536"/>
      <c r="BM113" s="536"/>
      <c r="BN113" s="536"/>
      <c r="BO113" s="536"/>
      <c r="BP113" s="536"/>
      <c r="BQ113" s="536"/>
      <c r="BR113" s="536"/>
      <c r="BS113" s="536"/>
      <c r="BT113" s="536"/>
      <c r="BU113" s="536"/>
      <c r="BV113" s="536"/>
      <c r="BW113" s="536"/>
      <c r="BX113" s="536"/>
      <c r="BY113" s="536"/>
      <c r="BZ113" s="536"/>
      <c r="CA113" s="536"/>
      <c r="CB113" s="536"/>
      <c r="CC113" s="117"/>
      <c r="CD113" s="117"/>
      <c r="CE113" s="41"/>
      <c r="CF113" s="121"/>
      <c r="CG113" s="41"/>
    </row>
    <row r="114" spans="1:85" s="3" customFormat="1" ht="9.75" customHeight="1" x14ac:dyDescent="0.25">
      <c r="A114" s="552"/>
      <c r="B114" s="552"/>
      <c r="C114" s="552"/>
      <c r="D114" s="552"/>
      <c r="E114" s="552"/>
      <c r="F114" s="552"/>
      <c r="G114" s="552"/>
      <c r="H114" s="552"/>
      <c r="I114" s="552"/>
      <c r="J114" s="552"/>
      <c r="K114" s="552"/>
      <c r="L114" s="552"/>
      <c r="M114" s="552"/>
      <c r="N114" s="552"/>
      <c r="O114" s="552"/>
      <c r="P114" s="552"/>
      <c r="Q114" s="552"/>
      <c r="R114" s="552"/>
      <c r="S114" s="552"/>
      <c r="T114" s="552"/>
      <c r="U114" s="552"/>
      <c r="V114" s="552"/>
      <c r="W114" s="552"/>
      <c r="X114" s="552"/>
      <c r="Y114" s="552"/>
      <c r="Z114" s="552"/>
      <c r="AA114" s="552"/>
      <c r="AB114" s="552"/>
      <c r="AC114" s="552"/>
      <c r="AD114" s="552"/>
      <c r="AE114" s="552"/>
      <c r="AF114" s="552"/>
      <c r="AG114" s="552"/>
      <c r="AH114" s="552"/>
      <c r="AI114" s="552"/>
      <c r="AJ114" s="552"/>
      <c r="AK114" s="552"/>
      <c r="AL114" s="552"/>
      <c r="AM114" s="552"/>
      <c r="AN114" s="552"/>
      <c r="AO114" s="552"/>
      <c r="AP114" s="552"/>
      <c r="AQ114" s="552"/>
      <c r="AR114" s="552"/>
      <c r="AS114" s="552"/>
      <c r="AT114" s="552"/>
      <c r="AU114" s="552"/>
      <c r="AV114" s="552"/>
      <c r="AW114" s="552"/>
      <c r="AX114" s="552"/>
      <c r="AY114" s="552"/>
      <c r="AZ114" s="552"/>
      <c r="BA114" s="552"/>
      <c r="BB114" s="552"/>
      <c r="BC114" s="552"/>
      <c r="BD114" s="552"/>
      <c r="BE114" s="552"/>
      <c r="BF114" s="552"/>
      <c r="BG114" s="552"/>
      <c r="BH114" s="552"/>
      <c r="BI114" s="552"/>
      <c r="BJ114" s="552"/>
      <c r="BK114" s="552"/>
      <c r="BL114" s="552"/>
      <c r="BM114" s="552"/>
      <c r="BN114" s="552"/>
      <c r="BO114" s="552"/>
      <c r="BP114" s="552"/>
      <c r="BQ114" s="552"/>
      <c r="BR114" s="552"/>
      <c r="BS114" s="552"/>
      <c r="BT114" s="552"/>
      <c r="BU114" s="552"/>
      <c r="BV114" s="552"/>
      <c r="BW114" s="552"/>
      <c r="BX114" s="552"/>
      <c r="BY114" s="552"/>
      <c r="BZ114" s="552"/>
      <c r="CA114" s="552"/>
      <c r="CB114" s="552"/>
      <c r="CC114" s="115"/>
      <c r="CD114" s="115"/>
      <c r="CE114" s="41"/>
      <c r="CF114" s="121"/>
      <c r="CG114" s="41"/>
    </row>
    <row r="115" spans="1:85" x14ac:dyDescent="0.2">
      <c r="A115" s="519" t="s">
        <v>5</v>
      </c>
      <c r="B115" s="520"/>
      <c r="C115" s="520"/>
      <c r="D115" s="523"/>
      <c r="E115" s="519" t="s">
        <v>13</v>
      </c>
      <c r="F115" s="520"/>
      <c r="G115" s="520"/>
      <c r="H115" s="520"/>
      <c r="I115" s="520"/>
      <c r="J115" s="520"/>
      <c r="K115" s="520"/>
      <c r="L115" s="520"/>
      <c r="M115" s="520"/>
      <c r="N115" s="520"/>
      <c r="O115" s="520"/>
      <c r="P115" s="520"/>
      <c r="Q115" s="520"/>
      <c r="R115" s="520"/>
      <c r="S115" s="520"/>
      <c r="T115" s="520"/>
      <c r="U115" s="520"/>
      <c r="V115" s="520"/>
      <c r="W115" s="520"/>
      <c r="X115" s="520"/>
      <c r="Y115" s="520"/>
      <c r="Z115" s="520"/>
      <c r="AA115" s="520"/>
      <c r="AB115" s="520"/>
      <c r="AC115" s="520"/>
      <c r="AD115" s="520"/>
      <c r="AE115" s="520"/>
      <c r="AF115" s="520"/>
      <c r="AG115" s="520"/>
      <c r="AH115" s="520"/>
      <c r="AI115" s="520"/>
      <c r="AJ115" s="520"/>
      <c r="AK115" s="520"/>
      <c r="AL115" s="520"/>
      <c r="AM115" s="523"/>
      <c r="AN115" s="519" t="s">
        <v>69</v>
      </c>
      <c r="AO115" s="520"/>
      <c r="AP115" s="520"/>
      <c r="AQ115" s="520"/>
      <c r="AR115" s="520"/>
      <c r="AS115" s="520"/>
      <c r="AT115" s="520"/>
      <c r="AU115" s="520"/>
      <c r="AV115" s="520"/>
      <c r="AW115" s="520"/>
      <c r="AX115" s="520"/>
      <c r="AY115" s="520"/>
      <c r="AZ115" s="520"/>
      <c r="BA115" s="523"/>
      <c r="BB115" s="519" t="s">
        <v>72</v>
      </c>
      <c r="BC115" s="520"/>
      <c r="BD115" s="520"/>
      <c r="BE115" s="520"/>
      <c r="BF115" s="520"/>
      <c r="BG115" s="520"/>
      <c r="BH115" s="520"/>
      <c r="BI115" s="523"/>
      <c r="BJ115" s="519" t="s">
        <v>74</v>
      </c>
      <c r="BK115" s="520"/>
      <c r="BL115" s="520"/>
      <c r="BM115" s="520"/>
      <c r="BN115" s="520"/>
      <c r="BO115" s="520"/>
      <c r="BP115" s="520"/>
      <c r="BQ115" s="520"/>
      <c r="BR115" s="520"/>
      <c r="BS115" s="520"/>
      <c r="BT115" s="520"/>
      <c r="BU115" s="520"/>
      <c r="BV115" s="520"/>
      <c r="BW115" s="520"/>
      <c r="BX115" s="520"/>
      <c r="BY115" s="520"/>
      <c r="BZ115" s="520"/>
      <c r="CA115" s="520"/>
      <c r="CB115" s="520"/>
      <c r="CC115" s="41"/>
      <c r="CD115" s="41"/>
      <c r="CE115" s="41"/>
      <c r="CF115" s="121"/>
      <c r="CG115" s="41"/>
    </row>
    <row r="116" spans="1:85" x14ac:dyDescent="0.2">
      <c r="A116" s="521" t="s">
        <v>6</v>
      </c>
      <c r="B116" s="522"/>
      <c r="C116" s="522"/>
      <c r="D116" s="537"/>
      <c r="E116" s="521"/>
      <c r="F116" s="522"/>
      <c r="G116" s="522"/>
      <c r="H116" s="522"/>
      <c r="I116" s="522"/>
      <c r="J116" s="522"/>
      <c r="K116" s="522"/>
      <c r="L116" s="522"/>
      <c r="M116" s="522"/>
      <c r="N116" s="522"/>
      <c r="O116" s="522"/>
      <c r="P116" s="522"/>
      <c r="Q116" s="522"/>
      <c r="R116" s="522"/>
      <c r="S116" s="522"/>
      <c r="T116" s="522"/>
      <c r="U116" s="522"/>
      <c r="V116" s="522"/>
      <c r="W116" s="522"/>
      <c r="X116" s="522"/>
      <c r="Y116" s="522"/>
      <c r="Z116" s="522"/>
      <c r="AA116" s="522"/>
      <c r="AB116" s="522"/>
      <c r="AC116" s="522"/>
      <c r="AD116" s="522"/>
      <c r="AE116" s="522"/>
      <c r="AF116" s="522"/>
      <c r="AG116" s="522"/>
      <c r="AH116" s="522"/>
      <c r="AI116" s="522"/>
      <c r="AJ116" s="522"/>
      <c r="AK116" s="522"/>
      <c r="AL116" s="522"/>
      <c r="AM116" s="537"/>
      <c r="AN116" s="521" t="s">
        <v>70</v>
      </c>
      <c r="AO116" s="522"/>
      <c r="AP116" s="522"/>
      <c r="AQ116" s="522"/>
      <c r="AR116" s="522"/>
      <c r="AS116" s="522"/>
      <c r="AT116" s="522"/>
      <c r="AU116" s="522"/>
      <c r="AV116" s="522"/>
      <c r="AW116" s="522"/>
      <c r="AX116" s="522"/>
      <c r="AY116" s="522"/>
      <c r="AZ116" s="522"/>
      <c r="BA116" s="537"/>
      <c r="BB116" s="521" t="s">
        <v>73</v>
      </c>
      <c r="BC116" s="522"/>
      <c r="BD116" s="522"/>
      <c r="BE116" s="522"/>
      <c r="BF116" s="522"/>
      <c r="BG116" s="522"/>
      <c r="BH116" s="522"/>
      <c r="BI116" s="537"/>
      <c r="BJ116" s="521" t="s">
        <v>75</v>
      </c>
      <c r="BK116" s="522"/>
      <c r="BL116" s="522"/>
      <c r="BM116" s="522"/>
      <c r="BN116" s="522"/>
      <c r="BO116" s="522"/>
      <c r="BP116" s="522"/>
      <c r="BQ116" s="522"/>
      <c r="BR116" s="522"/>
      <c r="BS116" s="522"/>
      <c r="BT116" s="522"/>
      <c r="BU116" s="522"/>
      <c r="BV116" s="522"/>
      <c r="BW116" s="522"/>
      <c r="BX116" s="522"/>
      <c r="BY116" s="522"/>
      <c r="BZ116" s="522"/>
      <c r="CA116" s="522"/>
      <c r="CB116" s="522"/>
      <c r="CC116" s="41"/>
      <c r="CD116" s="41"/>
      <c r="CE116" s="41"/>
      <c r="CF116" s="121"/>
      <c r="CG116" s="41"/>
    </row>
    <row r="117" spans="1:85" x14ac:dyDescent="0.2">
      <c r="A117" s="521"/>
      <c r="B117" s="522"/>
      <c r="C117" s="522"/>
      <c r="D117" s="537"/>
      <c r="E117" s="521"/>
      <c r="F117" s="522"/>
      <c r="G117" s="522"/>
      <c r="H117" s="522"/>
      <c r="I117" s="522"/>
      <c r="J117" s="522"/>
      <c r="K117" s="522"/>
      <c r="L117" s="522"/>
      <c r="M117" s="522"/>
      <c r="N117" s="522"/>
      <c r="O117" s="522"/>
      <c r="P117" s="522"/>
      <c r="Q117" s="522"/>
      <c r="R117" s="522"/>
      <c r="S117" s="522"/>
      <c r="T117" s="522"/>
      <c r="U117" s="522"/>
      <c r="V117" s="522"/>
      <c r="W117" s="522"/>
      <c r="X117" s="522"/>
      <c r="Y117" s="522"/>
      <c r="Z117" s="522"/>
      <c r="AA117" s="522"/>
      <c r="AB117" s="522"/>
      <c r="AC117" s="522"/>
      <c r="AD117" s="522"/>
      <c r="AE117" s="522"/>
      <c r="AF117" s="522"/>
      <c r="AG117" s="522"/>
      <c r="AH117" s="522"/>
      <c r="AI117" s="522"/>
      <c r="AJ117" s="522"/>
      <c r="AK117" s="522"/>
      <c r="AL117" s="522"/>
      <c r="AM117" s="537"/>
      <c r="AN117" s="521"/>
      <c r="AO117" s="522"/>
      <c r="AP117" s="522"/>
      <c r="AQ117" s="522"/>
      <c r="AR117" s="522"/>
      <c r="AS117" s="522"/>
      <c r="AT117" s="522"/>
      <c r="AU117" s="522"/>
      <c r="AV117" s="522"/>
      <c r="AW117" s="522"/>
      <c r="AX117" s="522"/>
      <c r="AY117" s="522"/>
      <c r="AZ117" s="522"/>
      <c r="BA117" s="537"/>
      <c r="BB117" s="521"/>
      <c r="BC117" s="522"/>
      <c r="BD117" s="522"/>
      <c r="BE117" s="522"/>
      <c r="BF117" s="522"/>
      <c r="BG117" s="522"/>
      <c r="BH117" s="522"/>
      <c r="BI117" s="537"/>
      <c r="BJ117" s="521" t="s">
        <v>76</v>
      </c>
      <c r="BK117" s="522"/>
      <c r="BL117" s="522"/>
      <c r="BM117" s="522"/>
      <c r="BN117" s="522"/>
      <c r="BO117" s="522"/>
      <c r="BP117" s="522"/>
      <c r="BQ117" s="522"/>
      <c r="BR117" s="522"/>
      <c r="BS117" s="522"/>
      <c r="BT117" s="522"/>
      <c r="BU117" s="522"/>
      <c r="BV117" s="522"/>
      <c r="BW117" s="522"/>
      <c r="BX117" s="522"/>
      <c r="BY117" s="522"/>
      <c r="BZ117" s="522"/>
      <c r="CA117" s="522"/>
      <c r="CB117" s="522"/>
      <c r="CC117" s="41"/>
      <c r="CD117" s="41"/>
      <c r="CE117" s="41"/>
      <c r="CF117" s="121"/>
      <c r="CG117" s="41"/>
    </row>
    <row r="118" spans="1:85" x14ac:dyDescent="0.2">
      <c r="A118" s="521"/>
      <c r="B118" s="522"/>
      <c r="C118" s="522"/>
      <c r="D118" s="537"/>
      <c r="E118" s="521"/>
      <c r="F118" s="522"/>
      <c r="G118" s="522"/>
      <c r="H118" s="522"/>
      <c r="I118" s="522"/>
      <c r="J118" s="522"/>
      <c r="K118" s="522"/>
      <c r="L118" s="522"/>
      <c r="M118" s="522"/>
      <c r="N118" s="522"/>
      <c r="O118" s="522"/>
      <c r="P118" s="522"/>
      <c r="Q118" s="522"/>
      <c r="R118" s="522"/>
      <c r="S118" s="522"/>
      <c r="T118" s="522"/>
      <c r="U118" s="522"/>
      <c r="V118" s="522"/>
      <c r="W118" s="522"/>
      <c r="X118" s="522"/>
      <c r="Y118" s="522"/>
      <c r="Z118" s="522"/>
      <c r="AA118" s="522"/>
      <c r="AB118" s="522"/>
      <c r="AC118" s="522"/>
      <c r="AD118" s="522"/>
      <c r="AE118" s="522"/>
      <c r="AF118" s="522"/>
      <c r="AG118" s="522"/>
      <c r="AH118" s="522"/>
      <c r="AI118" s="522"/>
      <c r="AJ118" s="522"/>
      <c r="AK118" s="522"/>
      <c r="AL118" s="522"/>
      <c r="AM118" s="537"/>
      <c r="AN118" s="521"/>
      <c r="AO118" s="522"/>
      <c r="AP118" s="522"/>
      <c r="AQ118" s="522"/>
      <c r="AR118" s="522"/>
      <c r="AS118" s="522"/>
      <c r="AT118" s="522"/>
      <c r="AU118" s="522"/>
      <c r="AV118" s="522"/>
      <c r="AW118" s="522"/>
      <c r="AX118" s="522"/>
      <c r="AY118" s="522"/>
      <c r="AZ118" s="522"/>
      <c r="BA118" s="537"/>
      <c r="BB118" s="521"/>
      <c r="BC118" s="522"/>
      <c r="BD118" s="522"/>
      <c r="BE118" s="522"/>
      <c r="BF118" s="522"/>
      <c r="BG118" s="522"/>
      <c r="BH118" s="522"/>
      <c r="BI118" s="537"/>
      <c r="BJ118" s="521" t="s">
        <v>78</v>
      </c>
      <c r="BK118" s="522"/>
      <c r="BL118" s="522"/>
      <c r="BM118" s="522"/>
      <c r="BN118" s="522"/>
      <c r="BO118" s="522"/>
      <c r="BP118" s="522"/>
      <c r="BQ118" s="522"/>
      <c r="BR118" s="522"/>
      <c r="BS118" s="522"/>
      <c r="BT118" s="522"/>
      <c r="BU118" s="522"/>
      <c r="BV118" s="522"/>
      <c r="BW118" s="522"/>
      <c r="BX118" s="522"/>
      <c r="BY118" s="522"/>
      <c r="BZ118" s="522"/>
      <c r="CA118" s="522"/>
      <c r="CB118" s="522"/>
      <c r="CC118" s="41"/>
      <c r="CD118" s="41"/>
      <c r="CE118" s="41"/>
      <c r="CF118" s="121"/>
      <c r="CG118" s="41"/>
    </row>
    <row r="119" spans="1:85" x14ac:dyDescent="0.2">
      <c r="A119" s="554">
        <v>1</v>
      </c>
      <c r="B119" s="555"/>
      <c r="C119" s="555"/>
      <c r="D119" s="556"/>
      <c r="E119" s="554">
        <v>2</v>
      </c>
      <c r="F119" s="555"/>
      <c r="G119" s="555"/>
      <c r="H119" s="555"/>
      <c r="I119" s="555"/>
      <c r="J119" s="555"/>
      <c r="K119" s="555"/>
      <c r="L119" s="555"/>
      <c r="M119" s="555"/>
      <c r="N119" s="555"/>
      <c r="O119" s="555"/>
      <c r="P119" s="555"/>
      <c r="Q119" s="555"/>
      <c r="R119" s="555"/>
      <c r="S119" s="555"/>
      <c r="T119" s="555"/>
      <c r="U119" s="555"/>
      <c r="V119" s="555"/>
      <c r="W119" s="555"/>
      <c r="X119" s="555"/>
      <c r="Y119" s="555"/>
      <c r="Z119" s="555"/>
      <c r="AA119" s="555"/>
      <c r="AB119" s="555"/>
      <c r="AC119" s="555"/>
      <c r="AD119" s="555"/>
      <c r="AE119" s="555"/>
      <c r="AF119" s="555"/>
      <c r="AG119" s="555"/>
      <c r="AH119" s="555"/>
      <c r="AI119" s="555"/>
      <c r="AJ119" s="555"/>
      <c r="AK119" s="555"/>
      <c r="AL119" s="555"/>
      <c r="AM119" s="556"/>
      <c r="AN119" s="554">
        <v>3</v>
      </c>
      <c r="AO119" s="555"/>
      <c r="AP119" s="555"/>
      <c r="AQ119" s="555"/>
      <c r="AR119" s="555"/>
      <c r="AS119" s="555"/>
      <c r="AT119" s="555"/>
      <c r="AU119" s="555"/>
      <c r="AV119" s="555"/>
      <c r="AW119" s="555"/>
      <c r="AX119" s="555"/>
      <c r="AY119" s="555"/>
      <c r="AZ119" s="555"/>
      <c r="BA119" s="556"/>
      <c r="BB119" s="554">
        <v>4</v>
      </c>
      <c r="BC119" s="555"/>
      <c r="BD119" s="555"/>
      <c r="BE119" s="555"/>
      <c r="BF119" s="555"/>
      <c r="BG119" s="555"/>
      <c r="BH119" s="555"/>
      <c r="BI119" s="556"/>
      <c r="BJ119" s="554">
        <v>5</v>
      </c>
      <c r="BK119" s="555"/>
      <c r="BL119" s="555"/>
      <c r="BM119" s="555"/>
      <c r="BN119" s="555"/>
      <c r="BO119" s="555"/>
      <c r="BP119" s="555"/>
      <c r="BQ119" s="555"/>
      <c r="BR119" s="555"/>
      <c r="BS119" s="555"/>
      <c r="BT119" s="555"/>
      <c r="BU119" s="555"/>
      <c r="BV119" s="555"/>
      <c r="BW119" s="555"/>
      <c r="BX119" s="555"/>
      <c r="BY119" s="555"/>
      <c r="BZ119" s="555"/>
      <c r="CA119" s="555"/>
      <c r="CB119" s="555"/>
      <c r="CC119" s="64" t="s">
        <v>193</v>
      </c>
      <c r="CD119" s="64" t="s">
        <v>194</v>
      </c>
      <c r="CE119" s="64" t="s">
        <v>298</v>
      </c>
      <c r="CF119" s="191" t="s">
        <v>296</v>
      </c>
      <c r="CG119" s="41"/>
    </row>
    <row r="120" spans="1:85" ht="65.25" customHeight="1" x14ac:dyDescent="0.25">
      <c r="A120" s="557">
        <v>1</v>
      </c>
      <c r="B120" s="558"/>
      <c r="C120" s="558"/>
      <c r="D120" s="559"/>
      <c r="E120" s="679" t="s">
        <v>339</v>
      </c>
      <c r="F120" s="680"/>
      <c r="G120" s="680"/>
      <c r="H120" s="680"/>
      <c r="I120" s="680"/>
      <c r="J120" s="680"/>
      <c r="K120" s="680"/>
      <c r="L120" s="680"/>
      <c r="M120" s="680"/>
      <c r="N120" s="680"/>
      <c r="O120" s="680"/>
      <c r="P120" s="680"/>
      <c r="Q120" s="680"/>
      <c r="R120" s="680"/>
      <c r="S120" s="680"/>
      <c r="T120" s="680"/>
      <c r="U120" s="680"/>
      <c r="V120" s="680"/>
      <c r="W120" s="680"/>
      <c r="X120" s="680"/>
      <c r="Y120" s="680"/>
      <c r="Z120" s="680"/>
      <c r="AA120" s="680"/>
      <c r="AB120" s="680"/>
      <c r="AC120" s="680"/>
      <c r="AD120" s="680"/>
      <c r="AE120" s="680"/>
      <c r="AF120" s="680"/>
      <c r="AG120" s="680"/>
      <c r="AH120" s="680"/>
      <c r="AI120" s="680"/>
      <c r="AJ120" s="680"/>
      <c r="AK120" s="680"/>
      <c r="AL120" s="680"/>
      <c r="AM120" s="681"/>
      <c r="AN120" s="538"/>
      <c r="AO120" s="539"/>
      <c r="AP120" s="539"/>
      <c r="AQ120" s="539"/>
      <c r="AR120" s="539"/>
      <c r="AS120" s="539"/>
      <c r="AT120" s="539"/>
      <c r="AU120" s="539"/>
      <c r="AV120" s="539"/>
      <c r="AW120" s="539"/>
      <c r="AX120" s="539"/>
      <c r="AY120" s="539"/>
      <c r="AZ120" s="539"/>
      <c r="BA120" s="607"/>
      <c r="BB120" s="608"/>
      <c r="BC120" s="609"/>
      <c r="BD120" s="609"/>
      <c r="BE120" s="609"/>
      <c r="BF120" s="609"/>
      <c r="BG120" s="609"/>
      <c r="BH120" s="609"/>
      <c r="BI120" s="610"/>
      <c r="BJ120" s="538"/>
      <c r="BK120" s="539"/>
      <c r="BL120" s="539"/>
      <c r="BM120" s="539"/>
      <c r="BN120" s="539"/>
      <c r="BO120" s="539"/>
      <c r="BP120" s="539"/>
      <c r="BQ120" s="539"/>
      <c r="BR120" s="539"/>
      <c r="BS120" s="539"/>
      <c r="BT120" s="539"/>
      <c r="BU120" s="539"/>
      <c r="BV120" s="539"/>
      <c r="BW120" s="539"/>
      <c r="BX120" s="539"/>
      <c r="BY120" s="539"/>
      <c r="BZ120" s="539"/>
      <c r="CA120" s="539"/>
      <c r="CB120" s="539"/>
      <c r="CC120" s="192"/>
      <c r="CD120" s="192"/>
      <c r="CE120" s="192">
        <f>CC120-CD120</f>
        <v>0</v>
      </c>
      <c r="CF120" s="193">
        <f>BJ120-CC120</f>
        <v>0</v>
      </c>
      <c r="CG120" s="41" t="s">
        <v>397</v>
      </c>
    </row>
    <row r="121" spans="1:85" s="155" customFormat="1" x14ac:dyDescent="0.2">
      <c r="A121" s="645"/>
      <c r="B121" s="646"/>
      <c r="C121" s="646"/>
      <c r="D121" s="647"/>
      <c r="E121" s="621" t="s">
        <v>10</v>
      </c>
      <c r="F121" s="622"/>
      <c r="G121" s="622"/>
      <c r="H121" s="622"/>
      <c r="I121" s="622"/>
      <c r="J121" s="622"/>
      <c r="K121" s="622"/>
      <c r="L121" s="622"/>
      <c r="M121" s="622"/>
      <c r="N121" s="622"/>
      <c r="O121" s="622"/>
      <c r="P121" s="622"/>
      <c r="Q121" s="622"/>
      <c r="R121" s="622"/>
      <c r="S121" s="622"/>
      <c r="T121" s="622"/>
      <c r="U121" s="622"/>
      <c r="V121" s="622"/>
      <c r="W121" s="622"/>
      <c r="X121" s="622"/>
      <c r="Y121" s="622"/>
      <c r="Z121" s="622"/>
      <c r="AA121" s="622"/>
      <c r="AB121" s="622"/>
      <c r="AC121" s="622"/>
      <c r="AD121" s="622"/>
      <c r="AE121" s="622"/>
      <c r="AF121" s="622"/>
      <c r="AG121" s="622"/>
      <c r="AH121" s="622"/>
      <c r="AI121" s="622"/>
      <c r="AJ121" s="622"/>
      <c r="AK121" s="622"/>
      <c r="AL121" s="622"/>
      <c r="AM121" s="623"/>
      <c r="AN121" s="621"/>
      <c r="AO121" s="622"/>
      <c r="AP121" s="622"/>
      <c r="AQ121" s="622"/>
      <c r="AR121" s="622"/>
      <c r="AS121" s="622"/>
      <c r="AT121" s="622"/>
      <c r="AU121" s="622"/>
      <c r="AV121" s="622"/>
      <c r="AW121" s="622"/>
      <c r="AX121" s="622"/>
      <c r="AY121" s="622"/>
      <c r="AZ121" s="622"/>
      <c r="BA121" s="623"/>
      <c r="BB121" s="613" t="s">
        <v>11</v>
      </c>
      <c r="BC121" s="614"/>
      <c r="BD121" s="614"/>
      <c r="BE121" s="614"/>
      <c r="BF121" s="614"/>
      <c r="BG121" s="614"/>
      <c r="BH121" s="614"/>
      <c r="BI121" s="615"/>
      <c r="BJ121" s="677">
        <f>SUM(BJ120:CB120)</f>
        <v>0</v>
      </c>
      <c r="BK121" s="678"/>
      <c r="BL121" s="678"/>
      <c r="BM121" s="678"/>
      <c r="BN121" s="678"/>
      <c r="BO121" s="678"/>
      <c r="BP121" s="678"/>
      <c r="BQ121" s="678"/>
      <c r="BR121" s="678"/>
      <c r="BS121" s="678"/>
      <c r="BT121" s="678"/>
      <c r="BU121" s="678"/>
      <c r="BV121" s="678"/>
      <c r="BW121" s="678"/>
      <c r="BX121" s="678"/>
      <c r="BY121" s="678"/>
      <c r="BZ121" s="678"/>
      <c r="CA121" s="678"/>
      <c r="CB121" s="678"/>
      <c r="CC121" s="158"/>
      <c r="CD121" s="158"/>
      <c r="CE121" s="154"/>
      <c r="CF121" s="156"/>
      <c r="CG121" s="154"/>
    </row>
    <row r="122" spans="1:85" s="157" customFormat="1" x14ac:dyDescent="0.2">
      <c r="A122" s="15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154"/>
      <c r="CD122" s="154"/>
      <c r="CE122" s="154"/>
      <c r="CF122" s="156"/>
      <c r="CG122" s="154"/>
    </row>
    <row r="123" spans="1:85" s="3" customFormat="1" ht="15.75" x14ac:dyDescent="0.25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115"/>
      <c r="CD123" s="115"/>
      <c r="CE123" s="41"/>
      <c r="CF123" s="121"/>
      <c r="CG123" s="41"/>
    </row>
    <row r="124" spans="1:85" s="6" customFormat="1" x14ac:dyDescent="0.2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117"/>
      <c r="CD124" s="117"/>
      <c r="CE124" s="41"/>
      <c r="CF124" s="121"/>
      <c r="CG124" s="41"/>
    </row>
    <row r="125" spans="1:85" s="3" customFormat="1" ht="15.75" x14ac:dyDescent="0.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115"/>
      <c r="CD125" s="115"/>
      <c r="CE125" s="41"/>
      <c r="CF125" s="121"/>
      <c r="CG125" s="41"/>
    </row>
    <row r="126" spans="1:85" s="6" customFormat="1" x14ac:dyDescent="0.2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117"/>
      <c r="CD126" s="117"/>
      <c r="CE126" s="41"/>
      <c r="CF126" s="121"/>
      <c r="CG126" s="41"/>
    </row>
    <row r="127" spans="1:85" s="3" customFormat="1" ht="18" customHeight="1" x14ac:dyDescent="0.25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115"/>
      <c r="CD127" s="115"/>
      <c r="CE127" s="41"/>
      <c r="CF127" s="121"/>
      <c r="CG127" s="41"/>
    </row>
    <row r="128" spans="1:85" x14ac:dyDescent="0.2">
      <c r="CC128" s="41"/>
      <c r="CD128" s="41"/>
      <c r="CE128" s="41"/>
      <c r="CF128" s="121"/>
      <c r="CG128" s="41"/>
    </row>
    <row r="129" spans="1:90" x14ac:dyDescent="0.2">
      <c r="CC129" s="41"/>
      <c r="CD129" s="41"/>
      <c r="CE129" s="41"/>
      <c r="CF129" s="121"/>
      <c r="CG129" s="41"/>
    </row>
    <row r="130" spans="1:90" x14ac:dyDescent="0.2">
      <c r="CC130" s="41"/>
      <c r="CD130" s="41"/>
      <c r="CE130" s="41"/>
      <c r="CF130" s="121"/>
      <c r="CG130" s="41"/>
    </row>
    <row r="131" spans="1:90" x14ac:dyDescent="0.2">
      <c r="CC131" s="41"/>
      <c r="CD131" s="41"/>
      <c r="CE131" s="41"/>
      <c r="CF131" s="121"/>
      <c r="CG131" s="41"/>
    </row>
    <row r="132" spans="1:90" x14ac:dyDescent="0.2">
      <c r="CC132" s="41"/>
      <c r="CD132" s="41"/>
      <c r="CE132" s="41"/>
      <c r="CF132" s="121"/>
      <c r="CG132" s="41"/>
    </row>
    <row r="133" spans="1:90" ht="15.75" x14ac:dyDescent="0.25">
      <c r="CC133" s="62"/>
      <c r="CD133" s="62"/>
      <c r="CE133" s="62"/>
      <c r="CF133" s="112"/>
      <c r="CG133" s="41"/>
    </row>
    <row r="134" spans="1:90" ht="15.75" x14ac:dyDescent="0.25">
      <c r="CC134" s="115"/>
      <c r="CD134" s="115"/>
      <c r="CE134" s="115"/>
      <c r="CF134" s="116"/>
      <c r="CG134" s="41"/>
    </row>
    <row r="135" spans="1:90" s="155" customFormat="1" x14ac:dyDescent="0.2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158"/>
      <c r="CD135" s="158"/>
      <c r="CE135" s="154"/>
      <c r="CF135" s="159"/>
      <c r="CG135" s="160"/>
      <c r="CH135" s="159"/>
      <c r="CI135" s="159"/>
      <c r="CJ135" s="159"/>
      <c r="CK135" s="159"/>
      <c r="CL135" s="159"/>
    </row>
    <row r="136" spans="1:90" s="14" customFormat="1" x14ac:dyDescent="0.2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41"/>
      <c r="CD136" s="124"/>
      <c r="CE136" s="124"/>
      <c r="CF136" s="16"/>
      <c r="CG136" s="125"/>
      <c r="CH136" s="16"/>
      <c r="CI136" s="16"/>
      <c r="CJ136" s="16"/>
      <c r="CK136" s="16"/>
      <c r="CL136" s="16"/>
    </row>
    <row r="137" spans="1:90" s="14" customFormat="1" x14ac:dyDescent="0.2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41"/>
      <c r="CD137" s="124"/>
      <c r="CE137" s="124"/>
      <c r="CF137" s="16"/>
      <c r="CG137" s="125"/>
      <c r="CH137" s="16"/>
      <c r="CI137" s="16"/>
      <c r="CJ137" s="16"/>
      <c r="CK137" s="16"/>
      <c r="CL137" s="16"/>
    </row>
    <row r="138" spans="1:90" s="14" customFormat="1" x14ac:dyDescent="0.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41"/>
      <c r="CD138" s="124"/>
      <c r="CE138" s="124"/>
      <c r="CF138" s="16"/>
      <c r="CG138" s="125"/>
      <c r="CH138" s="16"/>
      <c r="CI138" s="16"/>
      <c r="CJ138" s="16"/>
      <c r="CK138" s="16"/>
      <c r="CL138" s="16"/>
    </row>
    <row r="139" spans="1:90" s="14" customFormat="1" x14ac:dyDescent="0.2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41"/>
      <c r="CD139" s="124"/>
      <c r="CE139" s="124"/>
      <c r="CF139" s="16"/>
      <c r="CG139" s="125"/>
      <c r="CH139" s="16"/>
      <c r="CI139" s="16"/>
      <c r="CJ139" s="16"/>
      <c r="CK139" s="16"/>
      <c r="CL139" s="16"/>
    </row>
    <row r="140" spans="1:90" s="14" customFormat="1" x14ac:dyDescent="0.2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41"/>
      <c r="CD140" s="124"/>
      <c r="CE140" s="124"/>
      <c r="CF140" s="16"/>
      <c r="CG140" s="125"/>
      <c r="CH140" s="16"/>
      <c r="CI140" s="16"/>
      <c r="CJ140" s="16"/>
      <c r="CK140" s="16"/>
      <c r="CL140" s="16"/>
    </row>
    <row r="141" spans="1:90" s="14" customFormat="1" x14ac:dyDescent="0.2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41"/>
      <c r="CD141" s="124"/>
      <c r="CE141" s="124"/>
      <c r="CF141" s="16"/>
      <c r="CG141" s="125"/>
      <c r="CH141" s="16"/>
      <c r="CI141" s="16"/>
      <c r="CJ141" s="16"/>
      <c r="CK141" s="16"/>
      <c r="CL141" s="16"/>
    </row>
    <row r="142" spans="1:90" s="17" customFormat="1" x14ac:dyDescent="0.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41"/>
      <c r="CD142" s="126"/>
      <c r="CE142" s="633"/>
      <c r="CF142" s="633"/>
      <c r="CG142" s="633"/>
      <c r="CH142" s="633"/>
      <c r="CI142" s="633"/>
      <c r="CJ142" s="633"/>
      <c r="CK142" s="633"/>
      <c r="CL142" s="633"/>
    </row>
    <row r="143" spans="1:90" s="14" customFormat="1" x14ac:dyDescent="0.2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41"/>
      <c r="CD143" s="124"/>
      <c r="CE143" s="124"/>
      <c r="CF143" s="16"/>
      <c r="CG143" s="125"/>
      <c r="CH143" s="16"/>
      <c r="CI143" s="16"/>
      <c r="CJ143" s="16"/>
      <c r="CK143" s="16"/>
      <c r="CL143" s="16"/>
    </row>
    <row r="144" spans="1:90" s="14" customFormat="1" x14ac:dyDescent="0.2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41"/>
      <c r="CD144" s="124"/>
      <c r="CE144" s="124"/>
      <c r="CF144" s="16"/>
      <c r="CG144" s="125"/>
      <c r="CH144" s="16"/>
      <c r="CI144" s="16"/>
      <c r="CJ144" s="16"/>
      <c r="CK144" s="16"/>
      <c r="CL144" s="16"/>
    </row>
    <row r="145" spans="1:90" s="14" customFormat="1" x14ac:dyDescent="0.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41"/>
      <c r="CD145" s="124"/>
      <c r="CE145" s="124"/>
      <c r="CF145" s="16"/>
      <c r="CG145" s="125"/>
      <c r="CH145" s="16"/>
      <c r="CI145" s="16"/>
      <c r="CJ145" s="16"/>
      <c r="CK145" s="16"/>
      <c r="CL145" s="16"/>
    </row>
    <row r="146" spans="1:90" s="14" customFormat="1" x14ac:dyDescent="0.2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41"/>
      <c r="CD146" s="124"/>
      <c r="CE146" s="124"/>
      <c r="CF146" s="16"/>
      <c r="CG146" s="125"/>
      <c r="CH146" s="16"/>
      <c r="CI146" s="16"/>
      <c r="CJ146" s="16"/>
      <c r="CK146" s="16"/>
      <c r="CL146" s="16"/>
    </row>
    <row r="147" spans="1:90" x14ac:dyDescent="0.2">
      <c r="CC147" s="41"/>
      <c r="CD147" s="41"/>
      <c r="CE147" s="41"/>
      <c r="CF147" s="27"/>
      <c r="CH147" s="27"/>
      <c r="CI147" s="27"/>
      <c r="CJ147" s="27"/>
      <c r="CK147" s="27"/>
      <c r="CL147" s="27"/>
    </row>
    <row r="148" spans="1:90" x14ac:dyDescent="0.2">
      <c r="CC148" s="41"/>
      <c r="CD148" s="41"/>
      <c r="CE148" s="41"/>
      <c r="CF148" s="27"/>
      <c r="CH148" s="27"/>
      <c r="CI148" s="27"/>
      <c r="CJ148" s="27"/>
      <c r="CK148" s="27"/>
      <c r="CL148" s="27"/>
    </row>
    <row r="149" spans="1:90" x14ac:dyDescent="0.2">
      <c r="CC149" s="41"/>
      <c r="CD149" s="41"/>
      <c r="CE149" s="41"/>
      <c r="CF149" s="27"/>
      <c r="CH149" s="27"/>
      <c r="CI149" s="27"/>
      <c r="CJ149" s="27"/>
      <c r="CK149" s="27"/>
      <c r="CL149" s="27"/>
    </row>
    <row r="150" spans="1:90" x14ac:dyDescent="0.2">
      <c r="CC150" s="41"/>
      <c r="CD150" s="41"/>
      <c r="CE150" s="41"/>
      <c r="CF150" s="27"/>
      <c r="CH150" s="27"/>
      <c r="CI150" s="27"/>
      <c r="CJ150" s="27"/>
      <c r="CK150" s="27"/>
      <c r="CL150" s="27"/>
    </row>
    <row r="151" spans="1:90" x14ac:dyDescent="0.2">
      <c r="CC151" s="41"/>
      <c r="CD151" s="41"/>
      <c r="CE151" s="41"/>
      <c r="CF151" s="27"/>
      <c r="CH151" s="27"/>
      <c r="CI151" s="27"/>
      <c r="CJ151" s="27"/>
      <c r="CK151" s="27"/>
      <c r="CL151" s="27"/>
    </row>
    <row r="152" spans="1:90" x14ac:dyDescent="0.2">
      <c r="CC152" s="41"/>
      <c r="CD152" s="41"/>
      <c r="CE152" s="41"/>
      <c r="CF152" s="27"/>
      <c r="CH152" s="27"/>
      <c r="CI152" s="27"/>
      <c r="CJ152" s="27"/>
      <c r="CK152" s="27"/>
      <c r="CL152" s="27"/>
    </row>
    <row r="153" spans="1:90" x14ac:dyDescent="0.2">
      <c r="CC153" s="41"/>
      <c r="CD153" s="41"/>
      <c r="CE153" s="41"/>
      <c r="CF153" s="27"/>
      <c r="CH153" s="27"/>
      <c r="CI153" s="27"/>
      <c r="CJ153" s="27"/>
      <c r="CK153" s="27"/>
      <c r="CL153" s="27"/>
    </row>
    <row r="154" spans="1:90" x14ac:dyDescent="0.2">
      <c r="CC154" s="41"/>
      <c r="CD154" s="41"/>
      <c r="CE154" s="41"/>
      <c r="CF154" s="27"/>
      <c r="CH154" s="27"/>
      <c r="CI154" s="27"/>
      <c r="CJ154" s="27"/>
      <c r="CK154" s="27"/>
      <c r="CL154" s="27"/>
    </row>
    <row r="155" spans="1:90" x14ac:dyDescent="0.2">
      <c r="CC155" s="41"/>
      <c r="CD155" s="41"/>
      <c r="CE155" s="41"/>
      <c r="CF155" s="27"/>
      <c r="CH155" s="27"/>
      <c r="CI155" s="27"/>
      <c r="CJ155" s="27"/>
      <c r="CK155" s="27"/>
      <c r="CL155" s="27"/>
    </row>
    <row r="156" spans="1:90" x14ac:dyDescent="0.2">
      <c r="CC156" s="41"/>
      <c r="CD156" s="41"/>
      <c r="CE156" s="41"/>
      <c r="CF156" s="27"/>
      <c r="CH156" s="27"/>
      <c r="CI156" s="27"/>
      <c r="CJ156" s="27"/>
      <c r="CK156" s="27"/>
      <c r="CL156" s="27"/>
    </row>
    <row r="157" spans="1:90" x14ac:dyDescent="0.2">
      <c r="CC157" s="41"/>
      <c r="CD157" s="41"/>
      <c r="CE157" s="41"/>
      <c r="CF157" s="27"/>
      <c r="CH157" s="27"/>
      <c r="CI157" s="27"/>
      <c r="CJ157" s="27"/>
      <c r="CK157" s="27"/>
      <c r="CL157" s="27"/>
    </row>
    <row r="158" spans="1:90" x14ac:dyDescent="0.2">
      <c r="CC158" s="41"/>
      <c r="CD158" s="41"/>
      <c r="CE158" s="41"/>
      <c r="CF158" s="27"/>
      <c r="CH158" s="27"/>
      <c r="CI158" s="27"/>
      <c r="CJ158" s="27"/>
      <c r="CK158" s="27"/>
      <c r="CL158" s="27"/>
    </row>
    <row r="159" spans="1:90" x14ac:dyDescent="0.2">
      <c r="CC159" s="41"/>
      <c r="CD159" s="41"/>
      <c r="CE159" s="41"/>
      <c r="CF159" s="27"/>
      <c r="CH159" s="27"/>
      <c r="CI159" s="27"/>
      <c r="CJ159" s="27"/>
      <c r="CK159" s="27"/>
      <c r="CL159" s="27"/>
    </row>
    <row r="160" spans="1:90" x14ac:dyDescent="0.2">
      <c r="CC160" s="41"/>
      <c r="CD160" s="41"/>
      <c r="CE160" s="41"/>
      <c r="CF160" s="27"/>
      <c r="CH160" s="27"/>
      <c r="CI160" s="27"/>
      <c r="CJ160" s="27"/>
      <c r="CK160" s="27"/>
      <c r="CL160" s="27"/>
    </row>
    <row r="161" spans="81:90" x14ac:dyDescent="0.2">
      <c r="CC161" s="41"/>
      <c r="CD161" s="41"/>
      <c r="CE161" s="41"/>
      <c r="CF161" s="27"/>
      <c r="CH161" s="27"/>
      <c r="CI161" s="27"/>
      <c r="CJ161" s="27"/>
      <c r="CK161" s="27"/>
      <c r="CL161" s="27"/>
    </row>
    <row r="162" spans="81:90" x14ac:dyDescent="0.2">
      <c r="CC162" s="41"/>
      <c r="CD162" s="41"/>
      <c r="CE162" s="41"/>
      <c r="CF162" s="27"/>
      <c r="CH162" s="27"/>
      <c r="CI162" s="27"/>
      <c r="CJ162" s="27"/>
      <c r="CK162" s="27"/>
      <c r="CL162" s="27"/>
    </row>
    <row r="163" spans="81:90" x14ac:dyDescent="0.2">
      <c r="CC163" s="41"/>
      <c r="CD163" s="41"/>
      <c r="CE163" s="41"/>
      <c r="CF163" s="27"/>
      <c r="CH163" s="27"/>
      <c r="CI163" s="27"/>
      <c r="CJ163" s="27"/>
      <c r="CK163" s="27"/>
      <c r="CL163" s="27"/>
    </row>
    <row r="164" spans="81:90" x14ac:dyDescent="0.2">
      <c r="CC164" s="41"/>
      <c r="CD164" s="41"/>
      <c r="CE164" s="41"/>
      <c r="CF164" s="27"/>
      <c r="CH164" s="27"/>
      <c r="CI164" s="27"/>
      <c r="CJ164" s="27"/>
      <c r="CK164" s="27"/>
      <c r="CL164" s="27"/>
    </row>
    <row r="165" spans="81:90" x14ac:dyDescent="0.2">
      <c r="CC165" s="41"/>
      <c r="CD165" s="41"/>
      <c r="CE165" s="41"/>
      <c r="CF165" s="27"/>
      <c r="CH165" s="27"/>
      <c r="CI165" s="27"/>
      <c r="CJ165" s="27"/>
      <c r="CK165" s="27"/>
      <c r="CL165" s="27"/>
    </row>
    <row r="166" spans="81:90" x14ac:dyDescent="0.2">
      <c r="CC166" s="41"/>
      <c r="CD166" s="41"/>
      <c r="CE166" s="41"/>
      <c r="CF166" s="27"/>
      <c r="CH166" s="27"/>
      <c r="CI166" s="27"/>
      <c r="CJ166" s="27"/>
      <c r="CK166" s="27"/>
      <c r="CL166" s="27"/>
    </row>
    <row r="167" spans="81:90" x14ac:dyDescent="0.2">
      <c r="CC167" s="41"/>
      <c r="CD167" s="41"/>
      <c r="CE167" s="41"/>
      <c r="CF167" s="27"/>
      <c r="CH167" s="27"/>
      <c r="CI167" s="27"/>
      <c r="CJ167" s="27"/>
      <c r="CK167" s="27"/>
      <c r="CL167" s="27"/>
    </row>
    <row r="168" spans="81:90" x14ac:dyDescent="0.2">
      <c r="CC168" s="41"/>
      <c r="CD168" s="41"/>
      <c r="CE168" s="41"/>
      <c r="CF168" s="27"/>
      <c r="CH168" s="27"/>
      <c r="CI168" s="27"/>
      <c r="CJ168" s="27"/>
      <c r="CK168" s="27"/>
      <c r="CL168" s="27"/>
    </row>
    <row r="169" spans="81:90" x14ac:dyDescent="0.2">
      <c r="CC169" s="41"/>
      <c r="CD169" s="41"/>
      <c r="CE169" s="41"/>
      <c r="CF169" s="27"/>
      <c r="CH169" s="27"/>
      <c r="CI169" s="27"/>
      <c r="CJ169" s="27"/>
      <c r="CK169" s="27"/>
      <c r="CL169" s="27"/>
    </row>
    <row r="170" spans="81:90" x14ac:dyDescent="0.2">
      <c r="CC170" s="41"/>
      <c r="CD170" s="41"/>
      <c r="CE170" s="41"/>
      <c r="CF170" s="27"/>
      <c r="CH170" s="27"/>
      <c r="CI170" s="27"/>
      <c r="CJ170" s="27"/>
      <c r="CK170" s="27"/>
      <c r="CL170" s="27"/>
    </row>
    <row r="171" spans="81:90" x14ac:dyDescent="0.2">
      <c r="CC171" s="41"/>
      <c r="CD171" s="41"/>
      <c r="CE171" s="41"/>
      <c r="CF171" s="27"/>
      <c r="CH171" s="27"/>
      <c r="CI171" s="27"/>
      <c r="CJ171" s="27"/>
      <c r="CK171" s="27"/>
      <c r="CL171" s="27"/>
    </row>
    <row r="172" spans="81:90" x14ac:dyDescent="0.2">
      <c r="CC172" s="41"/>
      <c r="CD172" s="41"/>
      <c r="CE172" s="41"/>
      <c r="CF172" s="27"/>
      <c r="CH172" s="27"/>
      <c r="CI172" s="27"/>
      <c r="CJ172" s="27"/>
      <c r="CK172" s="27"/>
      <c r="CL172" s="27"/>
    </row>
    <row r="173" spans="81:90" x14ac:dyDescent="0.2">
      <c r="CC173" s="41"/>
      <c r="CD173" s="41"/>
      <c r="CE173" s="41"/>
      <c r="CF173" s="27"/>
      <c r="CH173" s="27"/>
      <c r="CI173" s="27"/>
      <c r="CJ173" s="27"/>
      <c r="CK173" s="27"/>
      <c r="CL173" s="27"/>
    </row>
  </sheetData>
  <mergeCells count="389">
    <mergeCell ref="A84:C84"/>
    <mergeCell ref="AN86:BA86"/>
    <mergeCell ref="A83:C83"/>
    <mergeCell ref="A69:CB69"/>
    <mergeCell ref="A74:D74"/>
    <mergeCell ref="A76:D76"/>
    <mergeCell ref="BJ84:CB84"/>
    <mergeCell ref="E82:AM82"/>
    <mergeCell ref="A85:C85"/>
    <mergeCell ref="E84:AM84"/>
    <mergeCell ref="A77:D77"/>
    <mergeCell ref="E77:AM77"/>
    <mergeCell ref="E75:AM75"/>
    <mergeCell ref="BB74:BI74"/>
    <mergeCell ref="BJ83:CB83"/>
    <mergeCell ref="E83:AM83"/>
    <mergeCell ref="A80:D80"/>
    <mergeCell ref="AN80:BA80"/>
    <mergeCell ref="AN74:BA74"/>
    <mergeCell ref="BJ76:CB76"/>
    <mergeCell ref="E74:AM74"/>
    <mergeCell ref="AN75:BA75"/>
    <mergeCell ref="BB76:BI76"/>
    <mergeCell ref="BB75:BI75"/>
    <mergeCell ref="BJ67:CB67"/>
    <mergeCell ref="AN67:BA67"/>
    <mergeCell ref="A63:D63"/>
    <mergeCell ref="A68:D68"/>
    <mergeCell ref="AN63:BA63"/>
    <mergeCell ref="A64:D64"/>
    <mergeCell ref="E64:AM64"/>
    <mergeCell ref="E66:AM66"/>
    <mergeCell ref="AN66:BA66"/>
    <mergeCell ref="A67:D67"/>
    <mergeCell ref="E67:AM67"/>
    <mergeCell ref="BB66:BI66"/>
    <mergeCell ref="BB65:BI65"/>
    <mergeCell ref="A65:D65"/>
    <mergeCell ref="AN64:BA64"/>
    <mergeCell ref="BJ66:CB66"/>
    <mergeCell ref="A66:D66"/>
    <mergeCell ref="BB63:BI63"/>
    <mergeCell ref="BJ63:CB63"/>
    <mergeCell ref="AN65:BA65"/>
    <mergeCell ref="BJ65:CB65"/>
    <mergeCell ref="BJ64:CB64"/>
    <mergeCell ref="BB64:BI64"/>
    <mergeCell ref="BN98:CB98"/>
    <mergeCell ref="BN99:CB99"/>
    <mergeCell ref="A104:D104"/>
    <mergeCell ref="BN95:CB95"/>
    <mergeCell ref="AS95:BB95"/>
    <mergeCell ref="AS96:BB96"/>
    <mergeCell ref="E104:AR104"/>
    <mergeCell ref="E95:AR95"/>
    <mergeCell ref="E99:AR99"/>
    <mergeCell ref="E98:AR98"/>
    <mergeCell ref="A95:D95"/>
    <mergeCell ref="A96:D96"/>
    <mergeCell ref="E97:AR97"/>
    <mergeCell ref="BC96:BM96"/>
    <mergeCell ref="BC95:BM95"/>
    <mergeCell ref="A103:C103"/>
    <mergeCell ref="E103:AR103"/>
    <mergeCell ref="BN103:CB103"/>
    <mergeCell ref="A121:D121"/>
    <mergeCell ref="E121:AM121"/>
    <mergeCell ref="A117:D117"/>
    <mergeCell ref="A115:D115"/>
    <mergeCell ref="E119:AM119"/>
    <mergeCell ref="A120:D120"/>
    <mergeCell ref="AS107:BB107"/>
    <mergeCell ref="BJ121:CB121"/>
    <mergeCell ref="AH113:CB113"/>
    <mergeCell ref="BB117:BI117"/>
    <mergeCell ref="AN121:BA121"/>
    <mergeCell ref="BB121:BI121"/>
    <mergeCell ref="BJ119:CB119"/>
    <mergeCell ref="BJ120:CB120"/>
    <mergeCell ref="A118:D118"/>
    <mergeCell ref="E118:AM118"/>
    <mergeCell ref="AN118:BA118"/>
    <mergeCell ref="BB118:BI118"/>
    <mergeCell ref="BJ118:CB118"/>
    <mergeCell ref="A119:D119"/>
    <mergeCell ref="E120:AM120"/>
    <mergeCell ref="AN120:BA120"/>
    <mergeCell ref="BB120:BI120"/>
    <mergeCell ref="AN119:BA119"/>
    <mergeCell ref="BB119:BI119"/>
    <mergeCell ref="BJ117:CB117"/>
    <mergeCell ref="S111:CB111"/>
    <mergeCell ref="AN116:BA116"/>
    <mergeCell ref="BB116:BI116"/>
    <mergeCell ref="BJ116:CB116"/>
    <mergeCell ref="E115:AM115"/>
    <mergeCell ref="AN115:BA115"/>
    <mergeCell ref="BB115:BI115"/>
    <mergeCell ref="BJ115:CB115"/>
    <mergeCell ref="A114:CB114"/>
    <mergeCell ref="A116:D116"/>
    <mergeCell ref="E116:AM116"/>
    <mergeCell ref="E117:AM117"/>
    <mergeCell ref="AN117:BA117"/>
    <mergeCell ref="A93:D93"/>
    <mergeCell ref="AS94:BB94"/>
    <mergeCell ref="BN93:CB93"/>
    <mergeCell ref="E85:AM85"/>
    <mergeCell ref="BJ85:CB85"/>
    <mergeCell ref="A86:D86"/>
    <mergeCell ref="BJ86:CB86"/>
    <mergeCell ref="AS93:BB93"/>
    <mergeCell ref="AH90:CB90"/>
    <mergeCell ref="A92:CB92"/>
    <mergeCell ref="BN94:CB94"/>
    <mergeCell ref="S88:CB88"/>
    <mergeCell ref="A91:CB91"/>
    <mergeCell ref="E86:AM86"/>
    <mergeCell ref="A87:CB87"/>
    <mergeCell ref="E105:AR105"/>
    <mergeCell ref="AS105:BB105"/>
    <mergeCell ref="BC105:BM105"/>
    <mergeCell ref="BC107:BM107"/>
    <mergeCell ref="BN107:CB107"/>
    <mergeCell ref="AS101:BB101"/>
    <mergeCell ref="AS104:BB104"/>
    <mergeCell ref="BC104:BM104"/>
    <mergeCell ref="BN104:CB104"/>
    <mergeCell ref="A108:D108"/>
    <mergeCell ref="A101:D101"/>
    <mergeCell ref="A110:CB110"/>
    <mergeCell ref="A97:D97"/>
    <mergeCell ref="BC108:BM108"/>
    <mergeCell ref="A106:D107"/>
    <mergeCell ref="A105:D105"/>
    <mergeCell ref="A102:C102"/>
    <mergeCell ref="BB81:BI81"/>
    <mergeCell ref="BC94:BM94"/>
    <mergeCell ref="BB86:BI86"/>
    <mergeCell ref="E81:AM81"/>
    <mergeCell ref="BC93:BM93"/>
    <mergeCell ref="A94:D94"/>
    <mergeCell ref="E94:AR94"/>
    <mergeCell ref="AS97:BB97"/>
    <mergeCell ref="E108:AR108"/>
    <mergeCell ref="AS108:BB108"/>
    <mergeCell ref="E101:AR101"/>
    <mergeCell ref="BN105:CB105"/>
    <mergeCell ref="AS106:BB106"/>
    <mergeCell ref="BC106:BM106"/>
    <mergeCell ref="BN106:CB106"/>
    <mergeCell ref="E106:AR107"/>
    <mergeCell ref="CE142:CL142"/>
    <mergeCell ref="BN108:CB108"/>
    <mergeCell ref="BN97:CB97"/>
    <mergeCell ref="BN96:CB96"/>
    <mergeCell ref="E93:AR93"/>
    <mergeCell ref="BB52:BI52"/>
    <mergeCell ref="BJ52:CB52"/>
    <mergeCell ref="AN56:BA56"/>
    <mergeCell ref="BN102:CB102"/>
    <mergeCell ref="E100:AR100"/>
    <mergeCell ref="E102:AR102"/>
    <mergeCell ref="BN100:CB100"/>
    <mergeCell ref="E96:AR96"/>
    <mergeCell ref="BN101:CB101"/>
    <mergeCell ref="BC101:BM101"/>
    <mergeCell ref="BC97:BM97"/>
    <mergeCell ref="E52:AM52"/>
    <mergeCell ref="AN52:BA52"/>
    <mergeCell ref="BJ55:CB55"/>
    <mergeCell ref="AN79:BA79"/>
    <mergeCell ref="BB77:BI77"/>
    <mergeCell ref="BJ74:CB74"/>
    <mergeCell ref="BJ54:CB54"/>
    <mergeCell ref="BJ53:CB53"/>
    <mergeCell ref="AN37:BA37"/>
    <mergeCell ref="A51:D51"/>
    <mergeCell ref="E51:AM51"/>
    <mergeCell ref="A41:D41"/>
    <mergeCell ref="A40:D40"/>
    <mergeCell ref="BB41:BI41"/>
    <mergeCell ref="BB53:BI53"/>
    <mergeCell ref="A53:D53"/>
    <mergeCell ref="E53:AM53"/>
    <mergeCell ref="AN53:BA53"/>
    <mergeCell ref="A52:D52"/>
    <mergeCell ref="AN51:BA51"/>
    <mergeCell ref="A58:CB58"/>
    <mergeCell ref="E21:AM21"/>
    <mergeCell ref="AN21:BA21"/>
    <mergeCell ref="A22:D22"/>
    <mergeCell ref="E24:AM24"/>
    <mergeCell ref="AN24:BA24"/>
    <mergeCell ref="BJ28:CB28"/>
    <mergeCell ref="BJ27:CB27"/>
    <mergeCell ref="BJ29:CB29"/>
    <mergeCell ref="BB25:BI25"/>
    <mergeCell ref="S32:CB32"/>
    <mergeCell ref="BB36:BI36"/>
    <mergeCell ref="BJ38:CB38"/>
    <mergeCell ref="BJ57:CB57"/>
    <mergeCell ref="E55:AM55"/>
    <mergeCell ref="BB38:BI38"/>
    <mergeCell ref="BB37:BI37"/>
    <mergeCell ref="BJ37:CB37"/>
    <mergeCell ref="AN39:BA39"/>
    <mergeCell ref="E38:AM38"/>
    <mergeCell ref="AN38:BA38"/>
    <mergeCell ref="AH48:CB48"/>
    <mergeCell ref="E41:AM41"/>
    <mergeCell ref="AN41:BA41"/>
    <mergeCell ref="E27:AM27"/>
    <mergeCell ref="E29:AM29"/>
    <mergeCell ref="E28:AM28"/>
    <mergeCell ref="AN28:BA28"/>
    <mergeCell ref="S46:CB46"/>
    <mergeCell ref="BB28:BI28"/>
    <mergeCell ref="BJ36:CB36"/>
    <mergeCell ref="A57:D57"/>
    <mergeCell ref="E57:AM57"/>
    <mergeCell ref="AN57:BA57"/>
    <mergeCell ref="BB57:BI57"/>
    <mergeCell ref="AH34:CB34"/>
    <mergeCell ref="A39:D39"/>
    <mergeCell ref="E39:AM39"/>
    <mergeCell ref="A28:D28"/>
    <mergeCell ref="BB29:BI29"/>
    <mergeCell ref="A36:D36"/>
    <mergeCell ref="E36:AM36"/>
    <mergeCell ref="AN36:BA36"/>
    <mergeCell ref="BB27:BI27"/>
    <mergeCell ref="A30:CB30"/>
    <mergeCell ref="BB51:BI51"/>
    <mergeCell ref="BB50:BI50"/>
    <mergeCell ref="E37:AM37"/>
    <mergeCell ref="AH19:CB19"/>
    <mergeCell ref="AN29:BA29"/>
    <mergeCell ref="A29:D29"/>
    <mergeCell ref="A27:D27"/>
    <mergeCell ref="A25:D25"/>
    <mergeCell ref="BJ25:CB25"/>
    <mergeCell ref="BJ21:CB21"/>
    <mergeCell ref="AN27:BA27"/>
    <mergeCell ref="A26:D26"/>
    <mergeCell ref="BJ26:CB26"/>
    <mergeCell ref="BJ23:CB23"/>
    <mergeCell ref="AN23:BA23"/>
    <mergeCell ref="AN26:BA26"/>
    <mergeCell ref="BB24:BI24"/>
    <mergeCell ref="E25:AM25"/>
    <mergeCell ref="E26:AM26"/>
    <mergeCell ref="E22:AM22"/>
    <mergeCell ref="AN22:BA22"/>
    <mergeCell ref="E23:AM23"/>
    <mergeCell ref="BB23:BI23"/>
    <mergeCell ref="A23:D23"/>
    <mergeCell ref="A24:D24"/>
    <mergeCell ref="BJ24:CB24"/>
    <mergeCell ref="AN25:BA25"/>
    <mergeCell ref="BB13:BM13"/>
    <mergeCell ref="BB22:BI22"/>
    <mergeCell ref="A21:D21"/>
    <mergeCell ref="BB21:BI21"/>
    <mergeCell ref="BJ50:CB50"/>
    <mergeCell ref="BB26:BI26"/>
    <mergeCell ref="S17:CB17"/>
    <mergeCell ref="A15:CB15"/>
    <mergeCell ref="BJ22:CB22"/>
    <mergeCell ref="A13:D13"/>
    <mergeCell ref="E13:AM13"/>
    <mergeCell ref="AN13:BA13"/>
    <mergeCell ref="BN13:CB13"/>
    <mergeCell ref="BB39:BI39"/>
    <mergeCell ref="BJ39:CB39"/>
    <mergeCell ref="A37:D37"/>
    <mergeCell ref="BJ40:CB40"/>
    <mergeCell ref="A38:D38"/>
    <mergeCell ref="A50:D50"/>
    <mergeCell ref="E50:AM50"/>
    <mergeCell ref="AN50:BA50"/>
    <mergeCell ref="A42:D42"/>
    <mergeCell ref="AN42:BA42"/>
    <mergeCell ref="E42:AM42"/>
    <mergeCell ref="AN10:BA10"/>
    <mergeCell ref="BN10:CB10"/>
    <mergeCell ref="E8:AM8"/>
    <mergeCell ref="BB8:BM8"/>
    <mergeCell ref="BB9:BM9"/>
    <mergeCell ref="AN9:BA9"/>
    <mergeCell ref="AN8:BA8"/>
    <mergeCell ref="BN8:CB8"/>
    <mergeCell ref="BB10:BM10"/>
    <mergeCell ref="A1:CB1"/>
    <mergeCell ref="A7:D7"/>
    <mergeCell ref="E7:AM7"/>
    <mergeCell ref="AN7:BA7"/>
    <mergeCell ref="BN7:CB7"/>
    <mergeCell ref="S3:CB3"/>
    <mergeCell ref="AH5:CB5"/>
    <mergeCell ref="BB7:BM7"/>
    <mergeCell ref="AN12:BA12"/>
    <mergeCell ref="BN12:CB12"/>
    <mergeCell ref="BB12:BM12"/>
    <mergeCell ref="BN9:CB9"/>
    <mergeCell ref="BN11:CB11"/>
    <mergeCell ref="BB11:BM11"/>
    <mergeCell ref="A10:D10"/>
    <mergeCell ref="A12:D12"/>
    <mergeCell ref="A9:D9"/>
    <mergeCell ref="E9:AM9"/>
    <mergeCell ref="E10:AM10"/>
    <mergeCell ref="A11:D11"/>
    <mergeCell ref="E11:AM11"/>
    <mergeCell ref="AN11:BA11"/>
    <mergeCell ref="E12:AM12"/>
    <mergeCell ref="A8:D8"/>
    <mergeCell ref="BJ41:CB41"/>
    <mergeCell ref="E40:AM40"/>
    <mergeCell ref="AN40:BA40"/>
    <mergeCell ref="BB40:BI40"/>
    <mergeCell ref="BB42:BI42"/>
    <mergeCell ref="BJ42:CB42"/>
    <mergeCell ref="BJ56:CB56"/>
    <mergeCell ref="BJ51:CB51"/>
    <mergeCell ref="A44:CB44"/>
    <mergeCell ref="BJ43:CB43"/>
    <mergeCell ref="BB43:BI43"/>
    <mergeCell ref="A43:D43"/>
    <mergeCell ref="A54:D54"/>
    <mergeCell ref="E54:AM54"/>
    <mergeCell ref="BB55:BI55"/>
    <mergeCell ref="A56:D56"/>
    <mergeCell ref="E56:AM56"/>
    <mergeCell ref="AN55:BA55"/>
    <mergeCell ref="AN54:BA54"/>
    <mergeCell ref="BB56:BI56"/>
    <mergeCell ref="BB54:BI54"/>
    <mergeCell ref="A55:D55"/>
    <mergeCell ref="E43:AM43"/>
    <mergeCell ref="AN43:BA43"/>
    <mergeCell ref="BB60:BI60"/>
    <mergeCell ref="BJ60:CB60"/>
    <mergeCell ref="BB80:BI80"/>
    <mergeCell ref="E79:AM79"/>
    <mergeCell ref="BB68:BI68"/>
    <mergeCell ref="BJ68:CB68"/>
    <mergeCell ref="E63:AM63"/>
    <mergeCell ref="E80:AM80"/>
    <mergeCell ref="E65:AM65"/>
    <mergeCell ref="BJ79:CB79"/>
    <mergeCell ref="E78:AM78"/>
    <mergeCell ref="AN77:BA77"/>
    <mergeCell ref="E76:AM76"/>
    <mergeCell ref="BJ77:CB77"/>
    <mergeCell ref="BB78:BI78"/>
    <mergeCell ref="AN68:BA68"/>
    <mergeCell ref="E68:AM68"/>
    <mergeCell ref="AH72:CB72"/>
    <mergeCell ref="S70:CB70"/>
    <mergeCell ref="A73:CB73"/>
    <mergeCell ref="A60:D60"/>
    <mergeCell ref="E60:AM60"/>
    <mergeCell ref="AN60:BA60"/>
    <mergeCell ref="A61:D61"/>
    <mergeCell ref="E61:AM61"/>
    <mergeCell ref="AN61:BA61"/>
    <mergeCell ref="BB61:BI61"/>
    <mergeCell ref="BJ61:CB61"/>
    <mergeCell ref="AN81:BA81"/>
    <mergeCell ref="BJ81:CB81"/>
    <mergeCell ref="A82:C82"/>
    <mergeCell ref="A78:D78"/>
    <mergeCell ref="AN78:BA78"/>
    <mergeCell ref="BB79:BI79"/>
    <mergeCell ref="BJ78:CB78"/>
    <mergeCell ref="A75:D75"/>
    <mergeCell ref="AN76:BA76"/>
    <mergeCell ref="BJ75:CB75"/>
    <mergeCell ref="A79:D79"/>
    <mergeCell ref="BJ80:CB80"/>
    <mergeCell ref="BJ82:CB82"/>
    <mergeCell ref="A81:D81"/>
    <mergeCell ref="A62:D62"/>
    <mergeCell ref="E62:AM62"/>
    <mergeCell ref="AN62:BA62"/>
    <mergeCell ref="BB62:BI62"/>
    <mergeCell ref="BJ62:CB62"/>
    <mergeCell ref="BB67:BI67"/>
  </mergeCells>
  <phoneticPr fontId="0" type="noConversion"/>
  <pageMargins left="0.78740157480314965" right="0.39370078740157483" top="0.59055118110236227" bottom="0.39370078740157483" header="0.31496062992125984" footer="0.31496062992125984"/>
  <pageSetup paperSize="9" scale="77" fitToHeight="0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68" max="7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H136"/>
  <sheetViews>
    <sheetView tabSelected="1" view="pageBreakPreview" topLeftCell="A86" zoomScaleNormal="100" zoomScaleSheetLayoutView="100" workbookViewId="0">
      <selection activeCell="CD99" sqref="CD99"/>
    </sheetView>
  </sheetViews>
  <sheetFormatPr defaultColWidth="1.140625" defaultRowHeight="12.75" x14ac:dyDescent="0.2"/>
  <cols>
    <col min="1" max="1" width="2.28515625" style="7" customWidth="1"/>
    <col min="2" max="38" width="1.140625" style="7"/>
    <col min="39" max="39" width="7.28515625" style="7" customWidth="1"/>
    <col min="40" max="54" width="1.140625" style="7"/>
    <col min="55" max="55" width="3.140625" style="7" customWidth="1"/>
    <col min="56" max="63" width="1.140625" style="7"/>
    <col min="64" max="64" width="0.85546875" style="7" customWidth="1"/>
    <col min="65" max="65" width="1.140625" style="7" hidden="1" customWidth="1"/>
    <col min="66" max="79" width="1.140625" style="7"/>
    <col min="80" max="80" width="2.28515625" style="7" customWidth="1"/>
    <col min="81" max="81" width="15.42578125" style="64" customWidth="1"/>
    <col min="82" max="82" width="15.28515625" style="64" customWidth="1"/>
    <col min="83" max="83" width="25.7109375" style="64" customWidth="1"/>
    <col min="84" max="84" width="27.5703125" style="408" customWidth="1"/>
    <col min="85" max="85" width="22.42578125" style="7" customWidth="1"/>
    <col min="86" max="149" width="19.5703125" style="7" customWidth="1"/>
    <col min="150" max="16384" width="1.140625" style="7"/>
  </cols>
  <sheetData>
    <row r="1" spans="1:86" s="3" customFormat="1" ht="15.75" x14ac:dyDescent="0.25">
      <c r="A1" s="518" t="s">
        <v>79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  <c r="BK1" s="518"/>
      <c r="BL1" s="518"/>
      <c r="BM1" s="518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518"/>
      <c r="BZ1" s="518"/>
      <c r="CA1" s="518"/>
      <c r="CB1" s="518"/>
      <c r="CC1" s="115"/>
      <c r="CD1" s="115"/>
      <c r="CE1" s="115"/>
      <c r="CF1" s="404"/>
      <c r="CG1" s="119"/>
    </row>
    <row r="2" spans="1:86" s="6" customFormat="1" ht="9.75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117"/>
      <c r="CD2" s="117"/>
      <c r="CE2" s="117"/>
      <c r="CF2" s="405"/>
      <c r="CG2" s="118"/>
    </row>
    <row r="3" spans="1:86" s="3" customFormat="1" ht="15.75" x14ac:dyDescent="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27" t="s">
        <v>319</v>
      </c>
      <c r="T3" s="727"/>
      <c r="U3" s="727"/>
      <c r="V3" s="727"/>
      <c r="W3" s="727"/>
      <c r="X3" s="727"/>
      <c r="Y3" s="727"/>
      <c r="Z3" s="727"/>
      <c r="AA3" s="727"/>
      <c r="AB3" s="727"/>
      <c r="AC3" s="727"/>
      <c r="AD3" s="727"/>
      <c r="AE3" s="727"/>
      <c r="AF3" s="727"/>
      <c r="AG3" s="727"/>
      <c r="AH3" s="727"/>
      <c r="AI3" s="727"/>
      <c r="AJ3" s="727"/>
      <c r="AK3" s="727"/>
      <c r="AL3" s="727"/>
      <c r="AM3" s="727"/>
      <c r="AN3" s="727"/>
      <c r="AO3" s="727"/>
      <c r="AP3" s="727"/>
      <c r="AQ3" s="727"/>
      <c r="AR3" s="727"/>
      <c r="AS3" s="727"/>
      <c r="AT3" s="727"/>
      <c r="AU3" s="727"/>
      <c r="AV3" s="727"/>
      <c r="AW3" s="727"/>
      <c r="AX3" s="727"/>
      <c r="AY3" s="727"/>
      <c r="AZ3" s="727"/>
      <c r="BA3" s="727"/>
      <c r="BB3" s="727"/>
      <c r="BC3" s="727"/>
      <c r="BD3" s="727"/>
      <c r="BE3" s="727"/>
      <c r="BF3" s="727"/>
      <c r="BG3" s="727"/>
      <c r="BH3" s="727"/>
      <c r="BI3" s="727"/>
      <c r="BJ3" s="727"/>
      <c r="BK3" s="727"/>
      <c r="BL3" s="727"/>
      <c r="BM3" s="727"/>
      <c r="BN3" s="727"/>
      <c r="BO3" s="727"/>
      <c r="BP3" s="727"/>
      <c r="BQ3" s="727"/>
      <c r="BR3" s="727"/>
      <c r="BS3" s="727"/>
      <c r="BT3" s="727"/>
      <c r="BU3" s="727"/>
      <c r="BV3" s="727"/>
      <c r="BW3" s="727"/>
      <c r="BX3" s="727"/>
      <c r="BY3" s="727"/>
      <c r="BZ3" s="727"/>
      <c r="CA3" s="727"/>
      <c r="CB3" s="727"/>
      <c r="CC3" s="115"/>
      <c r="CD3" s="115"/>
      <c r="CE3" s="115"/>
      <c r="CF3" s="404"/>
      <c r="CG3" s="119"/>
    </row>
    <row r="4" spans="1:86" s="6" customFormat="1" ht="9.7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117"/>
      <c r="CD4" s="117"/>
      <c r="CE4" s="117"/>
      <c r="CF4" s="405"/>
      <c r="CG4" s="118"/>
    </row>
    <row r="5" spans="1:86" s="3" customFormat="1" ht="29.25" customHeight="1" x14ac:dyDescent="0.25">
      <c r="A5" s="3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728" t="s">
        <v>129</v>
      </c>
      <c r="AI5" s="728"/>
      <c r="AJ5" s="728"/>
      <c r="AK5" s="728"/>
      <c r="AL5" s="728"/>
      <c r="AM5" s="728"/>
      <c r="AN5" s="728"/>
      <c r="AO5" s="728"/>
      <c r="AP5" s="728"/>
      <c r="AQ5" s="728"/>
      <c r="AR5" s="728"/>
      <c r="AS5" s="728"/>
      <c r="AT5" s="728"/>
      <c r="AU5" s="728"/>
      <c r="AV5" s="728"/>
      <c r="AW5" s="728"/>
      <c r="AX5" s="728"/>
      <c r="AY5" s="728"/>
      <c r="AZ5" s="728"/>
      <c r="BA5" s="728"/>
      <c r="BB5" s="728"/>
      <c r="BC5" s="728"/>
      <c r="BD5" s="728"/>
      <c r="BE5" s="728"/>
      <c r="BF5" s="728"/>
      <c r="BG5" s="728"/>
      <c r="BH5" s="728"/>
      <c r="BI5" s="728"/>
      <c r="BJ5" s="728"/>
      <c r="BK5" s="728"/>
      <c r="BL5" s="728"/>
      <c r="BM5" s="728"/>
      <c r="BN5" s="728"/>
      <c r="BO5" s="728"/>
      <c r="BP5" s="728"/>
      <c r="BQ5" s="728"/>
      <c r="BR5" s="728"/>
      <c r="BS5" s="728"/>
      <c r="BT5" s="728"/>
      <c r="BU5" s="728"/>
      <c r="BV5" s="728"/>
      <c r="BW5" s="728"/>
      <c r="BX5" s="728"/>
      <c r="BY5" s="728"/>
      <c r="BZ5" s="728"/>
      <c r="CA5" s="728"/>
      <c r="CB5" s="728"/>
      <c r="CC5" s="115"/>
      <c r="CD5" s="115"/>
      <c r="CE5" s="115"/>
      <c r="CF5" s="404"/>
      <c r="CG5" s="119"/>
    </row>
    <row r="6" spans="1:86" s="3" customFormat="1" ht="15.75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5"/>
      <c r="CD6" s="115"/>
      <c r="CE6" s="115"/>
      <c r="CF6" s="404"/>
      <c r="CG6" s="119"/>
    </row>
    <row r="7" spans="1:86" s="3" customFormat="1" ht="15.75" x14ac:dyDescent="0.25">
      <c r="A7" s="518" t="s">
        <v>326</v>
      </c>
      <c r="B7" s="518"/>
      <c r="C7" s="518"/>
      <c r="D7" s="518"/>
      <c r="E7" s="518"/>
      <c r="F7" s="518"/>
      <c r="G7" s="518"/>
      <c r="H7" s="518"/>
      <c r="I7" s="518"/>
      <c r="J7" s="518"/>
      <c r="K7" s="518"/>
      <c r="L7" s="518"/>
      <c r="M7" s="518"/>
      <c r="N7" s="518"/>
      <c r="O7" s="518"/>
      <c r="P7" s="518"/>
      <c r="Q7" s="518"/>
      <c r="R7" s="518"/>
      <c r="S7" s="518"/>
      <c r="T7" s="518"/>
      <c r="U7" s="518"/>
      <c r="V7" s="518"/>
      <c r="W7" s="518"/>
      <c r="X7" s="518"/>
      <c r="Y7" s="518"/>
      <c r="Z7" s="518"/>
      <c r="AA7" s="518"/>
      <c r="AB7" s="518"/>
      <c r="AC7" s="518"/>
      <c r="AD7" s="518"/>
      <c r="AE7" s="518"/>
      <c r="AF7" s="518"/>
      <c r="AG7" s="518"/>
      <c r="AH7" s="518"/>
      <c r="AI7" s="518"/>
      <c r="AJ7" s="518"/>
      <c r="AK7" s="518"/>
      <c r="AL7" s="518"/>
      <c r="AM7" s="518"/>
      <c r="AN7" s="518"/>
      <c r="AO7" s="518"/>
      <c r="AP7" s="518"/>
      <c r="AQ7" s="518"/>
      <c r="AR7" s="518"/>
      <c r="AS7" s="518"/>
      <c r="AT7" s="518"/>
      <c r="AU7" s="518"/>
      <c r="AV7" s="518"/>
      <c r="AW7" s="518"/>
      <c r="AX7" s="518"/>
      <c r="AY7" s="518"/>
      <c r="AZ7" s="518"/>
      <c r="BA7" s="518"/>
      <c r="BB7" s="518"/>
      <c r="BC7" s="518"/>
      <c r="BD7" s="518"/>
      <c r="BE7" s="518"/>
      <c r="BF7" s="518"/>
      <c r="BG7" s="518"/>
      <c r="BH7" s="518"/>
      <c r="BI7" s="518"/>
      <c r="BJ7" s="518"/>
      <c r="BK7" s="518"/>
      <c r="BL7" s="518"/>
      <c r="BM7" s="518"/>
      <c r="BN7" s="518"/>
      <c r="BO7" s="518"/>
      <c r="BP7" s="518"/>
      <c r="BQ7" s="518"/>
      <c r="BR7" s="518"/>
      <c r="BS7" s="518"/>
      <c r="BT7" s="518"/>
      <c r="BU7" s="518"/>
      <c r="BV7" s="518"/>
      <c r="BW7" s="518"/>
      <c r="BX7" s="518"/>
      <c r="BY7" s="518"/>
      <c r="BZ7" s="518"/>
      <c r="CA7" s="518"/>
      <c r="CB7" s="518"/>
      <c r="CC7" s="115"/>
      <c r="CD7" s="115"/>
      <c r="CE7" s="115"/>
      <c r="CF7" s="404"/>
      <c r="CG7" s="119"/>
    </row>
    <row r="8" spans="1:86" x14ac:dyDescent="0.2">
      <c r="CC8" s="41"/>
      <c r="CD8" s="41"/>
      <c r="CE8" s="41"/>
      <c r="CF8" s="406"/>
      <c r="CG8" s="27"/>
    </row>
    <row r="9" spans="1:86" x14ac:dyDescent="0.2">
      <c r="A9" s="519" t="s">
        <v>5</v>
      </c>
      <c r="B9" s="520"/>
      <c r="C9" s="520"/>
      <c r="D9" s="523"/>
      <c r="E9" s="519" t="s">
        <v>13</v>
      </c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3"/>
      <c r="AJ9" s="519" t="s">
        <v>18</v>
      </c>
      <c r="AK9" s="520"/>
      <c r="AL9" s="520"/>
      <c r="AM9" s="520"/>
      <c r="AN9" s="520"/>
      <c r="AO9" s="520"/>
      <c r="AP9" s="520"/>
      <c r="AQ9" s="520"/>
      <c r="AR9" s="520"/>
      <c r="AS9" s="520"/>
      <c r="AT9" s="523"/>
      <c r="AU9" s="519" t="s">
        <v>18</v>
      </c>
      <c r="AV9" s="520"/>
      <c r="AW9" s="520"/>
      <c r="AX9" s="520"/>
      <c r="AY9" s="520"/>
      <c r="AZ9" s="520"/>
      <c r="BA9" s="520"/>
      <c r="BB9" s="520"/>
      <c r="BC9" s="520"/>
      <c r="BD9" s="523"/>
      <c r="BE9" s="519" t="s">
        <v>83</v>
      </c>
      <c r="BF9" s="520"/>
      <c r="BG9" s="520"/>
      <c r="BH9" s="520"/>
      <c r="BI9" s="520"/>
      <c r="BJ9" s="520"/>
      <c r="BK9" s="520"/>
      <c r="BL9" s="520"/>
      <c r="BM9" s="520"/>
      <c r="BN9" s="520"/>
      <c r="BO9" s="523"/>
      <c r="BP9" s="519" t="s">
        <v>22</v>
      </c>
      <c r="BQ9" s="520"/>
      <c r="BR9" s="520"/>
      <c r="BS9" s="520"/>
      <c r="BT9" s="520"/>
      <c r="BU9" s="520"/>
      <c r="BV9" s="520"/>
      <c r="BW9" s="520"/>
      <c r="BX9" s="520"/>
      <c r="BY9" s="520"/>
      <c r="BZ9" s="520"/>
      <c r="CA9" s="520"/>
      <c r="CB9" s="520"/>
      <c r="CC9" s="41"/>
      <c r="CD9" s="41"/>
      <c r="CE9" s="41"/>
      <c r="CF9" s="406"/>
      <c r="CG9" s="27"/>
    </row>
    <row r="10" spans="1:86" x14ac:dyDescent="0.2">
      <c r="A10" s="521" t="s">
        <v>6</v>
      </c>
      <c r="B10" s="522"/>
      <c r="C10" s="522"/>
      <c r="D10" s="537"/>
      <c r="E10" s="521"/>
      <c r="F10" s="522"/>
      <c r="G10" s="522"/>
      <c r="H10" s="522"/>
      <c r="I10" s="522"/>
      <c r="J10" s="522"/>
      <c r="K10" s="522"/>
      <c r="L10" s="522"/>
      <c r="M10" s="522"/>
      <c r="N10" s="522"/>
      <c r="O10" s="522"/>
      <c r="P10" s="522"/>
      <c r="Q10" s="522"/>
      <c r="R10" s="522"/>
      <c r="S10" s="522"/>
      <c r="T10" s="522"/>
      <c r="U10" s="522"/>
      <c r="V10" s="522"/>
      <c r="W10" s="522"/>
      <c r="X10" s="522"/>
      <c r="Y10" s="522"/>
      <c r="Z10" s="522"/>
      <c r="AA10" s="522"/>
      <c r="AB10" s="522"/>
      <c r="AC10" s="522"/>
      <c r="AD10" s="522"/>
      <c r="AE10" s="522"/>
      <c r="AF10" s="522"/>
      <c r="AG10" s="522"/>
      <c r="AH10" s="522"/>
      <c r="AI10" s="537"/>
      <c r="AJ10" s="521" t="s">
        <v>80</v>
      </c>
      <c r="AK10" s="522"/>
      <c r="AL10" s="522"/>
      <c r="AM10" s="522"/>
      <c r="AN10" s="522"/>
      <c r="AO10" s="522"/>
      <c r="AP10" s="522"/>
      <c r="AQ10" s="522"/>
      <c r="AR10" s="522"/>
      <c r="AS10" s="522"/>
      <c r="AT10" s="537"/>
      <c r="AU10" s="521" t="s">
        <v>82</v>
      </c>
      <c r="AV10" s="522"/>
      <c r="AW10" s="522"/>
      <c r="AX10" s="522"/>
      <c r="AY10" s="522"/>
      <c r="AZ10" s="522"/>
      <c r="BA10" s="522"/>
      <c r="BB10" s="522"/>
      <c r="BC10" s="522"/>
      <c r="BD10" s="537"/>
      <c r="BE10" s="521" t="s">
        <v>84</v>
      </c>
      <c r="BF10" s="522"/>
      <c r="BG10" s="522"/>
      <c r="BH10" s="522"/>
      <c r="BI10" s="522"/>
      <c r="BJ10" s="522"/>
      <c r="BK10" s="522"/>
      <c r="BL10" s="522"/>
      <c r="BM10" s="522"/>
      <c r="BN10" s="522"/>
      <c r="BO10" s="537"/>
      <c r="BP10" s="521" t="s">
        <v>88</v>
      </c>
      <c r="BQ10" s="522"/>
      <c r="BR10" s="522"/>
      <c r="BS10" s="522"/>
      <c r="BT10" s="522"/>
      <c r="BU10" s="522"/>
      <c r="BV10" s="522"/>
      <c r="BW10" s="522"/>
      <c r="BX10" s="522"/>
      <c r="BY10" s="522"/>
      <c r="BZ10" s="522"/>
      <c r="CA10" s="522"/>
      <c r="CB10" s="522"/>
      <c r="CC10" s="41"/>
      <c r="CD10" s="41"/>
      <c r="CE10" s="41"/>
      <c r="CF10" s="406"/>
      <c r="CG10" s="27"/>
    </row>
    <row r="11" spans="1:86" x14ac:dyDescent="0.2">
      <c r="A11" s="521"/>
      <c r="B11" s="522"/>
      <c r="C11" s="522"/>
      <c r="D11" s="537"/>
      <c r="E11" s="521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2"/>
      <c r="T11" s="522"/>
      <c r="U11" s="522"/>
      <c r="V11" s="522"/>
      <c r="W11" s="522"/>
      <c r="X11" s="522"/>
      <c r="Y11" s="522"/>
      <c r="Z11" s="522"/>
      <c r="AA11" s="522"/>
      <c r="AB11" s="522"/>
      <c r="AC11" s="522"/>
      <c r="AD11" s="522"/>
      <c r="AE11" s="522"/>
      <c r="AF11" s="522"/>
      <c r="AG11" s="522"/>
      <c r="AH11" s="522"/>
      <c r="AI11" s="537"/>
      <c r="AJ11" s="521"/>
      <c r="AK11" s="522"/>
      <c r="AL11" s="522"/>
      <c r="AM11" s="522"/>
      <c r="AN11" s="522"/>
      <c r="AO11" s="522"/>
      <c r="AP11" s="522"/>
      <c r="AQ11" s="522"/>
      <c r="AR11" s="522"/>
      <c r="AS11" s="522"/>
      <c r="AT11" s="537"/>
      <c r="AU11" s="521" t="s">
        <v>81</v>
      </c>
      <c r="AV11" s="522"/>
      <c r="AW11" s="522"/>
      <c r="AX11" s="522"/>
      <c r="AY11" s="522"/>
      <c r="AZ11" s="522"/>
      <c r="BA11" s="522"/>
      <c r="BB11" s="522"/>
      <c r="BC11" s="522"/>
      <c r="BD11" s="537"/>
      <c r="BE11" s="521" t="s">
        <v>17</v>
      </c>
      <c r="BF11" s="522"/>
      <c r="BG11" s="522"/>
      <c r="BH11" s="522"/>
      <c r="BI11" s="522"/>
      <c r="BJ11" s="522"/>
      <c r="BK11" s="522"/>
      <c r="BL11" s="522"/>
      <c r="BM11" s="522"/>
      <c r="BN11" s="522"/>
      <c r="BO11" s="537"/>
      <c r="BP11" s="521"/>
      <c r="BQ11" s="522"/>
      <c r="BR11" s="522"/>
      <c r="BS11" s="522"/>
      <c r="BT11" s="522"/>
      <c r="BU11" s="522"/>
      <c r="BV11" s="522"/>
      <c r="BW11" s="522"/>
      <c r="BX11" s="522"/>
      <c r="BY11" s="522"/>
      <c r="BZ11" s="522"/>
      <c r="CA11" s="522"/>
      <c r="CB11" s="522"/>
      <c r="CC11" s="41"/>
      <c r="CD11" s="41"/>
      <c r="CE11" s="41"/>
      <c r="CF11" s="406"/>
      <c r="CG11" s="27"/>
    </row>
    <row r="12" spans="1:86" ht="15.75" x14ac:dyDescent="0.25">
      <c r="A12" s="723">
        <v>1</v>
      </c>
      <c r="B12" s="723"/>
      <c r="C12" s="723"/>
      <c r="D12" s="723"/>
      <c r="E12" s="723">
        <v>2</v>
      </c>
      <c r="F12" s="723"/>
      <c r="G12" s="723"/>
      <c r="H12" s="723"/>
      <c r="I12" s="723"/>
      <c r="J12" s="723"/>
      <c r="K12" s="723"/>
      <c r="L12" s="723"/>
      <c r="M12" s="723"/>
      <c r="N12" s="723"/>
      <c r="O12" s="723"/>
      <c r="P12" s="723"/>
      <c r="Q12" s="723"/>
      <c r="R12" s="723"/>
      <c r="S12" s="723"/>
      <c r="T12" s="723"/>
      <c r="U12" s="723"/>
      <c r="V12" s="723"/>
      <c r="W12" s="723"/>
      <c r="X12" s="723"/>
      <c r="Y12" s="723"/>
      <c r="Z12" s="723"/>
      <c r="AA12" s="723"/>
      <c r="AB12" s="723"/>
      <c r="AC12" s="723"/>
      <c r="AD12" s="723"/>
      <c r="AE12" s="723"/>
      <c r="AF12" s="723"/>
      <c r="AG12" s="723"/>
      <c r="AH12" s="723"/>
      <c r="AI12" s="723"/>
      <c r="AJ12" s="723">
        <v>3</v>
      </c>
      <c r="AK12" s="723"/>
      <c r="AL12" s="723"/>
      <c r="AM12" s="723"/>
      <c r="AN12" s="723"/>
      <c r="AO12" s="723"/>
      <c r="AP12" s="723"/>
      <c r="AQ12" s="723"/>
      <c r="AR12" s="723"/>
      <c r="AS12" s="723"/>
      <c r="AT12" s="723"/>
      <c r="AU12" s="723">
        <v>4</v>
      </c>
      <c r="AV12" s="723"/>
      <c r="AW12" s="723"/>
      <c r="AX12" s="723"/>
      <c r="AY12" s="723"/>
      <c r="AZ12" s="723"/>
      <c r="BA12" s="723"/>
      <c r="BB12" s="723"/>
      <c r="BC12" s="723"/>
      <c r="BD12" s="723"/>
      <c r="BE12" s="723">
        <v>5</v>
      </c>
      <c r="BF12" s="723"/>
      <c r="BG12" s="723"/>
      <c r="BH12" s="723"/>
      <c r="BI12" s="723"/>
      <c r="BJ12" s="723"/>
      <c r="BK12" s="723"/>
      <c r="BL12" s="723"/>
      <c r="BM12" s="723"/>
      <c r="BN12" s="723"/>
      <c r="BO12" s="723"/>
      <c r="BP12" s="723">
        <v>6</v>
      </c>
      <c r="BQ12" s="723"/>
      <c r="BR12" s="723"/>
      <c r="BS12" s="723"/>
      <c r="BT12" s="723"/>
      <c r="BU12" s="723"/>
      <c r="BV12" s="723"/>
      <c r="BW12" s="723"/>
      <c r="BX12" s="723"/>
      <c r="BY12" s="723"/>
      <c r="BZ12" s="723"/>
      <c r="CA12" s="723"/>
      <c r="CB12" s="723"/>
      <c r="CC12" s="62" t="s">
        <v>193</v>
      </c>
      <c r="CD12" s="62" t="s">
        <v>194</v>
      </c>
      <c r="CE12" s="62" t="s">
        <v>298</v>
      </c>
      <c r="CF12" s="407" t="s">
        <v>296</v>
      </c>
      <c r="CG12" s="102" t="s">
        <v>295</v>
      </c>
    </row>
    <row r="13" spans="1:86" x14ac:dyDescent="0.2">
      <c r="A13" s="551">
        <v>1</v>
      </c>
      <c r="B13" s="552"/>
      <c r="C13" s="552"/>
      <c r="D13" s="553"/>
      <c r="E13" s="724" t="s">
        <v>119</v>
      </c>
      <c r="F13" s="725"/>
      <c r="G13" s="725"/>
      <c r="H13" s="725"/>
      <c r="I13" s="725"/>
      <c r="J13" s="725"/>
      <c r="K13" s="725"/>
      <c r="L13" s="725"/>
      <c r="M13" s="725"/>
      <c r="N13" s="725"/>
      <c r="O13" s="725"/>
      <c r="P13" s="725"/>
      <c r="Q13" s="725"/>
      <c r="R13" s="725"/>
      <c r="S13" s="725"/>
      <c r="T13" s="725"/>
      <c r="U13" s="725"/>
      <c r="V13" s="725"/>
      <c r="W13" s="725"/>
      <c r="X13" s="725"/>
      <c r="Y13" s="725"/>
      <c r="Z13" s="725"/>
      <c r="AA13" s="725"/>
      <c r="AB13" s="725"/>
      <c r="AC13" s="725"/>
      <c r="AD13" s="725"/>
      <c r="AE13" s="725"/>
      <c r="AF13" s="725"/>
      <c r="AG13" s="725"/>
      <c r="AH13" s="725"/>
      <c r="AI13" s="726"/>
      <c r="AJ13" s="512"/>
      <c r="AK13" s="513"/>
      <c r="AL13" s="513"/>
      <c r="AM13" s="513"/>
      <c r="AN13" s="513"/>
      <c r="AO13" s="513"/>
      <c r="AP13" s="513"/>
      <c r="AQ13" s="513"/>
      <c r="AR13" s="513"/>
      <c r="AS13" s="513"/>
      <c r="AT13" s="514"/>
      <c r="AU13" s="512"/>
      <c r="AV13" s="513"/>
      <c r="AW13" s="513"/>
      <c r="AX13" s="513"/>
      <c r="AY13" s="513"/>
      <c r="AZ13" s="513"/>
      <c r="BA13" s="513"/>
      <c r="BB13" s="513"/>
      <c r="BC13" s="513"/>
      <c r="BD13" s="514"/>
      <c r="BE13" s="512"/>
      <c r="BF13" s="513"/>
      <c r="BG13" s="513"/>
      <c r="BH13" s="513"/>
      <c r="BI13" s="513"/>
      <c r="BJ13" s="513"/>
      <c r="BK13" s="513"/>
      <c r="BL13" s="513"/>
      <c r="BM13" s="513"/>
      <c r="BN13" s="513"/>
      <c r="BO13" s="514"/>
      <c r="BP13" s="538">
        <f>1038952.88</f>
        <v>1038952.88</v>
      </c>
      <c r="BQ13" s="539"/>
      <c r="BR13" s="539"/>
      <c r="BS13" s="539"/>
      <c r="BT13" s="539"/>
      <c r="BU13" s="539"/>
      <c r="BV13" s="539"/>
      <c r="BW13" s="539"/>
      <c r="BX13" s="539"/>
      <c r="BY13" s="539"/>
      <c r="BZ13" s="539"/>
      <c r="CA13" s="539"/>
      <c r="CB13" s="607"/>
      <c r="CC13" s="64">
        <f>840000+198952.88</f>
        <v>1038952.88</v>
      </c>
      <c r="CD13" s="64">
        <f>321800.9+264364.37+193183.97+181940.04</f>
        <v>961289.28</v>
      </c>
      <c r="CE13" s="64">
        <f>CC13-CD13</f>
        <v>77663.599999999977</v>
      </c>
      <c r="CF13" s="408">
        <f>BP13-CC13</f>
        <v>0</v>
      </c>
      <c r="CG13" s="102"/>
    </row>
    <row r="14" spans="1:86" s="66" customFormat="1" x14ac:dyDescent="0.2">
      <c r="A14" s="714">
        <v>2</v>
      </c>
      <c r="B14" s="715"/>
      <c r="C14" s="715"/>
      <c r="D14" s="716"/>
      <c r="E14" s="717" t="s">
        <v>120</v>
      </c>
      <c r="F14" s="718"/>
      <c r="G14" s="718"/>
      <c r="H14" s="718"/>
      <c r="I14" s="718"/>
      <c r="J14" s="718"/>
      <c r="K14" s="718"/>
      <c r="L14" s="718"/>
      <c r="M14" s="718"/>
      <c r="N14" s="718"/>
      <c r="O14" s="718"/>
      <c r="P14" s="718"/>
      <c r="Q14" s="718"/>
      <c r="R14" s="718"/>
      <c r="S14" s="718"/>
      <c r="T14" s="718"/>
      <c r="U14" s="718"/>
      <c r="V14" s="718"/>
      <c r="W14" s="718"/>
      <c r="X14" s="718"/>
      <c r="Y14" s="718"/>
      <c r="Z14" s="718"/>
      <c r="AA14" s="718"/>
      <c r="AB14" s="718"/>
      <c r="AC14" s="718"/>
      <c r="AD14" s="718"/>
      <c r="AE14" s="718"/>
      <c r="AF14" s="718"/>
      <c r="AG14" s="718"/>
      <c r="AH14" s="718"/>
      <c r="AI14" s="719"/>
      <c r="AJ14" s="720"/>
      <c r="AK14" s="721"/>
      <c r="AL14" s="721"/>
      <c r="AM14" s="721"/>
      <c r="AN14" s="721"/>
      <c r="AO14" s="721"/>
      <c r="AP14" s="721"/>
      <c r="AQ14" s="721"/>
      <c r="AR14" s="721"/>
      <c r="AS14" s="721"/>
      <c r="AT14" s="722"/>
      <c r="AU14" s="720"/>
      <c r="AV14" s="721"/>
      <c r="AW14" s="721"/>
      <c r="AX14" s="721"/>
      <c r="AY14" s="721"/>
      <c r="AZ14" s="721"/>
      <c r="BA14" s="721"/>
      <c r="BB14" s="721"/>
      <c r="BC14" s="721"/>
      <c r="BD14" s="722"/>
      <c r="BE14" s="720"/>
      <c r="BF14" s="721"/>
      <c r="BG14" s="721"/>
      <c r="BH14" s="721"/>
      <c r="BI14" s="721"/>
      <c r="BJ14" s="721"/>
      <c r="BK14" s="721"/>
      <c r="BL14" s="721"/>
      <c r="BM14" s="721"/>
      <c r="BN14" s="721"/>
      <c r="BO14" s="722"/>
      <c r="BP14" s="708">
        <f>1094250.27</f>
        <v>1094250.27</v>
      </c>
      <c r="BQ14" s="709"/>
      <c r="BR14" s="709"/>
      <c r="BS14" s="709"/>
      <c r="BT14" s="709"/>
      <c r="BU14" s="709"/>
      <c r="BV14" s="709"/>
      <c r="BW14" s="709"/>
      <c r="BX14" s="709"/>
      <c r="BY14" s="709"/>
      <c r="BZ14" s="709"/>
      <c r="CA14" s="709"/>
      <c r="CB14" s="710"/>
      <c r="CC14" s="65">
        <v>1050000</v>
      </c>
      <c r="CD14" s="65">
        <f>99387.29+97788.02+97531.6+95614.3+84628.02+53737.42</f>
        <v>528686.65</v>
      </c>
      <c r="CE14" s="64">
        <f>CC14-CD14</f>
        <v>521313.35</v>
      </c>
      <c r="CF14" s="408">
        <f>BP14-CC14</f>
        <v>44250.270000000019</v>
      </c>
      <c r="CG14" s="195"/>
      <c r="CH14" s="388"/>
    </row>
    <row r="15" spans="1:86" x14ac:dyDescent="0.2">
      <c r="A15" s="551">
        <v>3</v>
      </c>
      <c r="B15" s="552"/>
      <c r="C15" s="552"/>
      <c r="D15" s="553"/>
      <c r="E15" s="506" t="s">
        <v>121</v>
      </c>
      <c r="F15" s="507"/>
      <c r="G15" s="507"/>
      <c r="H15" s="507"/>
      <c r="I15" s="507"/>
      <c r="J15" s="507"/>
      <c r="K15" s="507"/>
      <c r="L15" s="507"/>
      <c r="M15" s="507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8"/>
      <c r="AJ15" s="582"/>
      <c r="AK15" s="583"/>
      <c r="AL15" s="583"/>
      <c r="AM15" s="583"/>
      <c r="AN15" s="583"/>
      <c r="AO15" s="583"/>
      <c r="AP15" s="583"/>
      <c r="AQ15" s="583"/>
      <c r="AR15" s="583"/>
      <c r="AS15" s="583"/>
      <c r="AT15" s="759"/>
      <c r="AU15" s="582"/>
      <c r="AV15" s="583"/>
      <c r="AW15" s="583"/>
      <c r="AX15" s="583"/>
      <c r="AY15" s="583"/>
      <c r="AZ15" s="583"/>
      <c r="BA15" s="583"/>
      <c r="BB15" s="583"/>
      <c r="BC15" s="583"/>
      <c r="BD15" s="759"/>
      <c r="BE15" s="582"/>
      <c r="BF15" s="583"/>
      <c r="BG15" s="583"/>
      <c r="BH15" s="583"/>
      <c r="BI15" s="583"/>
      <c r="BJ15" s="583"/>
      <c r="BK15" s="583"/>
      <c r="BL15" s="583"/>
      <c r="BM15" s="583"/>
      <c r="BN15" s="583"/>
      <c r="BO15" s="759"/>
      <c r="BP15" s="538">
        <f>319990.42</f>
        <v>319990.42</v>
      </c>
      <c r="BQ15" s="539"/>
      <c r="BR15" s="539"/>
      <c r="BS15" s="539"/>
      <c r="BT15" s="539"/>
      <c r="BU15" s="539"/>
      <c r="BV15" s="539"/>
      <c r="BW15" s="539"/>
      <c r="BX15" s="539"/>
      <c r="BY15" s="539"/>
      <c r="BZ15" s="539"/>
      <c r="CA15" s="539"/>
      <c r="CB15" s="607"/>
      <c r="CC15" s="64">
        <f>300000</f>
        <v>300000</v>
      </c>
      <c r="CD15" s="64">
        <f>23419.2+5430.46+21020.16+4874.16+8185.42+35300.16+3178.8+34614.72+8026.48+5298+5721.84+7390.72+31872.96+27074.88+6278.14+3602.62+27611.13+6436.43+2183.78</f>
        <v>267520.06000000006</v>
      </c>
      <c r="CE15" s="64">
        <f>CC15-CD15</f>
        <v>32479.939999999944</v>
      </c>
      <c r="CF15" s="408">
        <f>BP15-CC15</f>
        <v>19990.419999999984</v>
      </c>
      <c r="CG15" s="102"/>
    </row>
    <row r="16" spans="1:86" s="155" customFormat="1" x14ac:dyDescent="0.2">
      <c r="A16" s="597"/>
      <c r="B16" s="598"/>
      <c r="C16" s="598"/>
      <c r="D16" s="599"/>
      <c r="E16" s="593" t="s">
        <v>10</v>
      </c>
      <c r="F16" s="594"/>
      <c r="G16" s="594"/>
      <c r="H16" s="594"/>
      <c r="I16" s="594"/>
      <c r="J16" s="594"/>
      <c r="K16" s="594"/>
      <c r="L16" s="594"/>
      <c r="M16" s="594"/>
      <c r="N16" s="594"/>
      <c r="O16" s="594"/>
      <c r="P16" s="594"/>
      <c r="Q16" s="594"/>
      <c r="R16" s="594"/>
      <c r="S16" s="594"/>
      <c r="T16" s="594"/>
      <c r="U16" s="594"/>
      <c r="V16" s="594"/>
      <c r="W16" s="594"/>
      <c r="X16" s="594"/>
      <c r="Y16" s="594"/>
      <c r="Z16" s="594"/>
      <c r="AA16" s="594"/>
      <c r="AB16" s="594"/>
      <c r="AC16" s="594"/>
      <c r="AD16" s="594"/>
      <c r="AE16" s="594"/>
      <c r="AF16" s="594"/>
      <c r="AG16" s="594"/>
      <c r="AH16" s="594"/>
      <c r="AI16" s="595"/>
      <c r="AJ16" s="528" t="s">
        <v>11</v>
      </c>
      <c r="AK16" s="529"/>
      <c r="AL16" s="529"/>
      <c r="AM16" s="529"/>
      <c r="AN16" s="529"/>
      <c r="AO16" s="529"/>
      <c r="AP16" s="529"/>
      <c r="AQ16" s="529"/>
      <c r="AR16" s="529"/>
      <c r="AS16" s="529"/>
      <c r="AT16" s="530"/>
      <c r="AU16" s="528" t="s">
        <v>11</v>
      </c>
      <c r="AV16" s="529"/>
      <c r="AW16" s="529"/>
      <c r="AX16" s="529"/>
      <c r="AY16" s="529"/>
      <c r="AZ16" s="529"/>
      <c r="BA16" s="529"/>
      <c r="BB16" s="529"/>
      <c r="BC16" s="529"/>
      <c r="BD16" s="530"/>
      <c r="BE16" s="528" t="s">
        <v>11</v>
      </c>
      <c r="BF16" s="529"/>
      <c r="BG16" s="529"/>
      <c r="BH16" s="529"/>
      <c r="BI16" s="529"/>
      <c r="BJ16" s="529"/>
      <c r="BK16" s="529"/>
      <c r="BL16" s="529"/>
      <c r="BM16" s="529"/>
      <c r="BN16" s="529"/>
      <c r="BO16" s="530"/>
      <c r="BP16" s="541">
        <f>BP13+BP14+BP15</f>
        <v>2453193.5699999998</v>
      </c>
      <c r="BQ16" s="542"/>
      <c r="BR16" s="542"/>
      <c r="BS16" s="542"/>
      <c r="BT16" s="542"/>
      <c r="BU16" s="542"/>
      <c r="BV16" s="542"/>
      <c r="BW16" s="542"/>
      <c r="BX16" s="542"/>
      <c r="BY16" s="542"/>
      <c r="BZ16" s="542"/>
      <c r="CA16" s="542"/>
      <c r="CB16" s="542"/>
      <c r="CC16" s="158" t="s">
        <v>463</v>
      </c>
      <c r="CD16" s="158">
        <f>CD14+Лист3!CC100</f>
        <v>528686.65</v>
      </c>
      <c r="CE16" s="158"/>
      <c r="CF16" s="441"/>
      <c r="CG16" s="159"/>
    </row>
    <row r="17" spans="1:85" s="6" customFormat="1" ht="9.75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117"/>
      <c r="CD17" s="117"/>
      <c r="CE17" s="117"/>
      <c r="CF17" s="405"/>
      <c r="CG17" s="118"/>
    </row>
    <row r="18" spans="1:85" s="3" customFormat="1" ht="15.75" x14ac:dyDescent="0.25">
      <c r="A18" s="3" t="s">
        <v>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727" t="s">
        <v>131</v>
      </c>
      <c r="T18" s="727"/>
      <c r="U18" s="727"/>
      <c r="V18" s="727"/>
      <c r="W18" s="727"/>
      <c r="X18" s="727"/>
      <c r="Y18" s="727"/>
      <c r="Z18" s="727"/>
      <c r="AA18" s="727"/>
      <c r="AB18" s="727"/>
      <c r="AC18" s="727"/>
      <c r="AD18" s="727"/>
      <c r="AE18" s="727"/>
      <c r="AF18" s="727"/>
      <c r="AG18" s="727"/>
      <c r="AH18" s="727"/>
      <c r="AI18" s="727"/>
      <c r="AJ18" s="727"/>
      <c r="AK18" s="727"/>
      <c r="AL18" s="727"/>
      <c r="AM18" s="727"/>
      <c r="AN18" s="727"/>
      <c r="AO18" s="727"/>
      <c r="AP18" s="727"/>
      <c r="AQ18" s="727"/>
      <c r="AR18" s="727"/>
      <c r="AS18" s="727"/>
      <c r="AT18" s="727"/>
      <c r="AU18" s="727"/>
      <c r="AV18" s="727"/>
      <c r="AW18" s="727"/>
      <c r="AX18" s="727"/>
      <c r="AY18" s="727"/>
      <c r="AZ18" s="727"/>
      <c r="BA18" s="727"/>
      <c r="BB18" s="727"/>
      <c r="BC18" s="727"/>
      <c r="BD18" s="727"/>
      <c r="BE18" s="727"/>
      <c r="BF18" s="727"/>
      <c r="BG18" s="727"/>
      <c r="BH18" s="727"/>
      <c r="BI18" s="727"/>
      <c r="BJ18" s="727"/>
      <c r="BK18" s="727"/>
      <c r="BL18" s="727"/>
      <c r="BM18" s="727"/>
      <c r="BN18" s="727"/>
      <c r="BO18" s="727"/>
      <c r="BP18" s="727"/>
      <c r="BQ18" s="727"/>
      <c r="BR18" s="727"/>
      <c r="BS18" s="727"/>
      <c r="BT18" s="727"/>
      <c r="BU18" s="727"/>
      <c r="BV18" s="727"/>
      <c r="BW18" s="727"/>
      <c r="BX18" s="727"/>
      <c r="BY18" s="727"/>
      <c r="BZ18" s="727"/>
      <c r="CA18" s="727"/>
      <c r="CB18" s="727"/>
      <c r="CC18" s="115"/>
      <c r="CD18" s="115"/>
      <c r="CE18" s="115"/>
      <c r="CF18" s="404"/>
      <c r="CG18" s="119"/>
    </row>
    <row r="19" spans="1:85" s="6" customFormat="1" ht="9.75" x14ac:dyDescent="0.2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117"/>
      <c r="CD19" s="117"/>
      <c r="CE19" s="117"/>
      <c r="CF19" s="405"/>
      <c r="CG19" s="118"/>
    </row>
    <row r="20" spans="1:85" s="3" customFormat="1" ht="29.25" customHeight="1" x14ac:dyDescent="0.25">
      <c r="A20" s="3" t="s">
        <v>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728" t="s">
        <v>129</v>
      </c>
      <c r="AI20" s="728"/>
      <c r="AJ20" s="728"/>
      <c r="AK20" s="728"/>
      <c r="AL20" s="728"/>
      <c r="AM20" s="728"/>
      <c r="AN20" s="728"/>
      <c r="AO20" s="728"/>
      <c r="AP20" s="728"/>
      <c r="AQ20" s="728"/>
      <c r="AR20" s="728"/>
      <c r="AS20" s="728"/>
      <c r="AT20" s="728"/>
      <c r="AU20" s="728"/>
      <c r="AV20" s="728"/>
      <c r="AW20" s="728"/>
      <c r="AX20" s="728"/>
      <c r="AY20" s="728"/>
      <c r="AZ20" s="728"/>
      <c r="BA20" s="728"/>
      <c r="BB20" s="728"/>
      <c r="BC20" s="728"/>
      <c r="BD20" s="728"/>
      <c r="BE20" s="728"/>
      <c r="BF20" s="728"/>
      <c r="BG20" s="728"/>
      <c r="BH20" s="728"/>
      <c r="BI20" s="728"/>
      <c r="BJ20" s="728"/>
      <c r="BK20" s="728"/>
      <c r="BL20" s="728"/>
      <c r="BM20" s="728"/>
      <c r="BN20" s="728"/>
      <c r="BO20" s="728"/>
      <c r="BP20" s="728"/>
      <c r="BQ20" s="728"/>
      <c r="BR20" s="728"/>
      <c r="BS20" s="728"/>
      <c r="BT20" s="728"/>
      <c r="BU20" s="728"/>
      <c r="BV20" s="728"/>
      <c r="BW20" s="728"/>
      <c r="BX20" s="728"/>
      <c r="BY20" s="728"/>
      <c r="BZ20" s="728"/>
      <c r="CA20" s="728"/>
      <c r="CB20" s="728"/>
      <c r="CC20" s="115"/>
      <c r="CD20" s="115"/>
      <c r="CE20" s="115"/>
      <c r="CF20" s="404"/>
      <c r="CG20" s="119"/>
    </row>
    <row r="21" spans="1:85" s="3" customFormat="1" ht="15.75" x14ac:dyDescent="0.25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5"/>
      <c r="CD21" s="115"/>
      <c r="CE21" s="115"/>
      <c r="CF21" s="404"/>
      <c r="CG21" s="119"/>
    </row>
    <row r="22" spans="1:85" s="3" customFormat="1" ht="15.75" x14ac:dyDescent="0.25">
      <c r="A22" s="518" t="s">
        <v>320</v>
      </c>
      <c r="B22" s="518"/>
      <c r="C22" s="518"/>
      <c r="D22" s="518"/>
      <c r="E22" s="518"/>
      <c r="F22" s="518"/>
      <c r="G22" s="518"/>
      <c r="H22" s="518"/>
      <c r="I22" s="518"/>
      <c r="J22" s="518"/>
      <c r="K22" s="518"/>
      <c r="L22" s="518"/>
      <c r="M22" s="518"/>
      <c r="N22" s="518"/>
      <c r="O22" s="518"/>
      <c r="P22" s="518"/>
      <c r="Q22" s="518"/>
      <c r="R22" s="518"/>
      <c r="S22" s="518"/>
      <c r="T22" s="518"/>
      <c r="U22" s="518"/>
      <c r="V22" s="518"/>
      <c r="W22" s="518"/>
      <c r="X22" s="518"/>
      <c r="Y22" s="518"/>
      <c r="Z22" s="518"/>
      <c r="AA22" s="518"/>
      <c r="AB22" s="518"/>
      <c r="AC22" s="518"/>
      <c r="AD22" s="518"/>
      <c r="AE22" s="518"/>
      <c r="AF22" s="518"/>
      <c r="AG22" s="518"/>
      <c r="AH22" s="518"/>
      <c r="AI22" s="518"/>
      <c r="AJ22" s="518"/>
      <c r="AK22" s="518"/>
      <c r="AL22" s="518"/>
      <c r="AM22" s="518"/>
      <c r="AN22" s="518"/>
      <c r="AO22" s="518"/>
      <c r="AP22" s="518"/>
      <c r="AQ22" s="518"/>
      <c r="AR22" s="518"/>
      <c r="AS22" s="518"/>
      <c r="AT22" s="518"/>
      <c r="AU22" s="518"/>
      <c r="AV22" s="518"/>
      <c r="AW22" s="518"/>
      <c r="AX22" s="518"/>
      <c r="AY22" s="518"/>
      <c r="AZ22" s="518"/>
      <c r="BA22" s="518"/>
      <c r="BB22" s="518"/>
      <c r="BC22" s="518"/>
      <c r="BD22" s="518"/>
      <c r="BE22" s="518"/>
      <c r="BF22" s="518"/>
      <c r="BG22" s="518"/>
      <c r="BH22" s="518"/>
      <c r="BI22" s="518"/>
      <c r="BJ22" s="518"/>
      <c r="BK22" s="518"/>
      <c r="BL22" s="518"/>
      <c r="BM22" s="518"/>
      <c r="BN22" s="518"/>
      <c r="BO22" s="518"/>
      <c r="BP22" s="518"/>
      <c r="BQ22" s="518"/>
      <c r="BR22" s="518"/>
      <c r="BS22" s="518"/>
      <c r="BT22" s="518"/>
      <c r="BU22" s="518"/>
      <c r="BV22" s="518"/>
      <c r="BW22" s="518"/>
      <c r="BX22" s="518"/>
      <c r="BY22" s="518"/>
      <c r="BZ22" s="518"/>
      <c r="CA22" s="518"/>
      <c r="CB22" s="518"/>
      <c r="CC22" s="115"/>
      <c r="CD22" s="115"/>
      <c r="CE22" s="115"/>
      <c r="CF22" s="404"/>
      <c r="CG22" s="119"/>
    </row>
    <row r="23" spans="1:85" x14ac:dyDescent="0.2">
      <c r="CC23" s="41"/>
      <c r="CD23" s="41"/>
      <c r="CE23" s="41"/>
      <c r="CF23" s="406"/>
      <c r="CG23" s="27"/>
    </row>
    <row r="24" spans="1:85" x14ac:dyDescent="0.2">
      <c r="A24" s="519" t="s">
        <v>5</v>
      </c>
      <c r="B24" s="520"/>
      <c r="C24" s="520"/>
      <c r="D24" s="523"/>
      <c r="E24" s="519" t="s">
        <v>13</v>
      </c>
      <c r="F24" s="520"/>
      <c r="G24" s="520"/>
      <c r="H24" s="520"/>
      <c r="I24" s="520"/>
      <c r="J24" s="520"/>
      <c r="K24" s="520"/>
      <c r="L24" s="520"/>
      <c r="M24" s="520"/>
      <c r="N24" s="520"/>
      <c r="O24" s="520"/>
      <c r="P24" s="520"/>
      <c r="Q24" s="520"/>
      <c r="R24" s="520"/>
      <c r="S24" s="520"/>
      <c r="T24" s="520"/>
      <c r="U24" s="520"/>
      <c r="V24" s="520"/>
      <c r="W24" s="520"/>
      <c r="X24" s="520"/>
      <c r="Y24" s="520"/>
      <c r="Z24" s="520"/>
      <c r="AA24" s="520"/>
      <c r="AB24" s="520"/>
      <c r="AC24" s="520"/>
      <c r="AD24" s="520"/>
      <c r="AE24" s="520"/>
      <c r="AF24" s="520"/>
      <c r="AG24" s="520"/>
      <c r="AH24" s="520"/>
      <c r="AI24" s="523"/>
      <c r="AJ24" s="519" t="s">
        <v>18</v>
      </c>
      <c r="AK24" s="520"/>
      <c r="AL24" s="520"/>
      <c r="AM24" s="520"/>
      <c r="AN24" s="520"/>
      <c r="AO24" s="520"/>
      <c r="AP24" s="520"/>
      <c r="AQ24" s="520"/>
      <c r="AR24" s="520"/>
      <c r="AS24" s="520"/>
      <c r="AT24" s="523"/>
      <c r="AU24" s="519" t="s">
        <v>18</v>
      </c>
      <c r="AV24" s="520"/>
      <c r="AW24" s="520"/>
      <c r="AX24" s="520"/>
      <c r="AY24" s="520"/>
      <c r="AZ24" s="520"/>
      <c r="BA24" s="520"/>
      <c r="BB24" s="520"/>
      <c r="BC24" s="520"/>
      <c r="BD24" s="523"/>
      <c r="BE24" s="519" t="s">
        <v>83</v>
      </c>
      <c r="BF24" s="520"/>
      <c r="BG24" s="520"/>
      <c r="BH24" s="520"/>
      <c r="BI24" s="520"/>
      <c r="BJ24" s="520"/>
      <c r="BK24" s="520"/>
      <c r="BL24" s="520"/>
      <c r="BM24" s="520"/>
      <c r="BN24" s="520"/>
      <c r="BO24" s="523"/>
      <c r="BP24" s="519" t="s">
        <v>22</v>
      </c>
      <c r="BQ24" s="520"/>
      <c r="BR24" s="520"/>
      <c r="BS24" s="520"/>
      <c r="BT24" s="520"/>
      <c r="BU24" s="520"/>
      <c r="BV24" s="520"/>
      <c r="BW24" s="520"/>
      <c r="BX24" s="520"/>
      <c r="BY24" s="520"/>
      <c r="BZ24" s="520"/>
      <c r="CA24" s="520"/>
      <c r="CB24" s="520"/>
      <c r="CC24" s="41"/>
      <c r="CD24" s="41"/>
      <c r="CE24" s="41"/>
      <c r="CF24" s="406"/>
      <c r="CG24" s="27"/>
    </row>
    <row r="25" spans="1:85" x14ac:dyDescent="0.2">
      <c r="A25" s="521" t="s">
        <v>6</v>
      </c>
      <c r="B25" s="522"/>
      <c r="C25" s="522"/>
      <c r="D25" s="537"/>
      <c r="E25" s="521"/>
      <c r="F25" s="522"/>
      <c r="G25" s="522"/>
      <c r="H25" s="522"/>
      <c r="I25" s="522"/>
      <c r="J25" s="522"/>
      <c r="K25" s="522"/>
      <c r="L25" s="522"/>
      <c r="M25" s="522"/>
      <c r="N25" s="522"/>
      <c r="O25" s="522"/>
      <c r="P25" s="522"/>
      <c r="Q25" s="522"/>
      <c r="R25" s="522"/>
      <c r="S25" s="522"/>
      <c r="T25" s="522"/>
      <c r="U25" s="522"/>
      <c r="V25" s="522"/>
      <c r="W25" s="522"/>
      <c r="X25" s="522"/>
      <c r="Y25" s="522"/>
      <c r="Z25" s="522"/>
      <c r="AA25" s="522"/>
      <c r="AB25" s="522"/>
      <c r="AC25" s="522"/>
      <c r="AD25" s="522"/>
      <c r="AE25" s="522"/>
      <c r="AF25" s="522"/>
      <c r="AG25" s="522"/>
      <c r="AH25" s="522"/>
      <c r="AI25" s="537"/>
      <c r="AJ25" s="521" t="s">
        <v>80</v>
      </c>
      <c r="AK25" s="522"/>
      <c r="AL25" s="522"/>
      <c r="AM25" s="522"/>
      <c r="AN25" s="522"/>
      <c r="AO25" s="522"/>
      <c r="AP25" s="522"/>
      <c r="AQ25" s="522"/>
      <c r="AR25" s="522"/>
      <c r="AS25" s="522"/>
      <c r="AT25" s="537"/>
      <c r="AU25" s="521" t="s">
        <v>82</v>
      </c>
      <c r="AV25" s="522"/>
      <c r="AW25" s="522"/>
      <c r="AX25" s="522"/>
      <c r="AY25" s="522"/>
      <c r="AZ25" s="522"/>
      <c r="BA25" s="522"/>
      <c r="BB25" s="522"/>
      <c r="BC25" s="522"/>
      <c r="BD25" s="537"/>
      <c r="BE25" s="521" t="s">
        <v>84</v>
      </c>
      <c r="BF25" s="522"/>
      <c r="BG25" s="522"/>
      <c r="BH25" s="522"/>
      <c r="BI25" s="522"/>
      <c r="BJ25" s="522"/>
      <c r="BK25" s="522"/>
      <c r="BL25" s="522"/>
      <c r="BM25" s="522"/>
      <c r="BN25" s="522"/>
      <c r="BO25" s="537"/>
      <c r="BP25" s="521" t="s">
        <v>88</v>
      </c>
      <c r="BQ25" s="522"/>
      <c r="BR25" s="522"/>
      <c r="BS25" s="522"/>
      <c r="BT25" s="522"/>
      <c r="BU25" s="522"/>
      <c r="BV25" s="522"/>
      <c r="BW25" s="522"/>
      <c r="BX25" s="522"/>
      <c r="BY25" s="522"/>
      <c r="BZ25" s="522"/>
      <c r="CA25" s="522"/>
      <c r="CB25" s="522"/>
      <c r="CC25" s="41"/>
      <c r="CD25" s="41"/>
      <c r="CE25" s="41"/>
      <c r="CF25" s="406"/>
      <c r="CG25" s="27"/>
    </row>
    <row r="26" spans="1:85" x14ac:dyDescent="0.2">
      <c r="A26" s="521"/>
      <c r="B26" s="522"/>
      <c r="C26" s="522"/>
      <c r="D26" s="537"/>
      <c r="E26" s="521"/>
      <c r="F26" s="522"/>
      <c r="G26" s="522"/>
      <c r="H26" s="522"/>
      <c r="I26" s="522"/>
      <c r="J26" s="522"/>
      <c r="K26" s="522"/>
      <c r="L26" s="522"/>
      <c r="M26" s="522"/>
      <c r="N26" s="522"/>
      <c r="O26" s="522"/>
      <c r="P26" s="522"/>
      <c r="Q26" s="522"/>
      <c r="R26" s="522"/>
      <c r="S26" s="522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522"/>
      <c r="AF26" s="522"/>
      <c r="AG26" s="522"/>
      <c r="AH26" s="522"/>
      <c r="AI26" s="537"/>
      <c r="AJ26" s="521"/>
      <c r="AK26" s="522"/>
      <c r="AL26" s="522"/>
      <c r="AM26" s="522"/>
      <c r="AN26" s="522"/>
      <c r="AO26" s="522"/>
      <c r="AP26" s="522"/>
      <c r="AQ26" s="522"/>
      <c r="AR26" s="522"/>
      <c r="AS26" s="522"/>
      <c r="AT26" s="537"/>
      <c r="AU26" s="521" t="s">
        <v>81</v>
      </c>
      <c r="AV26" s="522"/>
      <c r="AW26" s="522"/>
      <c r="AX26" s="522"/>
      <c r="AY26" s="522"/>
      <c r="AZ26" s="522"/>
      <c r="BA26" s="522"/>
      <c r="BB26" s="522"/>
      <c r="BC26" s="522"/>
      <c r="BD26" s="537"/>
      <c r="BE26" s="521" t="s">
        <v>17</v>
      </c>
      <c r="BF26" s="522"/>
      <c r="BG26" s="522"/>
      <c r="BH26" s="522"/>
      <c r="BI26" s="522"/>
      <c r="BJ26" s="522"/>
      <c r="BK26" s="522"/>
      <c r="BL26" s="522"/>
      <c r="BM26" s="522"/>
      <c r="BN26" s="522"/>
      <c r="BO26" s="537"/>
      <c r="BP26" s="521"/>
      <c r="BQ26" s="522"/>
      <c r="BR26" s="522"/>
      <c r="BS26" s="522"/>
      <c r="BT26" s="522"/>
      <c r="BU26" s="522"/>
      <c r="BV26" s="522"/>
      <c r="BW26" s="522"/>
      <c r="BX26" s="522"/>
      <c r="BY26" s="522"/>
      <c r="BZ26" s="522"/>
      <c r="CA26" s="522"/>
      <c r="CB26" s="522"/>
      <c r="CC26" s="41"/>
      <c r="CD26" s="41"/>
      <c r="CE26" s="41"/>
      <c r="CF26" s="406"/>
      <c r="CG26" s="27"/>
    </row>
    <row r="27" spans="1:85" x14ac:dyDescent="0.2">
      <c r="A27" s="531"/>
      <c r="B27" s="532"/>
      <c r="C27" s="532"/>
      <c r="D27" s="533"/>
      <c r="E27" s="531"/>
      <c r="F27" s="532"/>
      <c r="G27" s="532"/>
      <c r="H27" s="532"/>
      <c r="I27" s="532"/>
      <c r="J27" s="532"/>
      <c r="K27" s="532"/>
      <c r="L27" s="532"/>
      <c r="M27" s="532"/>
      <c r="N27" s="532"/>
      <c r="O27" s="532"/>
      <c r="P27" s="532"/>
      <c r="Q27" s="532"/>
      <c r="R27" s="532"/>
      <c r="S27" s="532"/>
      <c r="T27" s="532"/>
      <c r="U27" s="532"/>
      <c r="V27" s="532"/>
      <c r="W27" s="532"/>
      <c r="X27" s="532"/>
      <c r="Y27" s="532"/>
      <c r="Z27" s="532"/>
      <c r="AA27" s="532"/>
      <c r="AB27" s="532"/>
      <c r="AC27" s="532"/>
      <c r="AD27" s="532"/>
      <c r="AE27" s="532"/>
      <c r="AF27" s="532"/>
      <c r="AG27" s="532"/>
      <c r="AH27" s="532"/>
      <c r="AI27" s="533"/>
      <c r="AJ27" s="531"/>
      <c r="AK27" s="532"/>
      <c r="AL27" s="532"/>
      <c r="AM27" s="532"/>
      <c r="AN27" s="532"/>
      <c r="AO27" s="532"/>
      <c r="AP27" s="532"/>
      <c r="AQ27" s="532"/>
      <c r="AR27" s="532"/>
      <c r="AS27" s="532"/>
      <c r="AT27" s="533"/>
      <c r="AU27" s="531"/>
      <c r="AV27" s="532"/>
      <c r="AW27" s="532"/>
      <c r="AX27" s="532"/>
      <c r="AY27" s="532"/>
      <c r="AZ27" s="532"/>
      <c r="BA27" s="532"/>
      <c r="BB27" s="532"/>
      <c r="BC27" s="532"/>
      <c r="BD27" s="533"/>
      <c r="BE27" s="531"/>
      <c r="BF27" s="532"/>
      <c r="BG27" s="532"/>
      <c r="BH27" s="532"/>
      <c r="BI27" s="532"/>
      <c r="BJ27" s="532"/>
      <c r="BK27" s="532"/>
      <c r="BL27" s="532"/>
      <c r="BM27" s="532"/>
      <c r="BN27" s="532"/>
      <c r="BO27" s="533"/>
      <c r="BP27" s="531"/>
      <c r="BQ27" s="532"/>
      <c r="BR27" s="532"/>
      <c r="BS27" s="532"/>
      <c r="BT27" s="532"/>
      <c r="BU27" s="532"/>
      <c r="BV27" s="532"/>
      <c r="BW27" s="532"/>
      <c r="BX27" s="532"/>
      <c r="BY27" s="532"/>
      <c r="BZ27" s="532"/>
      <c r="CA27" s="532"/>
      <c r="CB27" s="532"/>
      <c r="CC27" s="41"/>
      <c r="CD27" s="41"/>
      <c r="CE27" s="41"/>
      <c r="CF27" s="406"/>
      <c r="CG27" s="27"/>
    </row>
    <row r="28" spans="1:85" ht="15.75" x14ac:dyDescent="0.25">
      <c r="A28" s="531">
        <v>1</v>
      </c>
      <c r="B28" s="532"/>
      <c r="C28" s="532"/>
      <c r="D28" s="533"/>
      <c r="E28" s="531">
        <v>2</v>
      </c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2"/>
      <c r="AA28" s="532"/>
      <c r="AB28" s="532"/>
      <c r="AC28" s="532"/>
      <c r="AD28" s="532"/>
      <c r="AE28" s="532"/>
      <c r="AF28" s="532"/>
      <c r="AG28" s="532"/>
      <c r="AH28" s="532"/>
      <c r="AI28" s="533"/>
      <c r="AJ28" s="531">
        <v>3</v>
      </c>
      <c r="AK28" s="532"/>
      <c r="AL28" s="532"/>
      <c r="AM28" s="532"/>
      <c r="AN28" s="532"/>
      <c r="AO28" s="532"/>
      <c r="AP28" s="532"/>
      <c r="AQ28" s="532"/>
      <c r="AR28" s="532"/>
      <c r="AS28" s="532"/>
      <c r="AT28" s="533"/>
      <c r="AU28" s="531">
        <v>4</v>
      </c>
      <c r="AV28" s="532"/>
      <c r="AW28" s="532"/>
      <c r="AX28" s="532"/>
      <c r="AY28" s="532"/>
      <c r="AZ28" s="532"/>
      <c r="BA28" s="532"/>
      <c r="BB28" s="532"/>
      <c r="BC28" s="532"/>
      <c r="BD28" s="533"/>
      <c r="BE28" s="531">
        <v>5</v>
      </c>
      <c r="BF28" s="532"/>
      <c r="BG28" s="532"/>
      <c r="BH28" s="532"/>
      <c r="BI28" s="532"/>
      <c r="BJ28" s="532"/>
      <c r="BK28" s="532"/>
      <c r="BL28" s="532"/>
      <c r="BM28" s="532"/>
      <c r="BN28" s="532"/>
      <c r="BO28" s="533"/>
      <c r="BP28" s="531">
        <v>6</v>
      </c>
      <c r="BQ28" s="532"/>
      <c r="BR28" s="532"/>
      <c r="BS28" s="532"/>
      <c r="BT28" s="532"/>
      <c r="BU28" s="532"/>
      <c r="BV28" s="532"/>
      <c r="BW28" s="532"/>
      <c r="BX28" s="532"/>
      <c r="BY28" s="532"/>
      <c r="BZ28" s="532"/>
      <c r="CA28" s="532"/>
      <c r="CB28" s="533"/>
      <c r="CC28" s="62" t="s">
        <v>193</v>
      </c>
      <c r="CD28" s="62" t="s">
        <v>194</v>
      </c>
      <c r="CE28" s="62" t="s">
        <v>298</v>
      </c>
      <c r="CF28" s="407" t="s">
        <v>296</v>
      </c>
    </row>
    <row r="29" spans="1:85" ht="29.25" customHeight="1" x14ac:dyDescent="0.2">
      <c r="A29" s="551">
        <v>1</v>
      </c>
      <c r="B29" s="552"/>
      <c r="C29" s="552"/>
      <c r="D29" s="553"/>
      <c r="E29" s="724" t="s">
        <v>117</v>
      </c>
      <c r="F29" s="725"/>
      <c r="G29" s="725"/>
      <c r="H29" s="725"/>
      <c r="I29" s="725"/>
      <c r="J29" s="725"/>
      <c r="K29" s="725"/>
      <c r="L29" s="725"/>
      <c r="M29" s="725"/>
      <c r="N29" s="725"/>
      <c r="O29" s="725"/>
      <c r="P29" s="725"/>
      <c r="Q29" s="725"/>
      <c r="R29" s="725"/>
      <c r="S29" s="725"/>
      <c r="T29" s="725"/>
      <c r="U29" s="725"/>
      <c r="V29" s="725"/>
      <c r="W29" s="725"/>
      <c r="X29" s="725"/>
      <c r="Y29" s="725"/>
      <c r="Z29" s="725"/>
      <c r="AA29" s="725"/>
      <c r="AB29" s="725"/>
      <c r="AC29" s="725"/>
      <c r="AD29" s="725"/>
      <c r="AE29" s="725"/>
      <c r="AF29" s="725"/>
      <c r="AG29" s="725"/>
      <c r="AH29" s="725"/>
      <c r="AI29" s="726"/>
      <c r="AJ29" s="512"/>
      <c r="AK29" s="513"/>
      <c r="AL29" s="513"/>
      <c r="AM29" s="513"/>
      <c r="AN29" s="513"/>
      <c r="AO29" s="513"/>
      <c r="AP29" s="513"/>
      <c r="AQ29" s="513"/>
      <c r="AR29" s="513"/>
      <c r="AS29" s="513"/>
      <c r="AT29" s="514"/>
      <c r="AU29" s="512"/>
      <c r="AV29" s="513"/>
      <c r="AW29" s="513"/>
      <c r="AX29" s="513"/>
      <c r="AY29" s="513"/>
      <c r="AZ29" s="513"/>
      <c r="BA29" s="513"/>
      <c r="BB29" s="513"/>
      <c r="BC29" s="513"/>
      <c r="BD29" s="514"/>
      <c r="BE29" s="512"/>
      <c r="BF29" s="513"/>
      <c r="BG29" s="513"/>
      <c r="BH29" s="513"/>
      <c r="BI29" s="513"/>
      <c r="BJ29" s="513"/>
      <c r="BK29" s="513"/>
      <c r="BL29" s="513"/>
      <c r="BM29" s="513"/>
      <c r="BN29" s="513"/>
      <c r="BO29" s="514"/>
      <c r="BP29" s="538">
        <f>8500</f>
        <v>8500</v>
      </c>
      <c r="BQ29" s="539"/>
      <c r="BR29" s="539"/>
      <c r="BS29" s="539"/>
      <c r="BT29" s="539"/>
      <c r="BU29" s="539"/>
      <c r="BV29" s="539"/>
      <c r="BW29" s="539"/>
      <c r="BX29" s="539"/>
      <c r="BY29" s="539"/>
      <c r="BZ29" s="539"/>
      <c r="CA29" s="539"/>
      <c r="CB29" s="607"/>
      <c r="CC29" s="64">
        <v>8352</v>
      </c>
      <c r="CD29" s="64">
        <f>696+696+696+696+696+696</f>
        <v>4176</v>
      </c>
      <c r="CE29" s="64">
        <f>CC29-CD29</f>
        <v>4176</v>
      </c>
      <c r="CF29" s="408">
        <f>BP29-CC29</f>
        <v>148</v>
      </c>
    </row>
    <row r="30" spans="1:85" s="66" customFormat="1" x14ac:dyDescent="0.2">
      <c r="A30" s="714">
        <v>2</v>
      </c>
      <c r="B30" s="715"/>
      <c r="C30" s="715"/>
      <c r="D30" s="716"/>
      <c r="E30" s="717" t="s">
        <v>118</v>
      </c>
      <c r="F30" s="718"/>
      <c r="G30" s="718"/>
      <c r="H30" s="718"/>
      <c r="I30" s="718"/>
      <c r="J30" s="718"/>
      <c r="K30" s="718"/>
      <c r="L30" s="718"/>
      <c r="M30" s="718"/>
      <c r="N30" s="718"/>
      <c r="O30" s="718"/>
      <c r="P30" s="718"/>
      <c r="Q30" s="718"/>
      <c r="R30" s="718"/>
      <c r="S30" s="718"/>
      <c r="T30" s="718"/>
      <c r="U30" s="718"/>
      <c r="V30" s="718"/>
      <c r="W30" s="718"/>
      <c r="X30" s="718"/>
      <c r="Y30" s="718"/>
      <c r="Z30" s="718"/>
      <c r="AA30" s="718"/>
      <c r="AB30" s="718"/>
      <c r="AC30" s="718"/>
      <c r="AD30" s="718"/>
      <c r="AE30" s="718"/>
      <c r="AF30" s="718"/>
      <c r="AG30" s="718"/>
      <c r="AH30" s="718"/>
      <c r="AI30" s="719"/>
      <c r="AJ30" s="720"/>
      <c r="AK30" s="721"/>
      <c r="AL30" s="721"/>
      <c r="AM30" s="721"/>
      <c r="AN30" s="721"/>
      <c r="AO30" s="721"/>
      <c r="AP30" s="721"/>
      <c r="AQ30" s="721"/>
      <c r="AR30" s="721"/>
      <c r="AS30" s="721"/>
      <c r="AT30" s="722"/>
      <c r="AU30" s="720"/>
      <c r="AV30" s="721"/>
      <c r="AW30" s="721"/>
      <c r="AX30" s="721"/>
      <c r="AY30" s="721"/>
      <c r="AZ30" s="721"/>
      <c r="BA30" s="721"/>
      <c r="BB30" s="721"/>
      <c r="BC30" s="721"/>
      <c r="BD30" s="722"/>
      <c r="BE30" s="720"/>
      <c r="BF30" s="721"/>
      <c r="BG30" s="721"/>
      <c r="BH30" s="721"/>
      <c r="BI30" s="721"/>
      <c r="BJ30" s="721"/>
      <c r="BK30" s="721"/>
      <c r="BL30" s="721"/>
      <c r="BM30" s="721"/>
      <c r="BN30" s="721"/>
      <c r="BO30" s="722"/>
      <c r="BP30" s="708"/>
      <c r="BQ30" s="709"/>
      <c r="BR30" s="709"/>
      <c r="BS30" s="709"/>
      <c r="BT30" s="709"/>
      <c r="BU30" s="709"/>
      <c r="BV30" s="709"/>
      <c r="BW30" s="709"/>
      <c r="BX30" s="709"/>
      <c r="BY30" s="709"/>
      <c r="BZ30" s="709"/>
      <c r="CA30" s="709"/>
      <c r="CB30" s="710"/>
      <c r="CC30" s="65"/>
      <c r="CD30" s="65"/>
      <c r="CE30" s="64">
        <f>CC30-CD30</f>
        <v>0</v>
      </c>
      <c r="CF30" s="408">
        <f>BP30-CC30</f>
        <v>0</v>
      </c>
    </row>
    <row r="31" spans="1:85" s="155" customFormat="1" x14ac:dyDescent="0.2">
      <c r="A31" s="597"/>
      <c r="B31" s="598"/>
      <c r="C31" s="598"/>
      <c r="D31" s="599"/>
      <c r="E31" s="593" t="s">
        <v>10</v>
      </c>
      <c r="F31" s="594"/>
      <c r="G31" s="594"/>
      <c r="H31" s="594"/>
      <c r="I31" s="594"/>
      <c r="J31" s="594"/>
      <c r="K31" s="594"/>
      <c r="L31" s="594"/>
      <c r="M31" s="594"/>
      <c r="N31" s="594"/>
      <c r="O31" s="594"/>
      <c r="P31" s="594"/>
      <c r="Q31" s="594"/>
      <c r="R31" s="594"/>
      <c r="S31" s="594"/>
      <c r="T31" s="594"/>
      <c r="U31" s="594"/>
      <c r="V31" s="594"/>
      <c r="W31" s="594"/>
      <c r="X31" s="594"/>
      <c r="Y31" s="594"/>
      <c r="Z31" s="594"/>
      <c r="AA31" s="594"/>
      <c r="AB31" s="594"/>
      <c r="AC31" s="594"/>
      <c r="AD31" s="594"/>
      <c r="AE31" s="594"/>
      <c r="AF31" s="594"/>
      <c r="AG31" s="594"/>
      <c r="AH31" s="594"/>
      <c r="AI31" s="595"/>
      <c r="AJ31" s="528" t="s">
        <v>11</v>
      </c>
      <c r="AK31" s="529"/>
      <c r="AL31" s="529"/>
      <c r="AM31" s="529"/>
      <c r="AN31" s="529"/>
      <c r="AO31" s="529"/>
      <c r="AP31" s="529"/>
      <c r="AQ31" s="529"/>
      <c r="AR31" s="529"/>
      <c r="AS31" s="529"/>
      <c r="AT31" s="530"/>
      <c r="AU31" s="528" t="s">
        <v>11</v>
      </c>
      <c r="AV31" s="529"/>
      <c r="AW31" s="529"/>
      <c r="AX31" s="529"/>
      <c r="AY31" s="529"/>
      <c r="AZ31" s="529"/>
      <c r="BA31" s="529"/>
      <c r="BB31" s="529"/>
      <c r="BC31" s="529"/>
      <c r="BD31" s="530"/>
      <c r="BE31" s="528" t="s">
        <v>11</v>
      </c>
      <c r="BF31" s="529"/>
      <c r="BG31" s="529"/>
      <c r="BH31" s="529"/>
      <c r="BI31" s="529"/>
      <c r="BJ31" s="529"/>
      <c r="BK31" s="529"/>
      <c r="BL31" s="529"/>
      <c r="BM31" s="529"/>
      <c r="BN31" s="529"/>
      <c r="BO31" s="530"/>
      <c r="BP31" s="541">
        <f>BP29+BP30</f>
        <v>8500</v>
      </c>
      <c r="BQ31" s="542"/>
      <c r="BR31" s="542"/>
      <c r="BS31" s="542"/>
      <c r="BT31" s="542"/>
      <c r="BU31" s="542"/>
      <c r="BV31" s="542"/>
      <c r="BW31" s="542"/>
      <c r="BX31" s="542"/>
      <c r="BY31" s="542"/>
      <c r="BZ31" s="542"/>
      <c r="CA31" s="542"/>
      <c r="CB31" s="542"/>
      <c r="CC31" s="158"/>
      <c r="CD31" s="158"/>
      <c r="CE31" s="158"/>
      <c r="CF31" s="409">
        <f>CC31-CD31</f>
        <v>0</v>
      </c>
      <c r="CG31" s="159"/>
    </row>
    <row r="32" spans="1:85" s="1" customFormat="1" ht="15.75" x14ac:dyDescent="0.25">
      <c r="CC32" s="47"/>
      <c r="CD32" s="47"/>
      <c r="CE32" s="47"/>
      <c r="CF32" s="406"/>
      <c r="CG32" s="134"/>
    </row>
    <row r="33" spans="1:85" s="3" customFormat="1" ht="15.75" hidden="1" x14ac:dyDescent="0.25">
      <c r="A33" s="518" t="s">
        <v>89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Q33" s="518"/>
      <c r="R33" s="518"/>
      <c r="S33" s="518"/>
      <c r="T33" s="518"/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E33" s="518"/>
      <c r="AF33" s="518"/>
      <c r="AG33" s="518"/>
      <c r="AH33" s="518"/>
      <c r="AI33" s="518"/>
      <c r="AJ33" s="518"/>
      <c r="AK33" s="518"/>
      <c r="AL33" s="518"/>
      <c r="AM33" s="518"/>
      <c r="AN33" s="518"/>
      <c r="AO33" s="518"/>
      <c r="AP33" s="518"/>
      <c r="AQ33" s="518"/>
      <c r="AR33" s="518"/>
      <c r="AS33" s="518"/>
      <c r="AT33" s="518"/>
      <c r="AU33" s="518"/>
      <c r="AV33" s="518"/>
      <c r="AW33" s="518"/>
      <c r="AX33" s="518"/>
      <c r="AY33" s="518"/>
      <c r="AZ33" s="518"/>
      <c r="BA33" s="518"/>
      <c r="BB33" s="518"/>
      <c r="BC33" s="518"/>
      <c r="BD33" s="518"/>
      <c r="BE33" s="518"/>
      <c r="BF33" s="518"/>
      <c r="BG33" s="518"/>
      <c r="BH33" s="518"/>
      <c r="BI33" s="518"/>
      <c r="BJ33" s="518"/>
      <c r="BK33" s="518"/>
      <c r="BL33" s="518"/>
      <c r="BM33" s="518"/>
      <c r="BN33" s="518"/>
      <c r="BO33" s="518"/>
      <c r="BP33" s="518"/>
      <c r="BQ33" s="518"/>
      <c r="BR33" s="518"/>
      <c r="BS33" s="518"/>
      <c r="BT33" s="518"/>
      <c r="BU33" s="518"/>
      <c r="BV33" s="518"/>
      <c r="BW33" s="518"/>
      <c r="BX33" s="518"/>
      <c r="BY33" s="518"/>
      <c r="BZ33" s="518"/>
      <c r="CA33" s="518"/>
      <c r="CB33" s="518"/>
      <c r="CC33" s="115"/>
      <c r="CD33" s="115"/>
      <c r="CE33" s="115"/>
      <c r="CF33" s="406"/>
      <c r="CG33" s="119"/>
    </row>
    <row r="34" spans="1:85" hidden="1" x14ac:dyDescent="0.2">
      <c r="CC34" s="41"/>
      <c r="CD34" s="41"/>
      <c r="CE34" s="41"/>
      <c r="CF34" s="406"/>
      <c r="CG34" s="27"/>
    </row>
    <row r="35" spans="1:85" hidden="1" x14ac:dyDescent="0.2">
      <c r="A35" s="519" t="s">
        <v>5</v>
      </c>
      <c r="B35" s="520"/>
      <c r="C35" s="520"/>
      <c r="D35" s="523"/>
      <c r="E35" s="519" t="s">
        <v>13</v>
      </c>
      <c r="F35" s="520"/>
      <c r="G35" s="520"/>
      <c r="H35" s="520"/>
      <c r="I35" s="520"/>
      <c r="J35" s="520"/>
      <c r="K35" s="520"/>
      <c r="L35" s="520"/>
      <c r="M35" s="520"/>
      <c r="N35" s="520"/>
      <c r="O35" s="520"/>
      <c r="P35" s="520"/>
      <c r="Q35" s="520"/>
      <c r="R35" s="520"/>
      <c r="S35" s="520"/>
      <c r="T35" s="520"/>
      <c r="U35" s="520"/>
      <c r="V35" s="520"/>
      <c r="W35" s="520"/>
      <c r="X35" s="520"/>
      <c r="Y35" s="520"/>
      <c r="Z35" s="520"/>
      <c r="AA35" s="520"/>
      <c r="AB35" s="520"/>
      <c r="AC35" s="520"/>
      <c r="AD35" s="520"/>
      <c r="AE35" s="520"/>
      <c r="AF35" s="520"/>
      <c r="AG35" s="520"/>
      <c r="AH35" s="520"/>
      <c r="AI35" s="520"/>
      <c r="AJ35" s="520"/>
      <c r="AK35" s="520"/>
      <c r="AL35" s="520"/>
      <c r="AM35" s="523"/>
      <c r="AN35" s="519" t="s">
        <v>18</v>
      </c>
      <c r="AO35" s="520"/>
      <c r="AP35" s="520"/>
      <c r="AQ35" s="520"/>
      <c r="AR35" s="520"/>
      <c r="AS35" s="520"/>
      <c r="AT35" s="520"/>
      <c r="AU35" s="520"/>
      <c r="AV35" s="523"/>
      <c r="AW35" s="519" t="s">
        <v>87</v>
      </c>
      <c r="AX35" s="520"/>
      <c r="AY35" s="520"/>
      <c r="AZ35" s="520"/>
      <c r="BA35" s="520"/>
      <c r="BB35" s="520"/>
      <c r="BC35" s="520"/>
      <c r="BD35" s="520"/>
      <c r="BE35" s="520"/>
      <c r="BF35" s="520"/>
      <c r="BG35" s="520"/>
      <c r="BH35" s="520"/>
      <c r="BI35" s="523"/>
      <c r="BJ35" s="519" t="s">
        <v>22</v>
      </c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520"/>
      <c r="BY35" s="520"/>
      <c r="BZ35" s="520"/>
      <c r="CA35" s="520"/>
      <c r="CB35" s="520"/>
      <c r="CC35" s="41"/>
      <c r="CD35" s="41"/>
      <c r="CE35" s="41"/>
      <c r="CF35" s="406"/>
      <c r="CG35" s="27"/>
    </row>
    <row r="36" spans="1:85" hidden="1" x14ac:dyDescent="0.2">
      <c r="A36" s="521" t="s">
        <v>6</v>
      </c>
      <c r="B36" s="522"/>
      <c r="C36" s="522"/>
      <c r="D36" s="537"/>
      <c r="E36" s="521"/>
      <c r="F36" s="522"/>
      <c r="G36" s="522"/>
      <c r="H36" s="522"/>
      <c r="I36" s="522"/>
      <c r="J36" s="522"/>
      <c r="K36" s="522"/>
      <c r="L36" s="522"/>
      <c r="M36" s="522"/>
      <c r="N36" s="522"/>
      <c r="O36" s="522"/>
      <c r="P36" s="522"/>
      <c r="Q36" s="522"/>
      <c r="R36" s="522"/>
      <c r="S36" s="522"/>
      <c r="T36" s="522"/>
      <c r="U36" s="522"/>
      <c r="V36" s="522"/>
      <c r="W36" s="522"/>
      <c r="X36" s="522"/>
      <c r="Y36" s="522"/>
      <c r="Z36" s="522"/>
      <c r="AA36" s="522"/>
      <c r="AB36" s="522"/>
      <c r="AC36" s="522"/>
      <c r="AD36" s="522"/>
      <c r="AE36" s="522"/>
      <c r="AF36" s="522"/>
      <c r="AG36" s="522"/>
      <c r="AH36" s="522"/>
      <c r="AI36" s="522"/>
      <c r="AJ36" s="522"/>
      <c r="AK36" s="522"/>
      <c r="AL36" s="522"/>
      <c r="AM36" s="537"/>
      <c r="AN36" s="521" t="s">
        <v>85</v>
      </c>
      <c r="AO36" s="522"/>
      <c r="AP36" s="522"/>
      <c r="AQ36" s="522"/>
      <c r="AR36" s="522"/>
      <c r="AS36" s="522"/>
      <c r="AT36" s="522"/>
      <c r="AU36" s="522"/>
      <c r="AV36" s="537"/>
      <c r="AW36" s="521" t="s">
        <v>113</v>
      </c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37"/>
      <c r="BJ36" s="521" t="s">
        <v>77</v>
      </c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2"/>
      <c r="CA36" s="522"/>
      <c r="CB36" s="522"/>
      <c r="CC36" s="41"/>
      <c r="CD36" s="41"/>
      <c r="CE36" s="41"/>
      <c r="CF36" s="406"/>
      <c r="CG36" s="27"/>
    </row>
    <row r="37" spans="1:85" hidden="1" x14ac:dyDescent="0.2">
      <c r="A37" s="521"/>
      <c r="B37" s="522"/>
      <c r="C37" s="522"/>
      <c r="D37" s="537"/>
      <c r="E37" s="521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522"/>
      <c r="AE37" s="522"/>
      <c r="AF37" s="522"/>
      <c r="AG37" s="522"/>
      <c r="AH37" s="522"/>
      <c r="AI37" s="522"/>
      <c r="AJ37" s="522"/>
      <c r="AK37" s="522"/>
      <c r="AL37" s="522"/>
      <c r="AM37" s="537"/>
      <c r="AN37" s="521" t="s">
        <v>86</v>
      </c>
      <c r="AO37" s="522"/>
      <c r="AP37" s="522"/>
      <c r="AQ37" s="522"/>
      <c r="AR37" s="522"/>
      <c r="AS37" s="522"/>
      <c r="AT37" s="522"/>
      <c r="AU37" s="522"/>
      <c r="AV37" s="537"/>
      <c r="AW37" s="521" t="s">
        <v>17</v>
      </c>
      <c r="AX37" s="522"/>
      <c r="AY37" s="522"/>
      <c r="AZ37" s="522"/>
      <c r="BA37" s="522"/>
      <c r="BB37" s="522"/>
      <c r="BC37" s="522"/>
      <c r="BD37" s="522"/>
      <c r="BE37" s="522"/>
      <c r="BF37" s="522"/>
      <c r="BG37" s="522"/>
      <c r="BH37" s="522"/>
      <c r="BI37" s="537"/>
      <c r="BJ37" s="521"/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2"/>
      <c r="CA37" s="522"/>
      <c r="CB37" s="522"/>
      <c r="CC37" s="41"/>
      <c r="CD37" s="41"/>
      <c r="CE37" s="41"/>
      <c r="CF37" s="406"/>
      <c r="CG37" s="27"/>
    </row>
    <row r="38" spans="1:85" hidden="1" x14ac:dyDescent="0.2">
      <c r="A38" s="521"/>
      <c r="B38" s="522"/>
      <c r="C38" s="522"/>
      <c r="D38" s="537"/>
      <c r="E38" s="521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522"/>
      <c r="AE38" s="522"/>
      <c r="AF38" s="522"/>
      <c r="AG38" s="522"/>
      <c r="AH38" s="522"/>
      <c r="AI38" s="522"/>
      <c r="AJ38" s="522"/>
      <c r="AK38" s="522"/>
      <c r="AL38" s="522"/>
      <c r="AM38" s="537"/>
      <c r="AN38" s="521"/>
      <c r="AO38" s="522"/>
      <c r="AP38" s="522"/>
      <c r="AQ38" s="522"/>
      <c r="AR38" s="522"/>
      <c r="AS38" s="522"/>
      <c r="AT38" s="522"/>
      <c r="AU38" s="522"/>
      <c r="AV38" s="537"/>
      <c r="AW38" s="521"/>
      <c r="AX38" s="522"/>
      <c r="AY38" s="522"/>
      <c r="AZ38" s="522"/>
      <c r="BA38" s="522"/>
      <c r="BB38" s="522"/>
      <c r="BC38" s="522"/>
      <c r="BD38" s="522"/>
      <c r="BE38" s="522"/>
      <c r="BF38" s="522"/>
      <c r="BG38" s="522"/>
      <c r="BH38" s="522"/>
      <c r="BI38" s="537"/>
      <c r="BJ38" s="521"/>
      <c r="BK38" s="522"/>
      <c r="BL38" s="522"/>
      <c r="BM38" s="522"/>
      <c r="BN38" s="522"/>
      <c r="BO38" s="522"/>
      <c r="BP38" s="522"/>
      <c r="BQ38" s="522"/>
      <c r="BR38" s="522"/>
      <c r="BS38" s="522"/>
      <c r="BT38" s="522"/>
      <c r="BU38" s="522"/>
      <c r="BV38" s="522"/>
      <c r="BW38" s="522"/>
      <c r="BX38" s="522"/>
      <c r="BY38" s="522"/>
      <c r="BZ38" s="522"/>
      <c r="CA38" s="522"/>
      <c r="CB38" s="522"/>
      <c r="CC38" s="41"/>
      <c r="CD38" s="41"/>
      <c r="CE38" s="41"/>
      <c r="CF38" s="406"/>
      <c r="CG38" s="27"/>
    </row>
    <row r="39" spans="1:85" hidden="1" x14ac:dyDescent="0.2">
      <c r="A39" s="554">
        <v>1</v>
      </c>
      <c r="B39" s="555"/>
      <c r="C39" s="555"/>
      <c r="D39" s="556"/>
      <c r="E39" s="554">
        <v>2</v>
      </c>
      <c r="F39" s="555"/>
      <c r="G39" s="555"/>
      <c r="H39" s="555"/>
      <c r="I39" s="555"/>
      <c r="J39" s="555"/>
      <c r="K39" s="555"/>
      <c r="L39" s="555"/>
      <c r="M39" s="555"/>
      <c r="N39" s="555"/>
      <c r="O39" s="555"/>
      <c r="P39" s="555"/>
      <c r="Q39" s="555"/>
      <c r="R39" s="555"/>
      <c r="S39" s="555"/>
      <c r="T39" s="555"/>
      <c r="U39" s="555"/>
      <c r="V39" s="555"/>
      <c r="W39" s="555"/>
      <c r="X39" s="555"/>
      <c r="Y39" s="555"/>
      <c r="Z39" s="555"/>
      <c r="AA39" s="555"/>
      <c r="AB39" s="555"/>
      <c r="AC39" s="555"/>
      <c r="AD39" s="555"/>
      <c r="AE39" s="555"/>
      <c r="AF39" s="555"/>
      <c r="AG39" s="555"/>
      <c r="AH39" s="555"/>
      <c r="AI39" s="555"/>
      <c r="AJ39" s="555"/>
      <c r="AK39" s="555"/>
      <c r="AL39" s="555"/>
      <c r="AM39" s="556"/>
      <c r="AN39" s="554">
        <v>3</v>
      </c>
      <c r="AO39" s="555"/>
      <c r="AP39" s="555"/>
      <c r="AQ39" s="555"/>
      <c r="AR39" s="555"/>
      <c r="AS39" s="555"/>
      <c r="AT39" s="555"/>
      <c r="AU39" s="555"/>
      <c r="AV39" s="556"/>
      <c r="AW39" s="554">
        <v>4</v>
      </c>
      <c r="AX39" s="555"/>
      <c r="AY39" s="555"/>
      <c r="AZ39" s="555"/>
      <c r="BA39" s="555"/>
      <c r="BB39" s="555"/>
      <c r="BC39" s="555"/>
      <c r="BD39" s="555"/>
      <c r="BE39" s="555"/>
      <c r="BF39" s="555"/>
      <c r="BG39" s="555"/>
      <c r="BH39" s="555"/>
      <c r="BI39" s="556"/>
      <c r="BJ39" s="554">
        <v>5</v>
      </c>
      <c r="BK39" s="555"/>
      <c r="BL39" s="555"/>
      <c r="BM39" s="555"/>
      <c r="BN39" s="555"/>
      <c r="BO39" s="555"/>
      <c r="BP39" s="555"/>
      <c r="BQ39" s="555"/>
      <c r="BR39" s="555"/>
      <c r="BS39" s="555"/>
      <c r="BT39" s="555"/>
      <c r="BU39" s="555"/>
      <c r="BV39" s="555"/>
      <c r="BW39" s="555"/>
      <c r="BX39" s="555"/>
      <c r="BY39" s="555"/>
      <c r="BZ39" s="555"/>
      <c r="CA39" s="555"/>
      <c r="CB39" s="555"/>
      <c r="CC39" s="41"/>
      <c r="CD39" s="41"/>
      <c r="CE39" s="41"/>
      <c r="CF39" s="406"/>
      <c r="CG39" s="27"/>
    </row>
    <row r="40" spans="1:85" hidden="1" x14ac:dyDescent="0.2">
      <c r="A40" s="506"/>
      <c r="B40" s="507"/>
      <c r="C40" s="507"/>
      <c r="D40" s="508"/>
      <c r="E40" s="506"/>
      <c r="F40" s="507"/>
      <c r="G40" s="507"/>
      <c r="H40" s="507"/>
      <c r="I40" s="507"/>
      <c r="J40" s="507"/>
      <c r="K40" s="507"/>
      <c r="L40" s="507"/>
      <c r="M40" s="507"/>
      <c r="N40" s="507"/>
      <c r="O40" s="507"/>
      <c r="P40" s="507"/>
      <c r="Q40" s="507"/>
      <c r="R40" s="507"/>
      <c r="S40" s="507"/>
      <c r="T40" s="507"/>
      <c r="U40" s="507"/>
      <c r="V40" s="507"/>
      <c r="W40" s="507"/>
      <c r="X40" s="507"/>
      <c r="Y40" s="507"/>
      <c r="Z40" s="507"/>
      <c r="AA40" s="507"/>
      <c r="AB40" s="507"/>
      <c r="AC40" s="507"/>
      <c r="AD40" s="507"/>
      <c r="AE40" s="507"/>
      <c r="AF40" s="507"/>
      <c r="AG40" s="507"/>
      <c r="AH40" s="507"/>
      <c r="AI40" s="507"/>
      <c r="AJ40" s="507"/>
      <c r="AK40" s="507"/>
      <c r="AL40" s="507"/>
      <c r="AM40" s="508"/>
      <c r="AN40" s="577"/>
      <c r="AO40" s="578"/>
      <c r="AP40" s="578"/>
      <c r="AQ40" s="578"/>
      <c r="AR40" s="578"/>
      <c r="AS40" s="578"/>
      <c r="AT40" s="578"/>
      <c r="AU40" s="578"/>
      <c r="AV40" s="579"/>
      <c r="AW40" s="512"/>
      <c r="AX40" s="513"/>
      <c r="AY40" s="513"/>
      <c r="AZ40" s="513"/>
      <c r="BA40" s="513"/>
      <c r="BB40" s="513"/>
      <c r="BC40" s="513"/>
      <c r="BD40" s="513"/>
      <c r="BE40" s="513"/>
      <c r="BF40" s="513"/>
      <c r="BG40" s="513"/>
      <c r="BH40" s="513"/>
      <c r="BI40" s="514"/>
      <c r="BJ40" s="512"/>
      <c r="BK40" s="513"/>
      <c r="BL40" s="513"/>
      <c r="BM40" s="513"/>
      <c r="BN40" s="513"/>
      <c r="BO40" s="513"/>
      <c r="BP40" s="513"/>
      <c r="BQ40" s="513"/>
      <c r="BR40" s="513"/>
      <c r="BS40" s="513"/>
      <c r="BT40" s="513"/>
      <c r="BU40" s="513"/>
      <c r="BV40" s="513"/>
      <c r="BW40" s="513"/>
      <c r="BX40" s="513"/>
      <c r="BY40" s="513"/>
      <c r="BZ40" s="513"/>
      <c r="CA40" s="513"/>
      <c r="CB40" s="513"/>
      <c r="CC40" s="41"/>
      <c r="CD40" s="41"/>
      <c r="CE40" s="41"/>
      <c r="CF40" s="406"/>
      <c r="CG40" s="27"/>
    </row>
    <row r="41" spans="1:85" hidden="1" x14ac:dyDescent="0.2">
      <c r="A41" s="506"/>
      <c r="B41" s="507"/>
      <c r="C41" s="507"/>
      <c r="D41" s="508"/>
      <c r="E41" s="506"/>
      <c r="F41" s="507"/>
      <c r="G41" s="507"/>
      <c r="H41" s="507"/>
      <c r="I41" s="507"/>
      <c r="J41" s="507"/>
      <c r="K41" s="507"/>
      <c r="L41" s="507"/>
      <c r="M41" s="507"/>
      <c r="N41" s="507"/>
      <c r="O41" s="507"/>
      <c r="P41" s="507"/>
      <c r="Q41" s="507"/>
      <c r="R41" s="507"/>
      <c r="S41" s="507"/>
      <c r="T41" s="507"/>
      <c r="U41" s="507"/>
      <c r="V41" s="507"/>
      <c r="W41" s="507"/>
      <c r="X41" s="507"/>
      <c r="Y41" s="507"/>
      <c r="Z41" s="507"/>
      <c r="AA41" s="507"/>
      <c r="AB41" s="507"/>
      <c r="AC41" s="507"/>
      <c r="AD41" s="507"/>
      <c r="AE41" s="507"/>
      <c r="AF41" s="507"/>
      <c r="AG41" s="507"/>
      <c r="AH41" s="507"/>
      <c r="AI41" s="507"/>
      <c r="AJ41" s="507"/>
      <c r="AK41" s="507"/>
      <c r="AL41" s="507"/>
      <c r="AM41" s="508"/>
      <c r="AN41" s="577"/>
      <c r="AO41" s="578"/>
      <c r="AP41" s="578"/>
      <c r="AQ41" s="578"/>
      <c r="AR41" s="578"/>
      <c r="AS41" s="578"/>
      <c r="AT41" s="578"/>
      <c r="AU41" s="578"/>
      <c r="AV41" s="579"/>
      <c r="AW41" s="512"/>
      <c r="AX41" s="513"/>
      <c r="AY41" s="513"/>
      <c r="AZ41" s="513"/>
      <c r="BA41" s="513"/>
      <c r="BB41" s="513"/>
      <c r="BC41" s="513"/>
      <c r="BD41" s="513"/>
      <c r="BE41" s="513"/>
      <c r="BF41" s="513"/>
      <c r="BG41" s="513"/>
      <c r="BH41" s="513"/>
      <c r="BI41" s="514"/>
      <c r="BJ41" s="512"/>
      <c r="BK41" s="513"/>
      <c r="BL41" s="513"/>
      <c r="BM41" s="513"/>
      <c r="BN41" s="513"/>
      <c r="BO41" s="513"/>
      <c r="BP41" s="513"/>
      <c r="BQ41" s="513"/>
      <c r="BR41" s="513"/>
      <c r="BS41" s="513"/>
      <c r="BT41" s="513"/>
      <c r="BU41" s="513"/>
      <c r="BV41" s="513"/>
      <c r="BW41" s="513"/>
      <c r="BX41" s="513"/>
      <c r="BY41" s="513"/>
      <c r="BZ41" s="513"/>
      <c r="CA41" s="513"/>
      <c r="CB41" s="513"/>
      <c r="CC41" s="41"/>
      <c r="CD41" s="41"/>
      <c r="CE41" s="41"/>
      <c r="CF41" s="406"/>
      <c r="CG41" s="27"/>
    </row>
    <row r="42" spans="1:85" hidden="1" x14ac:dyDescent="0.2">
      <c r="A42" s="506"/>
      <c r="B42" s="507"/>
      <c r="C42" s="507"/>
      <c r="D42" s="508"/>
      <c r="E42" s="577" t="s">
        <v>10</v>
      </c>
      <c r="F42" s="578"/>
      <c r="G42" s="578"/>
      <c r="H42" s="578"/>
      <c r="I42" s="578"/>
      <c r="J42" s="578"/>
      <c r="K42" s="578"/>
      <c r="L42" s="578"/>
      <c r="M42" s="578"/>
      <c r="N42" s="578"/>
      <c r="O42" s="578"/>
      <c r="P42" s="578"/>
      <c r="Q42" s="578"/>
      <c r="R42" s="578"/>
      <c r="S42" s="578"/>
      <c r="T42" s="578"/>
      <c r="U42" s="578"/>
      <c r="V42" s="578"/>
      <c r="W42" s="578"/>
      <c r="X42" s="578"/>
      <c r="Y42" s="578"/>
      <c r="Z42" s="578"/>
      <c r="AA42" s="578"/>
      <c r="AB42" s="578"/>
      <c r="AC42" s="578"/>
      <c r="AD42" s="578"/>
      <c r="AE42" s="578"/>
      <c r="AF42" s="578"/>
      <c r="AG42" s="578"/>
      <c r="AH42" s="578"/>
      <c r="AI42" s="578"/>
      <c r="AJ42" s="578"/>
      <c r="AK42" s="578"/>
      <c r="AL42" s="578"/>
      <c r="AM42" s="579"/>
      <c r="AN42" s="577"/>
      <c r="AO42" s="578"/>
      <c r="AP42" s="578"/>
      <c r="AQ42" s="578"/>
      <c r="AR42" s="578"/>
      <c r="AS42" s="578"/>
      <c r="AT42" s="578"/>
      <c r="AU42" s="578"/>
      <c r="AV42" s="579"/>
      <c r="AW42" s="577"/>
      <c r="AX42" s="578"/>
      <c r="AY42" s="578"/>
      <c r="AZ42" s="578"/>
      <c r="BA42" s="578"/>
      <c r="BB42" s="578"/>
      <c r="BC42" s="578"/>
      <c r="BD42" s="578"/>
      <c r="BE42" s="578"/>
      <c r="BF42" s="578"/>
      <c r="BG42" s="578"/>
      <c r="BH42" s="578"/>
      <c r="BI42" s="579"/>
      <c r="BJ42" s="512"/>
      <c r="BK42" s="513"/>
      <c r="BL42" s="513"/>
      <c r="BM42" s="513"/>
      <c r="BN42" s="513"/>
      <c r="BO42" s="513"/>
      <c r="BP42" s="513"/>
      <c r="BQ42" s="513"/>
      <c r="BR42" s="513"/>
      <c r="BS42" s="513"/>
      <c r="BT42" s="513"/>
      <c r="BU42" s="513"/>
      <c r="BV42" s="513"/>
      <c r="BW42" s="513"/>
      <c r="BX42" s="513"/>
      <c r="BY42" s="513"/>
      <c r="BZ42" s="513"/>
      <c r="CA42" s="513"/>
      <c r="CB42" s="513"/>
      <c r="CC42" s="41"/>
      <c r="CD42" s="41"/>
      <c r="CE42" s="41"/>
      <c r="CF42" s="406"/>
      <c r="CG42" s="27"/>
    </row>
    <row r="43" spans="1:85" s="3" customFormat="1" ht="15.75" x14ac:dyDescent="0.25">
      <c r="A43" s="518" t="s">
        <v>321</v>
      </c>
      <c r="B43" s="518"/>
      <c r="C43" s="518"/>
      <c r="D43" s="518"/>
      <c r="E43" s="518"/>
      <c r="F43" s="518"/>
      <c r="G43" s="518"/>
      <c r="H43" s="518"/>
      <c r="I43" s="518"/>
      <c r="J43" s="518"/>
      <c r="K43" s="518"/>
      <c r="L43" s="518"/>
      <c r="M43" s="518"/>
      <c r="N43" s="518"/>
      <c r="O43" s="518"/>
      <c r="P43" s="518"/>
      <c r="Q43" s="518"/>
      <c r="R43" s="518"/>
      <c r="S43" s="518"/>
      <c r="T43" s="518"/>
      <c r="U43" s="518"/>
      <c r="V43" s="518"/>
      <c r="W43" s="518"/>
      <c r="X43" s="518"/>
      <c r="Y43" s="518"/>
      <c r="Z43" s="518"/>
      <c r="AA43" s="518"/>
      <c r="AB43" s="518"/>
      <c r="AC43" s="518"/>
      <c r="AD43" s="518"/>
      <c r="AE43" s="518"/>
      <c r="AF43" s="518"/>
      <c r="AG43" s="518"/>
      <c r="AH43" s="518"/>
      <c r="AI43" s="518"/>
      <c r="AJ43" s="518"/>
      <c r="AK43" s="518"/>
      <c r="AL43" s="518"/>
      <c r="AM43" s="518"/>
      <c r="AN43" s="518"/>
      <c r="AO43" s="518"/>
      <c r="AP43" s="518"/>
      <c r="AQ43" s="518"/>
      <c r="AR43" s="518"/>
      <c r="AS43" s="518"/>
      <c r="AT43" s="518"/>
      <c r="AU43" s="518"/>
      <c r="AV43" s="518"/>
      <c r="AW43" s="518"/>
      <c r="AX43" s="518"/>
      <c r="AY43" s="518"/>
      <c r="AZ43" s="518"/>
      <c r="BA43" s="518"/>
      <c r="BB43" s="518"/>
      <c r="BC43" s="518"/>
      <c r="BD43" s="518"/>
      <c r="BE43" s="518"/>
      <c r="BF43" s="518"/>
      <c r="BG43" s="518"/>
      <c r="BH43" s="518"/>
      <c r="BI43" s="518"/>
      <c r="BJ43" s="518"/>
      <c r="BK43" s="518"/>
      <c r="BL43" s="518"/>
      <c r="BM43" s="518"/>
      <c r="BN43" s="518"/>
      <c r="BO43" s="518"/>
      <c r="BP43" s="518"/>
      <c r="BQ43" s="518"/>
      <c r="BR43" s="518"/>
      <c r="BS43" s="518"/>
      <c r="BT43" s="518"/>
      <c r="BU43" s="518"/>
      <c r="BV43" s="518"/>
      <c r="BW43" s="518"/>
      <c r="BX43" s="518"/>
      <c r="BY43" s="518"/>
      <c r="BZ43" s="518"/>
      <c r="CA43" s="518"/>
      <c r="CB43" s="518"/>
      <c r="CC43" s="115"/>
      <c r="CD43" s="115"/>
      <c r="CE43" s="115"/>
      <c r="CF43" s="406"/>
      <c r="CG43" s="119"/>
    </row>
    <row r="44" spans="1:85" x14ac:dyDescent="0.2">
      <c r="CC44" s="41"/>
      <c r="CD44" s="41"/>
      <c r="CE44" s="41"/>
      <c r="CF44" s="406"/>
      <c r="CG44" s="27"/>
    </row>
    <row r="45" spans="1:85" x14ac:dyDescent="0.2">
      <c r="A45" s="519" t="s">
        <v>5</v>
      </c>
      <c r="B45" s="520"/>
      <c r="C45" s="520"/>
      <c r="D45" s="523"/>
      <c r="E45" s="519" t="s">
        <v>63</v>
      </c>
      <c r="F45" s="520"/>
      <c r="G45" s="520"/>
      <c r="H45" s="520"/>
      <c r="I45" s="520"/>
      <c r="J45" s="520"/>
      <c r="K45" s="520"/>
      <c r="L45" s="520"/>
      <c r="M45" s="520"/>
      <c r="N45" s="520"/>
      <c r="O45" s="520"/>
      <c r="P45" s="520"/>
      <c r="Q45" s="520"/>
      <c r="R45" s="520"/>
      <c r="S45" s="520"/>
      <c r="T45" s="520"/>
      <c r="U45" s="520"/>
      <c r="V45" s="520"/>
      <c r="W45" s="520"/>
      <c r="X45" s="520"/>
      <c r="Y45" s="520"/>
      <c r="Z45" s="520"/>
      <c r="AA45" s="520"/>
      <c r="AB45" s="520"/>
      <c r="AC45" s="520"/>
      <c r="AD45" s="520"/>
      <c r="AE45" s="520"/>
      <c r="AF45" s="520"/>
      <c r="AG45" s="520"/>
      <c r="AH45" s="520"/>
      <c r="AI45" s="523"/>
      <c r="AJ45" s="519" t="s">
        <v>29</v>
      </c>
      <c r="AK45" s="520"/>
      <c r="AL45" s="520"/>
      <c r="AM45" s="520"/>
      <c r="AN45" s="520"/>
      <c r="AO45" s="520"/>
      <c r="AP45" s="520"/>
      <c r="AQ45" s="520"/>
      <c r="AR45" s="520"/>
      <c r="AS45" s="520"/>
      <c r="AT45" s="523"/>
      <c r="AU45" s="519" t="s">
        <v>92</v>
      </c>
      <c r="AV45" s="520"/>
      <c r="AW45" s="520"/>
      <c r="AX45" s="520"/>
      <c r="AY45" s="520"/>
      <c r="AZ45" s="520"/>
      <c r="BA45" s="520"/>
      <c r="BB45" s="520"/>
      <c r="BC45" s="520"/>
      <c r="BD45" s="523"/>
      <c r="BE45" s="519" t="s">
        <v>95</v>
      </c>
      <c r="BF45" s="520"/>
      <c r="BG45" s="520"/>
      <c r="BH45" s="520"/>
      <c r="BI45" s="520"/>
      <c r="BJ45" s="520"/>
      <c r="BK45" s="520"/>
      <c r="BL45" s="520"/>
      <c r="BM45" s="520"/>
      <c r="BN45" s="520"/>
      <c r="BO45" s="523"/>
      <c r="BP45" s="519" t="s">
        <v>22</v>
      </c>
      <c r="BQ45" s="520"/>
      <c r="BR45" s="520"/>
      <c r="BS45" s="520"/>
      <c r="BT45" s="520"/>
      <c r="BU45" s="520"/>
      <c r="BV45" s="520"/>
      <c r="BW45" s="520"/>
      <c r="BX45" s="520"/>
      <c r="BY45" s="520"/>
      <c r="BZ45" s="520"/>
      <c r="CA45" s="520"/>
      <c r="CB45" s="520"/>
      <c r="CC45" s="41"/>
      <c r="CD45" s="41"/>
      <c r="CE45" s="41"/>
      <c r="CF45" s="406"/>
      <c r="CG45" s="27"/>
    </row>
    <row r="46" spans="1:85" x14ac:dyDescent="0.2">
      <c r="A46" s="521" t="s">
        <v>6</v>
      </c>
      <c r="B46" s="522"/>
      <c r="C46" s="522"/>
      <c r="D46" s="537"/>
      <c r="E46" s="521"/>
      <c r="F46" s="522"/>
      <c r="G46" s="522"/>
      <c r="H46" s="522"/>
      <c r="I46" s="522"/>
      <c r="J46" s="522"/>
      <c r="K46" s="522"/>
      <c r="L46" s="522"/>
      <c r="M46" s="522"/>
      <c r="N46" s="522"/>
      <c r="O46" s="522"/>
      <c r="P46" s="522"/>
      <c r="Q46" s="522"/>
      <c r="R46" s="522"/>
      <c r="S46" s="522"/>
      <c r="T46" s="522"/>
      <c r="U46" s="522"/>
      <c r="V46" s="522"/>
      <c r="W46" s="522"/>
      <c r="X46" s="522"/>
      <c r="Y46" s="522"/>
      <c r="Z46" s="522"/>
      <c r="AA46" s="522"/>
      <c r="AB46" s="522"/>
      <c r="AC46" s="522"/>
      <c r="AD46" s="522"/>
      <c r="AE46" s="522"/>
      <c r="AF46" s="522"/>
      <c r="AG46" s="522"/>
      <c r="AH46" s="522"/>
      <c r="AI46" s="537"/>
      <c r="AJ46" s="521" t="s">
        <v>90</v>
      </c>
      <c r="AK46" s="522"/>
      <c r="AL46" s="522"/>
      <c r="AM46" s="522"/>
      <c r="AN46" s="522"/>
      <c r="AO46" s="522"/>
      <c r="AP46" s="522"/>
      <c r="AQ46" s="522"/>
      <c r="AR46" s="522"/>
      <c r="AS46" s="522"/>
      <c r="AT46" s="537"/>
      <c r="AU46" s="521" t="s">
        <v>93</v>
      </c>
      <c r="AV46" s="522"/>
      <c r="AW46" s="522"/>
      <c r="AX46" s="522"/>
      <c r="AY46" s="522"/>
      <c r="AZ46" s="522"/>
      <c r="BA46" s="522"/>
      <c r="BB46" s="522"/>
      <c r="BC46" s="522"/>
      <c r="BD46" s="537"/>
      <c r="BE46" s="521" t="s">
        <v>71</v>
      </c>
      <c r="BF46" s="522"/>
      <c r="BG46" s="522"/>
      <c r="BH46" s="522"/>
      <c r="BI46" s="522"/>
      <c r="BJ46" s="522"/>
      <c r="BK46" s="522"/>
      <c r="BL46" s="522"/>
      <c r="BM46" s="522"/>
      <c r="BN46" s="522"/>
      <c r="BO46" s="537"/>
      <c r="BP46" s="521" t="s">
        <v>114</v>
      </c>
      <c r="BQ46" s="522"/>
      <c r="BR46" s="522"/>
      <c r="BS46" s="522"/>
      <c r="BT46" s="522"/>
      <c r="BU46" s="522"/>
      <c r="BV46" s="522"/>
      <c r="BW46" s="522"/>
      <c r="BX46" s="522"/>
      <c r="BY46" s="522"/>
      <c r="BZ46" s="522"/>
      <c r="CA46" s="522"/>
      <c r="CB46" s="522"/>
      <c r="CC46" s="41"/>
      <c r="CD46" s="41"/>
      <c r="CE46" s="41"/>
      <c r="CF46" s="406"/>
      <c r="CG46" s="27"/>
    </row>
    <row r="47" spans="1:85" x14ac:dyDescent="0.2">
      <c r="A47" s="521"/>
      <c r="B47" s="522"/>
      <c r="C47" s="522"/>
      <c r="D47" s="537"/>
      <c r="E47" s="521"/>
      <c r="F47" s="522"/>
      <c r="G47" s="522"/>
      <c r="H47" s="522"/>
      <c r="I47" s="522"/>
      <c r="J47" s="522"/>
      <c r="K47" s="522"/>
      <c r="L47" s="522"/>
      <c r="M47" s="522"/>
      <c r="N47" s="522"/>
      <c r="O47" s="522"/>
      <c r="P47" s="522"/>
      <c r="Q47" s="522"/>
      <c r="R47" s="522"/>
      <c r="S47" s="522"/>
      <c r="T47" s="522"/>
      <c r="U47" s="522"/>
      <c r="V47" s="522"/>
      <c r="W47" s="522"/>
      <c r="X47" s="522"/>
      <c r="Y47" s="522"/>
      <c r="Z47" s="522"/>
      <c r="AA47" s="522"/>
      <c r="AB47" s="522"/>
      <c r="AC47" s="522"/>
      <c r="AD47" s="522"/>
      <c r="AE47" s="522"/>
      <c r="AF47" s="522"/>
      <c r="AG47" s="522"/>
      <c r="AH47" s="522"/>
      <c r="AI47" s="537"/>
      <c r="AJ47" s="521" t="s">
        <v>91</v>
      </c>
      <c r="AK47" s="522"/>
      <c r="AL47" s="522"/>
      <c r="AM47" s="522"/>
      <c r="AN47" s="522"/>
      <c r="AO47" s="522"/>
      <c r="AP47" s="522"/>
      <c r="AQ47" s="522"/>
      <c r="AR47" s="522"/>
      <c r="AS47" s="522"/>
      <c r="AT47" s="537"/>
      <c r="AU47" s="521" t="s">
        <v>94</v>
      </c>
      <c r="AV47" s="522"/>
      <c r="AW47" s="522"/>
      <c r="AX47" s="522"/>
      <c r="AY47" s="522"/>
      <c r="AZ47" s="522"/>
      <c r="BA47" s="522"/>
      <c r="BB47" s="522"/>
      <c r="BC47" s="522"/>
      <c r="BD47" s="537"/>
      <c r="BE47" s="521"/>
      <c r="BF47" s="522"/>
      <c r="BG47" s="522"/>
      <c r="BH47" s="522"/>
      <c r="BI47" s="522"/>
      <c r="BJ47" s="522"/>
      <c r="BK47" s="522"/>
      <c r="BL47" s="522"/>
      <c r="BM47" s="522"/>
      <c r="BN47" s="522"/>
      <c r="BO47" s="537"/>
      <c r="BP47" s="521"/>
      <c r="BQ47" s="522"/>
      <c r="BR47" s="522"/>
      <c r="BS47" s="522"/>
      <c r="BT47" s="522"/>
      <c r="BU47" s="522"/>
      <c r="BV47" s="522"/>
      <c r="BW47" s="522"/>
      <c r="BX47" s="522"/>
      <c r="BY47" s="522"/>
      <c r="BZ47" s="522"/>
      <c r="CA47" s="522"/>
      <c r="CB47" s="522"/>
      <c r="CC47" s="41"/>
      <c r="CD47" s="41"/>
      <c r="CE47" s="41"/>
      <c r="CF47" s="406"/>
      <c r="CG47" s="27"/>
    </row>
    <row r="48" spans="1:85" ht="15.75" x14ac:dyDescent="0.25">
      <c r="A48" s="531">
        <v>1</v>
      </c>
      <c r="B48" s="532"/>
      <c r="C48" s="532"/>
      <c r="D48" s="533"/>
      <c r="E48" s="723">
        <v>2</v>
      </c>
      <c r="F48" s="723"/>
      <c r="G48" s="723"/>
      <c r="H48" s="723"/>
      <c r="I48" s="723"/>
      <c r="J48" s="723"/>
      <c r="K48" s="723"/>
      <c r="L48" s="723"/>
      <c r="M48" s="723"/>
      <c r="N48" s="723"/>
      <c r="O48" s="723"/>
      <c r="P48" s="723"/>
      <c r="Q48" s="723"/>
      <c r="R48" s="723"/>
      <c r="S48" s="723"/>
      <c r="T48" s="723"/>
      <c r="U48" s="723"/>
      <c r="V48" s="723"/>
      <c r="W48" s="723"/>
      <c r="X48" s="723"/>
      <c r="Y48" s="723"/>
      <c r="Z48" s="723"/>
      <c r="AA48" s="723"/>
      <c r="AB48" s="723"/>
      <c r="AC48" s="723"/>
      <c r="AD48" s="723"/>
      <c r="AE48" s="723"/>
      <c r="AF48" s="723"/>
      <c r="AG48" s="723"/>
      <c r="AH48" s="723"/>
      <c r="AI48" s="723"/>
      <c r="AJ48" s="723">
        <v>4</v>
      </c>
      <c r="AK48" s="723"/>
      <c r="AL48" s="723"/>
      <c r="AM48" s="723"/>
      <c r="AN48" s="723"/>
      <c r="AO48" s="723"/>
      <c r="AP48" s="723"/>
      <c r="AQ48" s="723"/>
      <c r="AR48" s="723"/>
      <c r="AS48" s="723"/>
      <c r="AT48" s="723"/>
      <c r="AU48" s="723">
        <v>5</v>
      </c>
      <c r="AV48" s="723"/>
      <c r="AW48" s="723"/>
      <c r="AX48" s="723"/>
      <c r="AY48" s="723"/>
      <c r="AZ48" s="723"/>
      <c r="BA48" s="723"/>
      <c r="BB48" s="723"/>
      <c r="BC48" s="723"/>
      <c r="BD48" s="723"/>
      <c r="BE48" s="723">
        <v>6</v>
      </c>
      <c r="BF48" s="723"/>
      <c r="BG48" s="723"/>
      <c r="BH48" s="723"/>
      <c r="BI48" s="723"/>
      <c r="BJ48" s="723"/>
      <c r="BK48" s="723"/>
      <c r="BL48" s="723"/>
      <c r="BM48" s="723"/>
      <c r="BN48" s="723"/>
      <c r="BO48" s="723"/>
      <c r="BP48" s="723">
        <v>6</v>
      </c>
      <c r="BQ48" s="723"/>
      <c r="BR48" s="723"/>
      <c r="BS48" s="723"/>
      <c r="BT48" s="723"/>
      <c r="BU48" s="723"/>
      <c r="BV48" s="723"/>
      <c r="BW48" s="723"/>
      <c r="BX48" s="723"/>
      <c r="BY48" s="723"/>
      <c r="BZ48" s="723"/>
      <c r="CA48" s="723"/>
      <c r="CB48" s="723"/>
      <c r="CC48" s="62" t="s">
        <v>193</v>
      </c>
      <c r="CD48" s="62" t="s">
        <v>194</v>
      </c>
      <c r="CE48" s="62" t="s">
        <v>298</v>
      </c>
      <c r="CF48" s="407" t="s">
        <v>296</v>
      </c>
      <c r="CG48" s="102" t="s">
        <v>295</v>
      </c>
    </row>
    <row r="49" spans="1:85" x14ac:dyDescent="0.2">
      <c r="A49" s="557">
        <v>1</v>
      </c>
      <c r="B49" s="558"/>
      <c r="C49" s="558"/>
      <c r="D49" s="559"/>
      <c r="E49" s="562" t="s">
        <v>122</v>
      </c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  <c r="AC49" s="563"/>
      <c r="AD49" s="563"/>
      <c r="AE49" s="563"/>
      <c r="AF49" s="563"/>
      <c r="AG49" s="563"/>
      <c r="AH49" s="563"/>
      <c r="AI49" s="564"/>
      <c r="AJ49" s="753"/>
      <c r="AK49" s="754"/>
      <c r="AL49" s="754"/>
      <c r="AM49" s="754"/>
      <c r="AN49" s="754"/>
      <c r="AO49" s="754"/>
      <c r="AP49" s="754"/>
      <c r="AQ49" s="754"/>
      <c r="AR49" s="754"/>
      <c r="AS49" s="754"/>
      <c r="AT49" s="755"/>
      <c r="AU49" s="753"/>
      <c r="AV49" s="754"/>
      <c r="AW49" s="754"/>
      <c r="AX49" s="754"/>
      <c r="AY49" s="754"/>
      <c r="AZ49" s="754"/>
      <c r="BA49" s="754"/>
      <c r="BB49" s="754"/>
      <c r="BC49" s="754"/>
      <c r="BD49" s="755"/>
      <c r="BE49" s="753"/>
      <c r="BF49" s="754"/>
      <c r="BG49" s="754"/>
      <c r="BH49" s="754"/>
      <c r="BI49" s="754"/>
      <c r="BJ49" s="754"/>
      <c r="BK49" s="754"/>
      <c r="BL49" s="754"/>
      <c r="BM49" s="754"/>
      <c r="BN49" s="754"/>
      <c r="BO49" s="755"/>
      <c r="BP49" s="756">
        <f>124620.66</f>
        <v>124620.66</v>
      </c>
      <c r="BQ49" s="757"/>
      <c r="BR49" s="757"/>
      <c r="BS49" s="757"/>
      <c r="BT49" s="757"/>
      <c r="BU49" s="757"/>
      <c r="BV49" s="757"/>
      <c r="BW49" s="757"/>
      <c r="BX49" s="757"/>
      <c r="BY49" s="757"/>
      <c r="BZ49" s="757"/>
      <c r="CA49" s="757"/>
      <c r="CB49" s="758"/>
      <c r="CC49" s="64">
        <f>124620.66</f>
        <v>124620.66</v>
      </c>
      <c r="CD49" s="64">
        <f>13196.59+13196.59+13196.59+13196.59+13196.59+3299.66</f>
        <v>69282.61</v>
      </c>
      <c r="CE49" s="64">
        <f>CC49-CD49</f>
        <v>55338.05</v>
      </c>
      <c r="CF49" s="408">
        <f>BP49-CC49</f>
        <v>0</v>
      </c>
      <c r="CG49" s="102"/>
    </row>
    <row r="50" spans="1:85" s="155" customFormat="1" x14ac:dyDescent="0.2">
      <c r="A50" s="597"/>
      <c r="B50" s="598"/>
      <c r="C50" s="598"/>
      <c r="D50" s="599"/>
      <c r="E50" s="593" t="s">
        <v>10</v>
      </c>
      <c r="F50" s="594"/>
      <c r="G50" s="594"/>
      <c r="H50" s="594"/>
      <c r="I50" s="594"/>
      <c r="J50" s="594"/>
      <c r="K50" s="594"/>
      <c r="L50" s="594"/>
      <c r="M50" s="594"/>
      <c r="N50" s="594"/>
      <c r="O50" s="594"/>
      <c r="P50" s="594"/>
      <c r="Q50" s="594"/>
      <c r="R50" s="594"/>
      <c r="S50" s="594"/>
      <c r="T50" s="594"/>
      <c r="U50" s="594"/>
      <c r="V50" s="594"/>
      <c r="W50" s="594"/>
      <c r="X50" s="594"/>
      <c r="Y50" s="594"/>
      <c r="Z50" s="594"/>
      <c r="AA50" s="594"/>
      <c r="AB50" s="594"/>
      <c r="AC50" s="594"/>
      <c r="AD50" s="594"/>
      <c r="AE50" s="594"/>
      <c r="AF50" s="594"/>
      <c r="AG50" s="594"/>
      <c r="AH50" s="594"/>
      <c r="AI50" s="595"/>
      <c r="AJ50" s="528" t="s">
        <v>11</v>
      </c>
      <c r="AK50" s="529"/>
      <c r="AL50" s="529"/>
      <c r="AM50" s="529"/>
      <c r="AN50" s="529"/>
      <c r="AO50" s="529"/>
      <c r="AP50" s="529"/>
      <c r="AQ50" s="529"/>
      <c r="AR50" s="529"/>
      <c r="AS50" s="529"/>
      <c r="AT50" s="530"/>
      <c r="AU50" s="528" t="s">
        <v>11</v>
      </c>
      <c r="AV50" s="529"/>
      <c r="AW50" s="529"/>
      <c r="AX50" s="529"/>
      <c r="AY50" s="529"/>
      <c r="AZ50" s="529"/>
      <c r="BA50" s="529"/>
      <c r="BB50" s="529"/>
      <c r="BC50" s="529"/>
      <c r="BD50" s="530"/>
      <c r="BE50" s="528" t="s">
        <v>11</v>
      </c>
      <c r="BF50" s="529"/>
      <c r="BG50" s="529"/>
      <c r="BH50" s="529"/>
      <c r="BI50" s="529"/>
      <c r="BJ50" s="529"/>
      <c r="BK50" s="529"/>
      <c r="BL50" s="529"/>
      <c r="BM50" s="529"/>
      <c r="BN50" s="529"/>
      <c r="BO50" s="530"/>
      <c r="BP50" s="541">
        <f>SUM(BP49)</f>
        <v>124620.66</v>
      </c>
      <c r="BQ50" s="542"/>
      <c r="BR50" s="542"/>
      <c r="BS50" s="542"/>
      <c r="BT50" s="542"/>
      <c r="BU50" s="542"/>
      <c r="BV50" s="542"/>
      <c r="BW50" s="542"/>
      <c r="BX50" s="542"/>
      <c r="BY50" s="542"/>
      <c r="BZ50" s="542"/>
      <c r="CA50" s="542"/>
      <c r="CB50" s="542"/>
      <c r="CC50" s="158" t="s">
        <v>462</v>
      </c>
      <c r="CD50" s="158">
        <f>CD15+Лист3!CC98</f>
        <v>267520.06000000006</v>
      </c>
      <c r="CE50" s="158"/>
      <c r="CF50" s="409"/>
      <c r="CG50" s="159"/>
    </row>
    <row r="51" spans="1:85" s="1" customFormat="1" ht="15.75" x14ac:dyDescent="0.25">
      <c r="CC51" s="47"/>
      <c r="CD51" s="47"/>
      <c r="CE51" s="47"/>
      <c r="CF51" s="406"/>
      <c r="CG51" s="134"/>
    </row>
    <row r="52" spans="1:85" s="3" customFormat="1" ht="15.75" hidden="1" x14ac:dyDescent="0.25">
      <c r="A52" s="518" t="s">
        <v>96</v>
      </c>
      <c r="B52" s="518"/>
      <c r="C52" s="518"/>
      <c r="D52" s="518"/>
      <c r="E52" s="518"/>
      <c r="F52" s="518"/>
      <c r="G52" s="518"/>
      <c r="H52" s="518"/>
      <c r="I52" s="518"/>
      <c r="J52" s="518"/>
      <c r="K52" s="518"/>
      <c r="L52" s="518"/>
      <c r="M52" s="518"/>
      <c r="N52" s="518"/>
      <c r="O52" s="518"/>
      <c r="P52" s="518"/>
      <c r="Q52" s="518"/>
      <c r="R52" s="518"/>
      <c r="S52" s="518"/>
      <c r="T52" s="518"/>
      <c r="U52" s="518"/>
      <c r="V52" s="518"/>
      <c r="W52" s="518"/>
      <c r="X52" s="518"/>
      <c r="Y52" s="518"/>
      <c r="Z52" s="518"/>
      <c r="AA52" s="518"/>
      <c r="AB52" s="518"/>
      <c r="AC52" s="518"/>
      <c r="AD52" s="518"/>
      <c r="AE52" s="518"/>
      <c r="AF52" s="518"/>
      <c r="AG52" s="518"/>
      <c r="AH52" s="518"/>
      <c r="AI52" s="518"/>
      <c r="AJ52" s="518"/>
      <c r="AK52" s="518"/>
      <c r="AL52" s="518"/>
      <c r="AM52" s="518"/>
      <c r="AN52" s="518"/>
      <c r="AO52" s="518"/>
      <c r="AP52" s="518"/>
      <c r="AQ52" s="518"/>
      <c r="AR52" s="518"/>
      <c r="AS52" s="518"/>
      <c r="AT52" s="518"/>
      <c r="AU52" s="518"/>
      <c r="AV52" s="518"/>
      <c r="AW52" s="518"/>
      <c r="AX52" s="518"/>
      <c r="AY52" s="518"/>
      <c r="AZ52" s="518"/>
      <c r="BA52" s="518"/>
      <c r="BB52" s="518"/>
      <c r="BC52" s="518"/>
      <c r="BD52" s="518"/>
      <c r="BE52" s="518"/>
      <c r="BF52" s="518"/>
      <c r="BG52" s="518"/>
      <c r="BH52" s="518"/>
      <c r="BI52" s="518"/>
      <c r="BJ52" s="518"/>
      <c r="BK52" s="518"/>
      <c r="BL52" s="518"/>
      <c r="BM52" s="518"/>
      <c r="BN52" s="518"/>
      <c r="BO52" s="518"/>
      <c r="BP52" s="518"/>
      <c r="BQ52" s="518"/>
      <c r="BR52" s="518"/>
      <c r="BS52" s="518"/>
      <c r="BT52" s="518"/>
      <c r="BU52" s="518"/>
      <c r="BV52" s="518"/>
      <c r="BW52" s="518"/>
      <c r="BX52" s="518"/>
      <c r="BY52" s="518"/>
      <c r="BZ52" s="518"/>
      <c r="CA52" s="518"/>
      <c r="CB52" s="518"/>
      <c r="CC52" s="115"/>
      <c r="CD52" s="115"/>
      <c r="CE52" s="115"/>
      <c r="CF52" s="406"/>
      <c r="CG52" s="119"/>
    </row>
    <row r="53" spans="1:85" hidden="1" x14ac:dyDescent="0.2">
      <c r="CC53" s="41"/>
      <c r="CD53" s="41"/>
      <c r="CE53" s="41"/>
      <c r="CF53" s="406"/>
      <c r="CG53" s="27"/>
    </row>
    <row r="54" spans="1:85" hidden="1" x14ac:dyDescent="0.2">
      <c r="A54" s="519" t="s">
        <v>5</v>
      </c>
      <c r="B54" s="520"/>
      <c r="C54" s="520"/>
      <c r="D54" s="523"/>
      <c r="E54" s="519" t="s">
        <v>63</v>
      </c>
      <c r="F54" s="520"/>
      <c r="G54" s="520"/>
      <c r="H54" s="520"/>
      <c r="I54" s="520"/>
      <c r="J54" s="520"/>
      <c r="K54" s="520"/>
      <c r="L54" s="520"/>
      <c r="M54" s="520"/>
      <c r="N54" s="520"/>
      <c r="O54" s="520"/>
      <c r="P54" s="520"/>
      <c r="Q54" s="520"/>
      <c r="R54" s="520"/>
      <c r="S54" s="520"/>
      <c r="T54" s="520"/>
      <c r="U54" s="520"/>
      <c r="V54" s="520"/>
      <c r="W54" s="520"/>
      <c r="X54" s="520"/>
      <c r="Y54" s="520"/>
      <c r="Z54" s="520"/>
      <c r="AA54" s="520"/>
      <c r="AB54" s="520"/>
      <c r="AC54" s="520"/>
      <c r="AD54" s="520"/>
      <c r="AE54" s="520"/>
      <c r="AF54" s="520"/>
      <c r="AG54" s="520"/>
      <c r="AH54" s="520"/>
      <c r="AI54" s="520"/>
      <c r="AJ54" s="520"/>
      <c r="AK54" s="520"/>
      <c r="AL54" s="520"/>
      <c r="AM54" s="520"/>
      <c r="AN54" s="520"/>
      <c r="AO54" s="520"/>
      <c r="AP54" s="520"/>
      <c r="AQ54" s="523"/>
      <c r="AR54" s="519" t="s">
        <v>18</v>
      </c>
      <c r="AS54" s="520"/>
      <c r="AT54" s="520"/>
      <c r="AU54" s="520"/>
      <c r="AV54" s="520"/>
      <c r="AW54" s="520"/>
      <c r="AX54" s="520"/>
      <c r="AY54" s="520"/>
      <c r="AZ54" s="520"/>
      <c r="BA54" s="520"/>
      <c r="BB54" s="520"/>
      <c r="BC54" s="523"/>
      <c r="BD54" s="519" t="s">
        <v>97</v>
      </c>
      <c r="BE54" s="520"/>
      <c r="BF54" s="520"/>
      <c r="BG54" s="520"/>
      <c r="BH54" s="520"/>
      <c r="BI54" s="520"/>
      <c r="BJ54" s="520"/>
      <c r="BK54" s="520"/>
      <c r="BL54" s="520"/>
      <c r="BM54" s="520"/>
      <c r="BN54" s="523"/>
      <c r="BO54" s="519" t="s">
        <v>83</v>
      </c>
      <c r="BP54" s="520"/>
      <c r="BQ54" s="520"/>
      <c r="BR54" s="520"/>
      <c r="BS54" s="520"/>
      <c r="BT54" s="520"/>
      <c r="BU54" s="520"/>
      <c r="BV54" s="520"/>
      <c r="BW54" s="520"/>
      <c r="BX54" s="520"/>
      <c r="BY54" s="520"/>
      <c r="BZ54" s="520"/>
      <c r="CA54" s="520"/>
      <c r="CB54" s="520"/>
      <c r="CC54" s="41"/>
      <c r="CD54" s="41"/>
      <c r="CE54" s="41"/>
      <c r="CF54" s="406"/>
      <c r="CG54" s="27"/>
    </row>
    <row r="55" spans="1:85" hidden="1" x14ac:dyDescent="0.2">
      <c r="A55" s="521" t="s">
        <v>6</v>
      </c>
      <c r="B55" s="522"/>
      <c r="C55" s="522"/>
      <c r="D55" s="537"/>
      <c r="E55" s="521"/>
      <c r="F55" s="522"/>
      <c r="G55" s="522"/>
      <c r="H55" s="522"/>
      <c r="I55" s="522"/>
      <c r="J55" s="522"/>
      <c r="K55" s="522"/>
      <c r="L55" s="522"/>
      <c r="M55" s="522"/>
      <c r="N55" s="522"/>
      <c r="O55" s="522"/>
      <c r="P55" s="522"/>
      <c r="Q55" s="522"/>
      <c r="R55" s="522"/>
      <c r="S55" s="522"/>
      <c r="T55" s="522"/>
      <c r="U55" s="522"/>
      <c r="V55" s="522"/>
      <c r="W55" s="522"/>
      <c r="X55" s="522"/>
      <c r="Y55" s="522"/>
      <c r="Z55" s="522"/>
      <c r="AA55" s="522"/>
      <c r="AB55" s="522"/>
      <c r="AC55" s="522"/>
      <c r="AD55" s="522"/>
      <c r="AE55" s="522"/>
      <c r="AF55" s="522"/>
      <c r="AG55" s="522"/>
      <c r="AH55" s="522"/>
      <c r="AI55" s="522"/>
      <c r="AJ55" s="522"/>
      <c r="AK55" s="522"/>
      <c r="AL55" s="522"/>
      <c r="AM55" s="522"/>
      <c r="AN55" s="522"/>
      <c r="AO55" s="522"/>
      <c r="AP55" s="522"/>
      <c r="AQ55" s="537"/>
      <c r="AR55" s="521"/>
      <c r="AS55" s="522"/>
      <c r="AT55" s="522"/>
      <c r="AU55" s="522"/>
      <c r="AV55" s="522"/>
      <c r="AW55" s="522"/>
      <c r="AX55" s="522"/>
      <c r="AY55" s="522"/>
      <c r="AZ55" s="522"/>
      <c r="BA55" s="522"/>
      <c r="BB55" s="522"/>
      <c r="BC55" s="537"/>
      <c r="BD55" s="521" t="s">
        <v>98</v>
      </c>
      <c r="BE55" s="522"/>
      <c r="BF55" s="522"/>
      <c r="BG55" s="522"/>
      <c r="BH55" s="522"/>
      <c r="BI55" s="522"/>
      <c r="BJ55" s="522"/>
      <c r="BK55" s="522"/>
      <c r="BL55" s="522"/>
      <c r="BM55" s="522"/>
      <c r="BN55" s="537"/>
      <c r="BO55" s="521" t="s">
        <v>100</v>
      </c>
      <c r="BP55" s="522"/>
      <c r="BQ55" s="522"/>
      <c r="BR55" s="522"/>
      <c r="BS55" s="522"/>
      <c r="BT55" s="522"/>
      <c r="BU55" s="522"/>
      <c r="BV55" s="522"/>
      <c r="BW55" s="522"/>
      <c r="BX55" s="522"/>
      <c r="BY55" s="522"/>
      <c r="BZ55" s="522"/>
      <c r="CA55" s="522"/>
      <c r="CB55" s="522"/>
      <c r="CC55" s="41"/>
      <c r="CD55" s="41"/>
      <c r="CE55" s="41"/>
      <c r="CF55" s="406"/>
      <c r="CG55" s="27"/>
    </row>
    <row r="56" spans="1:85" hidden="1" x14ac:dyDescent="0.2">
      <c r="A56" s="521"/>
      <c r="B56" s="522"/>
      <c r="C56" s="522"/>
      <c r="D56" s="537"/>
      <c r="E56" s="521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2"/>
      <c r="AC56" s="522"/>
      <c r="AD56" s="522"/>
      <c r="AE56" s="522"/>
      <c r="AF56" s="522"/>
      <c r="AG56" s="522"/>
      <c r="AH56" s="522"/>
      <c r="AI56" s="522"/>
      <c r="AJ56" s="522"/>
      <c r="AK56" s="522"/>
      <c r="AL56" s="522"/>
      <c r="AM56" s="522"/>
      <c r="AN56" s="522"/>
      <c r="AO56" s="522"/>
      <c r="AP56" s="522"/>
      <c r="AQ56" s="537"/>
      <c r="AR56" s="521"/>
      <c r="AS56" s="522"/>
      <c r="AT56" s="522"/>
      <c r="AU56" s="522"/>
      <c r="AV56" s="522"/>
      <c r="AW56" s="522"/>
      <c r="AX56" s="522"/>
      <c r="AY56" s="522"/>
      <c r="AZ56" s="522"/>
      <c r="BA56" s="522"/>
      <c r="BB56" s="522"/>
      <c r="BC56" s="537"/>
      <c r="BD56" s="521" t="s">
        <v>99</v>
      </c>
      <c r="BE56" s="522"/>
      <c r="BF56" s="522"/>
      <c r="BG56" s="522"/>
      <c r="BH56" s="522"/>
      <c r="BI56" s="522"/>
      <c r="BJ56" s="522"/>
      <c r="BK56" s="522"/>
      <c r="BL56" s="522"/>
      <c r="BM56" s="522"/>
      <c r="BN56" s="537"/>
      <c r="BO56" s="521" t="s">
        <v>17</v>
      </c>
      <c r="BP56" s="522"/>
      <c r="BQ56" s="522"/>
      <c r="BR56" s="522"/>
      <c r="BS56" s="522"/>
      <c r="BT56" s="522"/>
      <c r="BU56" s="522"/>
      <c r="BV56" s="522"/>
      <c r="BW56" s="522"/>
      <c r="BX56" s="522"/>
      <c r="BY56" s="522"/>
      <c r="BZ56" s="522"/>
      <c r="CA56" s="522"/>
      <c r="CB56" s="522"/>
      <c r="CC56" s="41"/>
      <c r="CD56" s="41"/>
      <c r="CE56" s="41"/>
      <c r="CF56" s="406"/>
      <c r="CG56" s="27"/>
    </row>
    <row r="57" spans="1:85" hidden="1" x14ac:dyDescent="0.2">
      <c r="A57" s="554">
        <v>1</v>
      </c>
      <c r="B57" s="555"/>
      <c r="C57" s="555"/>
      <c r="D57" s="556"/>
      <c r="E57" s="554">
        <v>2</v>
      </c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  <c r="AJ57" s="555"/>
      <c r="AK57" s="555"/>
      <c r="AL57" s="555"/>
      <c r="AM57" s="555"/>
      <c r="AN57" s="555"/>
      <c r="AO57" s="555"/>
      <c r="AP57" s="555"/>
      <c r="AQ57" s="556"/>
      <c r="AR57" s="554">
        <v>4</v>
      </c>
      <c r="AS57" s="555"/>
      <c r="AT57" s="555"/>
      <c r="AU57" s="555"/>
      <c r="AV57" s="555"/>
      <c r="AW57" s="555"/>
      <c r="AX57" s="555"/>
      <c r="AY57" s="555"/>
      <c r="AZ57" s="555"/>
      <c r="BA57" s="555"/>
      <c r="BB57" s="555"/>
      <c r="BC57" s="556"/>
      <c r="BD57" s="554">
        <v>5</v>
      </c>
      <c r="BE57" s="555"/>
      <c r="BF57" s="555"/>
      <c r="BG57" s="555"/>
      <c r="BH57" s="555"/>
      <c r="BI57" s="555"/>
      <c r="BJ57" s="555"/>
      <c r="BK57" s="555"/>
      <c r="BL57" s="555"/>
      <c r="BM57" s="555"/>
      <c r="BN57" s="556"/>
      <c r="BO57" s="554">
        <v>6</v>
      </c>
      <c r="BP57" s="555"/>
      <c r="BQ57" s="555"/>
      <c r="BR57" s="555"/>
      <c r="BS57" s="555"/>
      <c r="BT57" s="555"/>
      <c r="BU57" s="555"/>
      <c r="BV57" s="555"/>
      <c r="BW57" s="555"/>
      <c r="BX57" s="555"/>
      <c r="BY57" s="555"/>
      <c r="BZ57" s="555"/>
      <c r="CA57" s="555"/>
      <c r="CB57" s="555"/>
      <c r="CC57" s="41"/>
      <c r="CD57" s="41"/>
      <c r="CE57" s="41"/>
      <c r="CF57" s="406"/>
      <c r="CG57" s="27"/>
    </row>
    <row r="58" spans="1:85" hidden="1" x14ac:dyDescent="0.2">
      <c r="A58" s="506"/>
      <c r="B58" s="507"/>
      <c r="C58" s="507"/>
      <c r="D58" s="508"/>
      <c r="E58" s="506"/>
      <c r="F58" s="507"/>
      <c r="G58" s="507"/>
      <c r="H58" s="507"/>
      <c r="I58" s="507"/>
      <c r="J58" s="507"/>
      <c r="K58" s="507"/>
      <c r="L58" s="507"/>
      <c r="M58" s="507"/>
      <c r="N58" s="507"/>
      <c r="O58" s="507"/>
      <c r="P58" s="507"/>
      <c r="Q58" s="507"/>
      <c r="R58" s="507"/>
      <c r="S58" s="507"/>
      <c r="T58" s="507"/>
      <c r="U58" s="507"/>
      <c r="V58" s="507"/>
      <c r="W58" s="507"/>
      <c r="X58" s="507"/>
      <c r="Y58" s="507"/>
      <c r="Z58" s="507"/>
      <c r="AA58" s="507"/>
      <c r="AB58" s="507"/>
      <c r="AC58" s="507"/>
      <c r="AD58" s="507"/>
      <c r="AE58" s="507"/>
      <c r="AF58" s="507"/>
      <c r="AG58" s="507"/>
      <c r="AH58" s="507"/>
      <c r="AI58" s="507"/>
      <c r="AJ58" s="507"/>
      <c r="AK58" s="507"/>
      <c r="AL58" s="507"/>
      <c r="AM58" s="507"/>
      <c r="AN58" s="507"/>
      <c r="AO58" s="507"/>
      <c r="AP58" s="507"/>
      <c r="AQ58" s="508"/>
      <c r="AR58" s="512"/>
      <c r="AS58" s="513"/>
      <c r="AT58" s="513"/>
      <c r="AU58" s="513"/>
      <c r="AV58" s="513"/>
      <c r="AW58" s="513"/>
      <c r="AX58" s="513"/>
      <c r="AY58" s="513"/>
      <c r="AZ58" s="513"/>
      <c r="BA58" s="513"/>
      <c r="BB58" s="513"/>
      <c r="BC58" s="514"/>
      <c r="BD58" s="512"/>
      <c r="BE58" s="513"/>
      <c r="BF58" s="513"/>
      <c r="BG58" s="513"/>
      <c r="BH58" s="513"/>
      <c r="BI58" s="513"/>
      <c r="BJ58" s="513"/>
      <c r="BK58" s="513"/>
      <c r="BL58" s="513"/>
      <c r="BM58" s="513"/>
      <c r="BN58" s="514"/>
      <c r="BO58" s="512"/>
      <c r="BP58" s="513"/>
      <c r="BQ58" s="513"/>
      <c r="BR58" s="513"/>
      <c r="BS58" s="513"/>
      <c r="BT58" s="513"/>
      <c r="BU58" s="513"/>
      <c r="BV58" s="513"/>
      <c r="BW58" s="513"/>
      <c r="BX58" s="513"/>
      <c r="BY58" s="513"/>
      <c r="BZ58" s="513"/>
      <c r="CA58" s="513"/>
      <c r="CB58" s="513"/>
      <c r="CC58" s="41"/>
      <c r="CD58" s="41"/>
      <c r="CE58" s="41"/>
      <c r="CF58" s="406"/>
      <c r="CG58" s="27"/>
    </row>
    <row r="59" spans="1:85" hidden="1" x14ac:dyDescent="0.2">
      <c r="A59" s="506"/>
      <c r="B59" s="507"/>
      <c r="C59" s="507"/>
      <c r="D59" s="508"/>
      <c r="E59" s="506"/>
      <c r="F59" s="507"/>
      <c r="G59" s="507"/>
      <c r="H59" s="507"/>
      <c r="I59" s="507"/>
      <c r="J59" s="507"/>
      <c r="K59" s="507"/>
      <c r="L59" s="507"/>
      <c r="M59" s="507"/>
      <c r="N59" s="507"/>
      <c r="O59" s="507"/>
      <c r="P59" s="507"/>
      <c r="Q59" s="507"/>
      <c r="R59" s="507"/>
      <c r="S59" s="507"/>
      <c r="T59" s="507"/>
      <c r="U59" s="507"/>
      <c r="V59" s="507"/>
      <c r="W59" s="507"/>
      <c r="X59" s="507"/>
      <c r="Y59" s="507"/>
      <c r="Z59" s="507"/>
      <c r="AA59" s="507"/>
      <c r="AB59" s="507"/>
      <c r="AC59" s="507"/>
      <c r="AD59" s="507"/>
      <c r="AE59" s="507"/>
      <c r="AF59" s="507"/>
      <c r="AG59" s="507"/>
      <c r="AH59" s="507"/>
      <c r="AI59" s="507"/>
      <c r="AJ59" s="507"/>
      <c r="AK59" s="507"/>
      <c r="AL59" s="507"/>
      <c r="AM59" s="507"/>
      <c r="AN59" s="507"/>
      <c r="AO59" s="507"/>
      <c r="AP59" s="507"/>
      <c r="AQ59" s="508"/>
      <c r="AR59" s="512"/>
      <c r="AS59" s="513"/>
      <c r="AT59" s="513"/>
      <c r="AU59" s="513"/>
      <c r="AV59" s="513"/>
      <c r="AW59" s="513"/>
      <c r="AX59" s="513"/>
      <c r="AY59" s="513"/>
      <c r="AZ59" s="513"/>
      <c r="BA59" s="513"/>
      <c r="BB59" s="513"/>
      <c r="BC59" s="514"/>
      <c r="BD59" s="512"/>
      <c r="BE59" s="513"/>
      <c r="BF59" s="513"/>
      <c r="BG59" s="513"/>
      <c r="BH59" s="513"/>
      <c r="BI59" s="513"/>
      <c r="BJ59" s="513"/>
      <c r="BK59" s="513"/>
      <c r="BL59" s="513"/>
      <c r="BM59" s="513"/>
      <c r="BN59" s="514"/>
      <c r="BO59" s="512"/>
      <c r="BP59" s="513"/>
      <c r="BQ59" s="513"/>
      <c r="BR59" s="513"/>
      <c r="BS59" s="513"/>
      <c r="BT59" s="513"/>
      <c r="BU59" s="513"/>
      <c r="BV59" s="513"/>
      <c r="BW59" s="513"/>
      <c r="BX59" s="513"/>
      <c r="BY59" s="513"/>
      <c r="BZ59" s="513"/>
      <c r="CA59" s="513"/>
      <c r="CB59" s="513"/>
      <c r="CC59" s="41"/>
      <c r="CD59" s="41"/>
      <c r="CE59" s="41"/>
      <c r="CF59" s="406"/>
      <c r="CG59" s="27"/>
    </row>
    <row r="60" spans="1:85" hidden="1" x14ac:dyDescent="0.2">
      <c r="A60" s="506"/>
      <c r="B60" s="507"/>
      <c r="C60" s="507"/>
      <c r="D60" s="508"/>
      <c r="E60" s="577" t="s">
        <v>10</v>
      </c>
      <c r="F60" s="578"/>
      <c r="G60" s="578"/>
      <c r="H60" s="578"/>
      <c r="I60" s="578"/>
      <c r="J60" s="578"/>
      <c r="K60" s="578"/>
      <c r="L60" s="578"/>
      <c r="M60" s="578"/>
      <c r="N60" s="578"/>
      <c r="O60" s="578"/>
      <c r="P60" s="578"/>
      <c r="Q60" s="578"/>
      <c r="R60" s="578"/>
      <c r="S60" s="578"/>
      <c r="T60" s="578"/>
      <c r="U60" s="578"/>
      <c r="V60" s="578"/>
      <c r="W60" s="578"/>
      <c r="X60" s="578"/>
      <c r="Y60" s="578"/>
      <c r="Z60" s="578"/>
      <c r="AA60" s="578"/>
      <c r="AB60" s="578"/>
      <c r="AC60" s="578"/>
      <c r="AD60" s="578"/>
      <c r="AE60" s="578"/>
      <c r="AF60" s="578"/>
      <c r="AG60" s="578"/>
      <c r="AH60" s="578"/>
      <c r="AI60" s="578"/>
      <c r="AJ60" s="578"/>
      <c r="AK60" s="578"/>
      <c r="AL60" s="578"/>
      <c r="AM60" s="578"/>
      <c r="AN60" s="578"/>
      <c r="AO60" s="578"/>
      <c r="AP60" s="578"/>
      <c r="AQ60" s="579"/>
      <c r="AR60" s="551" t="s">
        <v>11</v>
      </c>
      <c r="AS60" s="552"/>
      <c r="AT60" s="552"/>
      <c r="AU60" s="552"/>
      <c r="AV60" s="552"/>
      <c r="AW60" s="552"/>
      <c r="AX60" s="552"/>
      <c r="AY60" s="552"/>
      <c r="AZ60" s="552"/>
      <c r="BA60" s="552"/>
      <c r="BB60" s="552"/>
      <c r="BC60" s="553"/>
      <c r="BD60" s="551" t="s">
        <v>11</v>
      </c>
      <c r="BE60" s="552"/>
      <c r="BF60" s="552"/>
      <c r="BG60" s="552"/>
      <c r="BH60" s="552"/>
      <c r="BI60" s="552"/>
      <c r="BJ60" s="552"/>
      <c r="BK60" s="552"/>
      <c r="BL60" s="552"/>
      <c r="BM60" s="552"/>
      <c r="BN60" s="553"/>
      <c r="BO60" s="557" t="s">
        <v>11</v>
      </c>
      <c r="BP60" s="558"/>
      <c r="BQ60" s="558"/>
      <c r="BR60" s="558"/>
      <c r="BS60" s="558"/>
      <c r="BT60" s="558"/>
      <c r="BU60" s="558"/>
      <c r="BV60" s="558"/>
      <c r="BW60" s="558"/>
      <c r="BX60" s="558"/>
      <c r="BY60" s="558"/>
      <c r="BZ60" s="558"/>
      <c r="CA60" s="558"/>
      <c r="CB60" s="558"/>
      <c r="CC60" s="41"/>
      <c r="CD60" s="41"/>
      <c r="CE60" s="41"/>
      <c r="CF60" s="406"/>
      <c r="CG60" s="27"/>
    </row>
    <row r="61" spans="1:85" s="1" customFormat="1" ht="15.75" hidden="1" x14ac:dyDescent="0.25">
      <c r="CC61" s="47"/>
      <c r="CD61" s="47"/>
      <c r="CE61" s="47"/>
      <c r="CF61" s="406"/>
      <c r="CG61" s="134"/>
    </row>
    <row r="62" spans="1:85" s="3" customFormat="1" ht="15.75" x14ac:dyDescent="0.25">
      <c r="A62" s="518" t="s">
        <v>322</v>
      </c>
      <c r="B62" s="518"/>
      <c r="C62" s="518"/>
      <c r="D62" s="518"/>
      <c r="E62" s="518"/>
      <c r="F62" s="518"/>
      <c r="G62" s="518"/>
      <c r="H62" s="518"/>
      <c r="I62" s="518"/>
      <c r="J62" s="518"/>
      <c r="K62" s="518"/>
      <c r="L62" s="518"/>
      <c r="M62" s="518"/>
      <c r="N62" s="518"/>
      <c r="O62" s="518"/>
      <c r="P62" s="518"/>
      <c r="Q62" s="518"/>
      <c r="R62" s="518"/>
      <c r="S62" s="518"/>
      <c r="T62" s="518"/>
      <c r="U62" s="518"/>
      <c r="V62" s="518"/>
      <c r="W62" s="518"/>
      <c r="X62" s="518"/>
      <c r="Y62" s="518"/>
      <c r="Z62" s="518"/>
      <c r="AA62" s="518"/>
      <c r="AB62" s="518"/>
      <c r="AC62" s="518"/>
      <c r="AD62" s="518"/>
      <c r="AE62" s="518"/>
      <c r="AF62" s="518"/>
      <c r="AG62" s="518"/>
      <c r="AH62" s="518"/>
      <c r="AI62" s="518"/>
      <c r="AJ62" s="518"/>
      <c r="AK62" s="518"/>
      <c r="AL62" s="518"/>
      <c r="AM62" s="518"/>
      <c r="AN62" s="518"/>
      <c r="AO62" s="518"/>
      <c r="AP62" s="518"/>
      <c r="AQ62" s="518"/>
      <c r="AR62" s="518"/>
      <c r="AS62" s="518"/>
      <c r="AT62" s="518"/>
      <c r="AU62" s="518"/>
      <c r="AV62" s="518"/>
      <c r="AW62" s="518"/>
      <c r="AX62" s="518"/>
      <c r="AY62" s="518"/>
      <c r="AZ62" s="518"/>
      <c r="BA62" s="518"/>
      <c r="BB62" s="518"/>
      <c r="BC62" s="518"/>
      <c r="BD62" s="518"/>
      <c r="BE62" s="518"/>
      <c r="BF62" s="518"/>
      <c r="BG62" s="518"/>
      <c r="BH62" s="518"/>
      <c r="BI62" s="518"/>
      <c r="BJ62" s="518"/>
      <c r="BK62" s="518"/>
      <c r="BL62" s="518"/>
      <c r="BM62" s="518"/>
      <c r="BN62" s="518"/>
      <c r="BO62" s="518"/>
      <c r="BP62" s="518"/>
      <c r="BQ62" s="518"/>
      <c r="BR62" s="518"/>
      <c r="BS62" s="518"/>
      <c r="BT62" s="518"/>
      <c r="BU62" s="518"/>
      <c r="BV62" s="518"/>
      <c r="BW62" s="518"/>
      <c r="BX62" s="518"/>
      <c r="BY62" s="518"/>
      <c r="BZ62" s="518"/>
      <c r="CA62" s="518"/>
      <c r="CB62" s="518"/>
      <c r="CC62" s="122"/>
      <c r="CD62" s="115"/>
      <c r="CE62" s="115"/>
      <c r="CF62" s="406"/>
      <c r="CG62" s="119"/>
    </row>
    <row r="63" spans="1:85" x14ac:dyDescent="0.2">
      <c r="A63" s="519" t="s">
        <v>5</v>
      </c>
      <c r="B63" s="520"/>
      <c r="C63" s="520"/>
      <c r="D63" s="523"/>
      <c r="E63" s="519" t="s">
        <v>13</v>
      </c>
      <c r="F63" s="520"/>
      <c r="G63" s="520"/>
      <c r="H63" s="520"/>
      <c r="I63" s="520"/>
      <c r="J63" s="520"/>
      <c r="K63" s="520"/>
      <c r="L63" s="520"/>
      <c r="M63" s="520"/>
      <c r="N63" s="520"/>
      <c r="O63" s="520"/>
      <c r="P63" s="520"/>
      <c r="Q63" s="520"/>
      <c r="R63" s="520"/>
      <c r="S63" s="520"/>
      <c r="T63" s="520"/>
      <c r="U63" s="520"/>
      <c r="V63" s="520"/>
      <c r="W63" s="520"/>
      <c r="X63" s="520"/>
      <c r="Y63" s="520"/>
      <c r="Z63" s="520"/>
      <c r="AA63" s="520"/>
      <c r="AB63" s="520"/>
      <c r="AC63" s="520"/>
      <c r="AD63" s="520"/>
      <c r="AE63" s="520"/>
      <c r="AF63" s="520"/>
      <c r="AG63" s="520"/>
      <c r="AH63" s="520"/>
      <c r="AI63" s="520"/>
      <c r="AJ63" s="520"/>
      <c r="AK63" s="520"/>
      <c r="AL63" s="520"/>
      <c r="AM63" s="523"/>
      <c r="AN63" s="519" t="s">
        <v>101</v>
      </c>
      <c r="AO63" s="520"/>
      <c r="AP63" s="520"/>
      <c r="AQ63" s="520"/>
      <c r="AR63" s="520"/>
      <c r="AS63" s="520"/>
      <c r="AT63" s="520"/>
      <c r="AU63" s="520"/>
      <c r="AV63" s="520"/>
      <c r="AW63" s="520"/>
      <c r="AX63" s="520"/>
      <c r="AY63" s="520"/>
      <c r="AZ63" s="520"/>
      <c r="BA63" s="520"/>
      <c r="BB63" s="520"/>
      <c r="BC63" s="523"/>
      <c r="BD63" s="519" t="s">
        <v>18</v>
      </c>
      <c r="BE63" s="520"/>
      <c r="BF63" s="520"/>
      <c r="BG63" s="520"/>
      <c r="BH63" s="520"/>
      <c r="BI63" s="520"/>
      <c r="BJ63" s="520"/>
      <c r="BK63" s="520"/>
      <c r="BL63" s="520"/>
      <c r="BM63" s="523"/>
      <c r="BN63" s="519" t="s">
        <v>83</v>
      </c>
      <c r="BO63" s="520"/>
      <c r="BP63" s="520"/>
      <c r="BQ63" s="520"/>
      <c r="BR63" s="520"/>
      <c r="BS63" s="520"/>
      <c r="BT63" s="520"/>
      <c r="BU63" s="520"/>
      <c r="BV63" s="520"/>
      <c r="BW63" s="520"/>
      <c r="BX63" s="520"/>
      <c r="BY63" s="520"/>
      <c r="BZ63" s="520"/>
      <c r="CA63" s="520"/>
      <c r="CB63" s="520"/>
      <c r="CC63" s="124"/>
      <c r="CD63" s="41"/>
      <c r="CE63" s="41"/>
      <c r="CF63" s="406"/>
      <c r="CG63" s="27"/>
    </row>
    <row r="64" spans="1:85" x14ac:dyDescent="0.2">
      <c r="A64" s="521" t="s">
        <v>6</v>
      </c>
      <c r="B64" s="522"/>
      <c r="C64" s="522"/>
      <c r="D64" s="537"/>
      <c r="E64" s="521"/>
      <c r="F64" s="522"/>
      <c r="G64" s="522"/>
      <c r="H64" s="522"/>
      <c r="I64" s="522"/>
      <c r="J64" s="522"/>
      <c r="K64" s="522"/>
      <c r="L64" s="522"/>
      <c r="M64" s="522"/>
      <c r="N64" s="522"/>
      <c r="O64" s="522"/>
      <c r="P64" s="522"/>
      <c r="Q64" s="522"/>
      <c r="R64" s="522"/>
      <c r="S64" s="522"/>
      <c r="T64" s="522"/>
      <c r="U64" s="522"/>
      <c r="V64" s="522"/>
      <c r="W64" s="522"/>
      <c r="X64" s="522"/>
      <c r="Y64" s="522"/>
      <c r="Z64" s="522"/>
      <c r="AA64" s="522"/>
      <c r="AB64" s="522"/>
      <c r="AC64" s="522"/>
      <c r="AD64" s="522"/>
      <c r="AE64" s="522"/>
      <c r="AF64" s="522"/>
      <c r="AG64" s="522"/>
      <c r="AH64" s="522"/>
      <c r="AI64" s="522"/>
      <c r="AJ64" s="522"/>
      <c r="AK64" s="522"/>
      <c r="AL64" s="522"/>
      <c r="AM64" s="537"/>
      <c r="AN64" s="521"/>
      <c r="AO64" s="522"/>
      <c r="AP64" s="522"/>
      <c r="AQ64" s="522"/>
      <c r="AR64" s="522"/>
      <c r="AS64" s="522"/>
      <c r="AT64" s="522"/>
      <c r="AU64" s="522"/>
      <c r="AV64" s="522"/>
      <c r="AW64" s="522"/>
      <c r="AX64" s="522"/>
      <c r="AY64" s="522"/>
      <c r="AZ64" s="522"/>
      <c r="BA64" s="522"/>
      <c r="BB64" s="522"/>
      <c r="BC64" s="537"/>
      <c r="BD64" s="521" t="s">
        <v>102</v>
      </c>
      <c r="BE64" s="522"/>
      <c r="BF64" s="522"/>
      <c r="BG64" s="522"/>
      <c r="BH64" s="522"/>
      <c r="BI64" s="522"/>
      <c r="BJ64" s="522"/>
      <c r="BK64" s="522"/>
      <c r="BL64" s="522"/>
      <c r="BM64" s="537"/>
      <c r="BN64" s="521" t="s">
        <v>115</v>
      </c>
      <c r="BO64" s="522"/>
      <c r="BP64" s="522"/>
      <c r="BQ64" s="522"/>
      <c r="BR64" s="522"/>
      <c r="BS64" s="522"/>
      <c r="BT64" s="522"/>
      <c r="BU64" s="522"/>
      <c r="BV64" s="522"/>
      <c r="BW64" s="522"/>
      <c r="BX64" s="522"/>
      <c r="BY64" s="522"/>
      <c r="BZ64" s="522"/>
      <c r="CA64" s="522"/>
      <c r="CB64" s="522"/>
      <c r="CC64" s="124"/>
      <c r="CD64" s="41"/>
      <c r="CE64" s="41"/>
      <c r="CF64" s="406"/>
      <c r="CG64" s="27"/>
    </row>
    <row r="65" spans="1:85" x14ac:dyDescent="0.2">
      <c r="A65" s="521"/>
      <c r="B65" s="522"/>
      <c r="C65" s="522"/>
      <c r="D65" s="537"/>
      <c r="E65" s="521"/>
      <c r="F65" s="522"/>
      <c r="G65" s="522"/>
      <c r="H65" s="522"/>
      <c r="I65" s="522"/>
      <c r="J65" s="522"/>
      <c r="K65" s="522"/>
      <c r="L65" s="522"/>
      <c r="M65" s="522"/>
      <c r="N65" s="522"/>
      <c r="O65" s="522"/>
      <c r="P65" s="522"/>
      <c r="Q65" s="522"/>
      <c r="R65" s="522"/>
      <c r="S65" s="522"/>
      <c r="T65" s="522"/>
      <c r="U65" s="522"/>
      <c r="V65" s="522"/>
      <c r="W65" s="522"/>
      <c r="X65" s="522"/>
      <c r="Y65" s="522"/>
      <c r="Z65" s="522"/>
      <c r="AA65" s="522"/>
      <c r="AB65" s="522"/>
      <c r="AC65" s="522"/>
      <c r="AD65" s="522"/>
      <c r="AE65" s="522"/>
      <c r="AF65" s="522"/>
      <c r="AG65" s="522"/>
      <c r="AH65" s="522"/>
      <c r="AI65" s="522"/>
      <c r="AJ65" s="522"/>
      <c r="AK65" s="522"/>
      <c r="AL65" s="522"/>
      <c r="AM65" s="537"/>
      <c r="AN65" s="521"/>
      <c r="AO65" s="522"/>
      <c r="AP65" s="522"/>
      <c r="AQ65" s="522"/>
      <c r="AR65" s="522"/>
      <c r="AS65" s="522"/>
      <c r="AT65" s="522"/>
      <c r="AU65" s="522"/>
      <c r="AV65" s="522"/>
      <c r="AW65" s="522"/>
      <c r="AX65" s="522"/>
      <c r="AY65" s="522"/>
      <c r="AZ65" s="522"/>
      <c r="BA65" s="522"/>
      <c r="BB65" s="522"/>
      <c r="BC65" s="537"/>
      <c r="BD65" s="521" t="s">
        <v>103</v>
      </c>
      <c r="BE65" s="522"/>
      <c r="BF65" s="522"/>
      <c r="BG65" s="522"/>
      <c r="BH65" s="522"/>
      <c r="BI65" s="522"/>
      <c r="BJ65" s="522"/>
      <c r="BK65" s="522"/>
      <c r="BL65" s="522"/>
      <c r="BM65" s="537"/>
      <c r="BN65" s="521" t="s">
        <v>17</v>
      </c>
      <c r="BO65" s="522"/>
      <c r="BP65" s="522"/>
      <c r="BQ65" s="522"/>
      <c r="BR65" s="522"/>
      <c r="BS65" s="522"/>
      <c r="BT65" s="522"/>
      <c r="BU65" s="522"/>
      <c r="BV65" s="522"/>
      <c r="BW65" s="522"/>
      <c r="BX65" s="522"/>
      <c r="BY65" s="522"/>
      <c r="BZ65" s="522"/>
      <c r="CA65" s="522"/>
      <c r="CB65" s="522"/>
      <c r="CC65" s="124"/>
      <c r="CD65" s="41"/>
      <c r="CE65" s="41"/>
      <c r="CF65" s="406"/>
      <c r="CG65" s="27"/>
    </row>
    <row r="66" spans="1:85" ht="13.5" customHeight="1" x14ac:dyDescent="0.25">
      <c r="A66" s="554">
        <v>1</v>
      </c>
      <c r="B66" s="555"/>
      <c r="C66" s="555"/>
      <c r="D66" s="556"/>
      <c r="E66" s="554">
        <v>2</v>
      </c>
      <c r="F66" s="555"/>
      <c r="G66" s="555"/>
      <c r="H66" s="555"/>
      <c r="I66" s="555"/>
      <c r="J66" s="555"/>
      <c r="K66" s="555"/>
      <c r="L66" s="555"/>
      <c r="M66" s="555"/>
      <c r="N66" s="555"/>
      <c r="O66" s="555"/>
      <c r="P66" s="555"/>
      <c r="Q66" s="555"/>
      <c r="R66" s="555"/>
      <c r="S66" s="555"/>
      <c r="T66" s="555"/>
      <c r="U66" s="555"/>
      <c r="V66" s="555"/>
      <c r="W66" s="555"/>
      <c r="X66" s="555"/>
      <c r="Y66" s="555"/>
      <c r="Z66" s="555"/>
      <c r="AA66" s="555"/>
      <c r="AB66" s="555"/>
      <c r="AC66" s="555"/>
      <c r="AD66" s="555"/>
      <c r="AE66" s="555"/>
      <c r="AF66" s="555"/>
      <c r="AG66" s="555"/>
      <c r="AH66" s="555"/>
      <c r="AI66" s="555"/>
      <c r="AJ66" s="555"/>
      <c r="AK66" s="555"/>
      <c r="AL66" s="555"/>
      <c r="AM66" s="556"/>
      <c r="AN66" s="554">
        <v>3</v>
      </c>
      <c r="AO66" s="555"/>
      <c r="AP66" s="555"/>
      <c r="AQ66" s="555"/>
      <c r="AR66" s="555"/>
      <c r="AS66" s="555"/>
      <c r="AT66" s="555"/>
      <c r="AU66" s="555"/>
      <c r="AV66" s="555"/>
      <c r="AW66" s="555"/>
      <c r="AX66" s="555"/>
      <c r="AY66" s="555"/>
      <c r="AZ66" s="555"/>
      <c r="BA66" s="555"/>
      <c r="BB66" s="555"/>
      <c r="BC66" s="556"/>
      <c r="BD66" s="554">
        <v>4</v>
      </c>
      <c r="BE66" s="555"/>
      <c r="BF66" s="555"/>
      <c r="BG66" s="555"/>
      <c r="BH66" s="555"/>
      <c r="BI66" s="555"/>
      <c r="BJ66" s="555"/>
      <c r="BK66" s="555"/>
      <c r="BL66" s="555"/>
      <c r="BM66" s="556"/>
      <c r="BN66" s="554">
        <v>5</v>
      </c>
      <c r="BO66" s="555"/>
      <c r="BP66" s="555"/>
      <c r="BQ66" s="555"/>
      <c r="BR66" s="555"/>
      <c r="BS66" s="555"/>
      <c r="BT66" s="555"/>
      <c r="BU66" s="555"/>
      <c r="BV66" s="555"/>
      <c r="BW66" s="555"/>
      <c r="BX66" s="555"/>
      <c r="BY66" s="555"/>
      <c r="BZ66" s="555"/>
      <c r="CA66" s="555"/>
      <c r="CB66" s="556"/>
      <c r="CC66" s="62" t="s">
        <v>193</v>
      </c>
      <c r="CD66" s="62" t="s">
        <v>194</v>
      </c>
      <c r="CE66" s="62" t="s">
        <v>298</v>
      </c>
      <c r="CF66" s="407" t="s">
        <v>296</v>
      </c>
    </row>
    <row r="67" spans="1:85" s="14" customFormat="1" ht="15.75" customHeight="1" x14ac:dyDescent="0.2">
      <c r="A67" s="648">
        <v>1</v>
      </c>
      <c r="B67" s="649"/>
      <c r="C67" s="649"/>
      <c r="D67" s="650"/>
      <c r="E67" s="639" t="s">
        <v>492</v>
      </c>
      <c r="F67" s="640"/>
      <c r="G67" s="640"/>
      <c r="H67" s="640"/>
      <c r="I67" s="640"/>
      <c r="J67" s="640"/>
      <c r="K67" s="640"/>
      <c r="L67" s="640"/>
      <c r="M67" s="640"/>
      <c r="N67" s="640"/>
      <c r="O67" s="640"/>
      <c r="P67" s="640"/>
      <c r="Q67" s="640"/>
      <c r="R67" s="640"/>
      <c r="S67" s="640"/>
      <c r="T67" s="640"/>
      <c r="U67" s="640"/>
      <c r="V67" s="640"/>
      <c r="W67" s="640"/>
      <c r="X67" s="640"/>
      <c r="Y67" s="640"/>
      <c r="Z67" s="640"/>
      <c r="AA67" s="640"/>
      <c r="AB67" s="640"/>
      <c r="AC67" s="640"/>
      <c r="AD67" s="640"/>
      <c r="AE67" s="640"/>
      <c r="AF67" s="640"/>
      <c r="AG67" s="640"/>
      <c r="AH67" s="640"/>
      <c r="AI67" s="640"/>
      <c r="AJ67" s="640"/>
      <c r="AK67" s="640"/>
      <c r="AL67" s="640"/>
      <c r="AM67" s="641"/>
      <c r="AN67" s="744"/>
      <c r="AO67" s="745"/>
      <c r="AP67" s="745"/>
      <c r="AQ67" s="745"/>
      <c r="AR67" s="745"/>
      <c r="AS67" s="745"/>
      <c r="AT67" s="745"/>
      <c r="AU67" s="745"/>
      <c r="AV67" s="745"/>
      <c r="AW67" s="745"/>
      <c r="AX67" s="745"/>
      <c r="AY67" s="745"/>
      <c r="AZ67" s="745"/>
      <c r="BA67" s="745"/>
      <c r="BB67" s="745"/>
      <c r="BC67" s="746"/>
      <c r="BD67" s="711"/>
      <c r="BE67" s="712"/>
      <c r="BF67" s="712"/>
      <c r="BG67" s="712"/>
      <c r="BH67" s="712"/>
      <c r="BI67" s="712"/>
      <c r="BJ67" s="712"/>
      <c r="BK67" s="712"/>
      <c r="BL67" s="712"/>
      <c r="BM67" s="713"/>
      <c r="BN67" s="634">
        <f>25000+17000-576</f>
        <v>41424</v>
      </c>
      <c r="BO67" s="635"/>
      <c r="BP67" s="635"/>
      <c r="BQ67" s="635"/>
      <c r="BR67" s="635"/>
      <c r="BS67" s="635"/>
      <c r="BT67" s="635"/>
      <c r="BU67" s="635"/>
      <c r="BV67" s="635"/>
      <c r="BW67" s="635"/>
      <c r="BX67" s="635"/>
      <c r="BY67" s="635"/>
      <c r="BZ67" s="635"/>
      <c r="CA67" s="635"/>
      <c r="CB67" s="697"/>
      <c r="CC67" s="60">
        <v>41424</v>
      </c>
      <c r="CD67" s="60">
        <f>6336+10536</f>
        <v>16872</v>
      </c>
      <c r="CE67" s="60">
        <f>CC67-CD67</f>
        <v>24552</v>
      </c>
      <c r="CF67" s="408">
        <f>BN67-CC67</f>
        <v>0</v>
      </c>
    </row>
    <row r="68" spans="1:85" s="14" customFormat="1" ht="15" customHeight="1" x14ac:dyDescent="0.2">
      <c r="A68" s="648">
        <v>2</v>
      </c>
      <c r="B68" s="649"/>
      <c r="C68" s="649"/>
      <c r="D68" s="650"/>
      <c r="E68" s="639" t="s">
        <v>474</v>
      </c>
      <c r="F68" s="640"/>
      <c r="G68" s="640"/>
      <c r="H68" s="640"/>
      <c r="I68" s="640"/>
      <c r="J68" s="640"/>
      <c r="K68" s="640"/>
      <c r="L68" s="640"/>
      <c r="M68" s="640"/>
      <c r="N68" s="640"/>
      <c r="O68" s="640"/>
      <c r="P68" s="640"/>
      <c r="Q68" s="640"/>
      <c r="R68" s="640"/>
      <c r="S68" s="640"/>
      <c r="T68" s="640"/>
      <c r="U68" s="640"/>
      <c r="V68" s="640"/>
      <c r="W68" s="640"/>
      <c r="X68" s="640"/>
      <c r="Y68" s="640"/>
      <c r="Z68" s="640"/>
      <c r="AA68" s="640"/>
      <c r="AB68" s="640"/>
      <c r="AC68" s="640"/>
      <c r="AD68" s="640"/>
      <c r="AE68" s="640"/>
      <c r="AF68" s="640"/>
      <c r="AG68" s="640"/>
      <c r="AH68" s="640"/>
      <c r="AI68" s="640"/>
      <c r="AJ68" s="640"/>
      <c r="AK68" s="640"/>
      <c r="AL68" s="640"/>
      <c r="AM68" s="641"/>
      <c r="AN68" s="744"/>
      <c r="AO68" s="745"/>
      <c r="AP68" s="745"/>
      <c r="AQ68" s="745"/>
      <c r="AR68" s="745"/>
      <c r="AS68" s="745"/>
      <c r="AT68" s="745"/>
      <c r="AU68" s="745"/>
      <c r="AV68" s="745"/>
      <c r="AW68" s="745"/>
      <c r="AX68" s="745"/>
      <c r="AY68" s="745"/>
      <c r="AZ68" s="745"/>
      <c r="BA68" s="745"/>
      <c r="BB68" s="745"/>
      <c r="BC68" s="746"/>
      <c r="BD68" s="711"/>
      <c r="BE68" s="712"/>
      <c r="BF68" s="712"/>
      <c r="BG68" s="712"/>
      <c r="BH68" s="712"/>
      <c r="BI68" s="712"/>
      <c r="BJ68" s="712"/>
      <c r="BK68" s="712"/>
      <c r="BL68" s="712"/>
      <c r="BM68" s="713"/>
      <c r="BN68" s="634">
        <f>36000-24000</f>
        <v>12000</v>
      </c>
      <c r="BO68" s="635"/>
      <c r="BP68" s="635"/>
      <c r="BQ68" s="635"/>
      <c r="BR68" s="635"/>
      <c r="BS68" s="635"/>
      <c r="BT68" s="635"/>
      <c r="BU68" s="635"/>
      <c r="BV68" s="635"/>
      <c r="BW68" s="635"/>
      <c r="BX68" s="635"/>
      <c r="BY68" s="635"/>
      <c r="BZ68" s="635"/>
      <c r="CA68" s="635"/>
      <c r="CB68" s="697"/>
      <c r="CC68" s="60">
        <f>12000</f>
        <v>12000</v>
      </c>
      <c r="CD68" s="60">
        <f>12000</f>
        <v>12000</v>
      </c>
      <c r="CE68" s="60">
        <f t="shared" ref="CE68:CE80" si="0">CC68-CD68</f>
        <v>0</v>
      </c>
      <c r="CF68" s="408">
        <f t="shared" ref="CF68:CF80" si="1">BN68-CC68</f>
        <v>0</v>
      </c>
    </row>
    <row r="69" spans="1:85" s="14" customFormat="1" ht="15.75" customHeight="1" x14ac:dyDescent="0.2">
      <c r="A69" s="648">
        <v>3</v>
      </c>
      <c r="B69" s="649"/>
      <c r="C69" s="649"/>
      <c r="D69" s="650"/>
      <c r="E69" s="639" t="s">
        <v>123</v>
      </c>
      <c r="F69" s="640"/>
      <c r="G69" s="640"/>
      <c r="H69" s="640"/>
      <c r="I69" s="640"/>
      <c r="J69" s="640"/>
      <c r="K69" s="640"/>
      <c r="L69" s="640"/>
      <c r="M69" s="640"/>
      <c r="N69" s="640"/>
      <c r="O69" s="640"/>
      <c r="P69" s="640"/>
      <c r="Q69" s="640"/>
      <c r="R69" s="640"/>
      <c r="S69" s="640"/>
      <c r="T69" s="640"/>
      <c r="U69" s="640"/>
      <c r="V69" s="640"/>
      <c r="W69" s="640"/>
      <c r="X69" s="640"/>
      <c r="Y69" s="640"/>
      <c r="Z69" s="640"/>
      <c r="AA69" s="640"/>
      <c r="AB69" s="640"/>
      <c r="AC69" s="640"/>
      <c r="AD69" s="640"/>
      <c r="AE69" s="640"/>
      <c r="AF69" s="640"/>
      <c r="AG69" s="640"/>
      <c r="AH69" s="640"/>
      <c r="AI69" s="640"/>
      <c r="AJ69" s="640"/>
      <c r="AK69" s="640"/>
      <c r="AL69" s="640"/>
      <c r="AM69" s="641"/>
      <c r="AN69" s="744"/>
      <c r="AO69" s="745"/>
      <c r="AP69" s="745"/>
      <c r="AQ69" s="745"/>
      <c r="AR69" s="745"/>
      <c r="AS69" s="745"/>
      <c r="AT69" s="745"/>
      <c r="AU69" s="745"/>
      <c r="AV69" s="745"/>
      <c r="AW69" s="745"/>
      <c r="AX69" s="745"/>
      <c r="AY69" s="745"/>
      <c r="AZ69" s="745"/>
      <c r="BA69" s="745"/>
      <c r="BB69" s="745"/>
      <c r="BC69" s="746"/>
      <c r="BD69" s="711"/>
      <c r="BE69" s="712"/>
      <c r="BF69" s="712"/>
      <c r="BG69" s="712"/>
      <c r="BH69" s="712"/>
      <c r="BI69" s="712"/>
      <c r="BJ69" s="712"/>
      <c r="BK69" s="712"/>
      <c r="BL69" s="712"/>
      <c r="BM69" s="713"/>
      <c r="BN69" s="634">
        <f>12000</f>
        <v>12000</v>
      </c>
      <c r="BO69" s="635"/>
      <c r="BP69" s="635"/>
      <c r="BQ69" s="635"/>
      <c r="BR69" s="635"/>
      <c r="BS69" s="635"/>
      <c r="BT69" s="635"/>
      <c r="BU69" s="635"/>
      <c r="BV69" s="635"/>
      <c r="BW69" s="635"/>
      <c r="BX69" s="635"/>
      <c r="BY69" s="635"/>
      <c r="BZ69" s="635"/>
      <c r="CA69" s="635"/>
      <c r="CB69" s="697"/>
      <c r="CC69" s="60">
        <v>12000</v>
      </c>
      <c r="CD69" s="60">
        <v>12000</v>
      </c>
      <c r="CE69" s="60">
        <f t="shared" si="0"/>
        <v>0</v>
      </c>
      <c r="CF69" s="408">
        <f t="shared" si="1"/>
        <v>0</v>
      </c>
    </row>
    <row r="70" spans="1:85" s="14" customFormat="1" ht="14.25" customHeight="1" x14ac:dyDescent="0.2">
      <c r="A70" s="648">
        <v>4</v>
      </c>
      <c r="B70" s="649"/>
      <c r="C70" s="649"/>
      <c r="D70" s="650"/>
      <c r="E70" s="639" t="s">
        <v>124</v>
      </c>
      <c r="F70" s="640"/>
      <c r="G70" s="640"/>
      <c r="H70" s="640"/>
      <c r="I70" s="640"/>
      <c r="J70" s="640"/>
      <c r="K70" s="640"/>
      <c r="L70" s="640"/>
      <c r="M70" s="640"/>
      <c r="N70" s="640"/>
      <c r="O70" s="640"/>
      <c r="P70" s="640"/>
      <c r="Q70" s="640"/>
      <c r="R70" s="640"/>
      <c r="S70" s="640"/>
      <c r="T70" s="640"/>
      <c r="U70" s="640"/>
      <c r="V70" s="640"/>
      <c r="W70" s="640"/>
      <c r="X70" s="640"/>
      <c r="Y70" s="640"/>
      <c r="Z70" s="640"/>
      <c r="AA70" s="640"/>
      <c r="AB70" s="640"/>
      <c r="AC70" s="640"/>
      <c r="AD70" s="640"/>
      <c r="AE70" s="640"/>
      <c r="AF70" s="640"/>
      <c r="AG70" s="640"/>
      <c r="AH70" s="640"/>
      <c r="AI70" s="640"/>
      <c r="AJ70" s="640"/>
      <c r="AK70" s="640"/>
      <c r="AL70" s="640"/>
      <c r="AM70" s="641"/>
      <c r="AN70" s="744"/>
      <c r="AO70" s="745"/>
      <c r="AP70" s="745"/>
      <c r="AQ70" s="745"/>
      <c r="AR70" s="745"/>
      <c r="AS70" s="745"/>
      <c r="AT70" s="745"/>
      <c r="AU70" s="745"/>
      <c r="AV70" s="745"/>
      <c r="AW70" s="745"/>
      <c r="AX70" s="745"/>
      <c r="AY70" s="745"/>
      <c r="AZ70" s="745"/>
      <c r="BA70" s="745"/>
      <c r="BB70" s="745"/>
      <c r="BC70" s="746"/>
      <c r="BD70" s="711"/>
      <c r="BE70" s="712"/>
      <c r="BF70" s="712"/>
      <c r="BG70" s="712"/>
      <c r="BH70" s="712"/>
      <c r="BI70" s="712"/>
      <c r="BJ70" s="712"/>
      <c r="BK70" s="712"/>
      <c r="BL70" s="712"/>
      <c r="BM70" s="713"/>
      <c r="BN70" s="634">
        <f>25000</f>
        <v>25000</v>
      </c>
      <c r="BO70" s="635"/>
      <c r="BP70" s="635"/>
      <c r="BQ70" s="635"/>
      <c r="BR70" s="635"/>
      <c r="BS70" s="635"/>
      <c r="BT70" s="635"/>
      <c r="BU70" s="635"/>
      <c r="BV70" s="635"/>
      <c r="BW70" s="635"/>
      <c r="BX70" s="635"/>
      <c r="BY70" s="635"/>
      <c r="BZ70" s="635"/>
      <c r="CA70" s="635"/>
      <c r="CB70" s="697"/>
      <c r="CC70" s="60">
        <v>23000</v>
      </c>
      <c r="CD70" s="60">
        <v>23000</v>
      </c>
      <c r="CE70" s="60">
        <f t="shared" si="0"/>
        <v>0</v>
      </c>
      <c r="CF70" s="408">
        <f t="shared" si="1"/>
        <v>2000</v>
      </c>
    </row>
    <row r="71" spans="1:85" s="14" customFormat="1" ht="27" customHeight="1" x14ac:dyDescent="0.2">
      <c r="A71" s="648">
        <v>5</v>
      </c>
      <c r="B71" s="649"/>
      <c r="C71" s="649"/>
      <c r="D71" s="650"/>
      <c r="E71" s="705" t="s">
        <v>456</v>
      </c>
      <c r="F71" s="706"/>
      <c r="G71" s="706"/>
      <c r="H71" s="706"/>
      <c r="I71" s="706"/>
      <c r="J71" s="706"/>
      <c r="K71" s="706"/>
      <c r="L71" s="706"/>
      <c r="M71" s="706"/>
      <c r="N71" s="706"/>
      <c r="O71" s="706"/>
      <c r="P71" s="706"/>
      <c r="Q71" s="706"/>
      <c r="R71" s="706"/>
      <c r="S71" s="706"/>
      <c r="T71" s="706"/>
      <c r="U71" s="706"/>
      <c r="V71" s="706"/>
      <c r="W71" s="706"/>
      <c r="X71" s="706"/>
      <c r="Y71" s="706"/>
      <c r="Z71" s="706"/>
      <c r="AA71" s="706"/>
      <c r="AB71" s="706"/>
      <c r="AC71" s="706"/>
      <c r="AD71" s="706"/>
      <c r="AE71" s="706"/>
      <c r="AF71" s="706"/>
      <c r="AG71" s="706"/>
      <c r="AH71" s="706"/>
      <c r="AI71" s="706"/>
      <c r="AJ71" s="706"/>
      <c r="AK71" s="706"/>
      <c r="AL71" s="706"/>
      <c r="AM71" s="707"/>
      <c r="AN71" s="744"/>
      <c r="AO71" s="745"/>
      <c r="AP71" s="745"/>
      <c r="AQ71" s="745"/>
      <c r="AR71" s="745"/>
      <c r="AS71" s="745"/>
      <c r="AT71" s="745"/>
      <c r="AU71" s="745"/>
      <c r="AV71" s="745"/>
      <c r="AW71" s="745"/>
      <c r="AX71" s="745"/>
      <c r="AY71" s="745"/>
      <c r="AZ71" s="745"/>
      <c r="BA71" s="745"/>
      <c r="BB71" s="745"/>
      <c r="BC71" s="746"/>
      <c r="BD71" s="711"/>
      <c r="BE71" s="712"/>
      <c r="BF71" s="712"/>
      <c r="BG71" s="712"/>
      <c r="BH71" s="712"/>
      <c r="BI71" s="712"/>
      <c r="BJ71" s="712"/>
      <c r="BK71" s="712"/>
      <c r="BL71" s="712"/>
      <c r="BM71" s="713"/>
      <c r="BN71" s="634">
        <f>30000</f>
        <v>30000</v>
      </c>
      <c r="BO71" s="635"/>
      <c r="BP71" s="635"/>
      <c r="BQ71" s="635"/>
      <c r="BR71" s="635"/>
      <c r="BS71" s="635"/>
      <c r="BT71" s="635"/>
      <c r="BU71" s="635"/>
      <c r="BV71" s="635"/>
      <c r="BW71" s="635"/>
      <c r="BX71" s="635"/>
      <c r="BY71" s="635"/>
      <c r="BZ71" s="635"/>
      <c r="CA71" s="635"/>
      <c r="CB71" s="697"/>
      <c r="CC71" s="60">
        <f>30000</f>
        <v>30000</v>
      </c>
      <c r="CD71" s="60">
        <f>2500+2500+2500+2500+2500+2500+2500</f>
        <v>17500</v>
      </c>
      <c r="CE71" s="60">
        <f t="shared" si="0"/>
        <v>12500</v>
      </c>
      <c r="CF71" s="408">
        <f t="shared" si="1"/>
        <v>0</v>
      </c>
    </row>
    <row r="72" spans="1:85" s="14" customFormat="1" ht="12.75" customHeight="1" x14ac:dyDescent="0.2">
      <c r="A72" s="648">
        <v>6</v>
      </c>
      <c r="B72" s="649"/>
      <c r="C72" s="649"/>
      <c r="D72" s="650"/>
      <c r="E72" s="705" t="s">
        <v>447</v>
      </c>
      <c r="F72" s="706"/>
      <c r="G72" s="706"/>
      <c r="H72" s="706"/>
      <c r="I72" s="706"/>
      <c r="J72" s="706"/>
      <c r="K72" s="706"/>
      <c r="L72" s="706"/>
      <c r="M72" s="706"/>
      <c r="N72" s="706"/>
      <c r="O72" s="706"/>
      <c r="P72" s="706"/>
      <c r="Q72" s="706"/>
      <c r="R72" s="706"/>
      <c r="S72" s="706"/>
      <c r="T72" s="706"/>
      <c r="U72" s="706"/>
      <c r="V72" s="706"/>
      <c r="W72" s="706"/>
      <c r="X72" s="706"/>
      <c r="Y72" s="706"/>
      <c r="Z72" s="706"/>
      <c r="AA72" s="706"/>
      <c r="AB72" s="706"/>
      <c r="AC72" s="706"/>
      <c r="AD72" s="706"/>
      <c r="AE72" s="706"/>
      <c r="AF72" s="706"/>
      <c r="AG72" s="706"/>
      <c r="AH72" s="706"/>
      <c r="AI72" s="706"/>
      <c r="AJ72" s="706"/>
      <c r="AK72" s="706"/>
      <c r="AL72" s="706"/>
      <c r="AM72" s="707"/>
      <c r="AN72" s="658"/>
      <c r="AO72" s="659"/>
      <c r="AP72" s="659"/>
      <c r="AQ72" s="659"/>
      <c r="AR72" s="659"/>
      <c r="AS72" s="659"/>
      <c r="AT72" s="659"/>
      <c r="AU72" s="659"/>
      <c r="AV72" s="659"/>
      <c r="AW72" s="659"/>
      <c r="AX72" s="659"/>
      <c r="AY72" s="659"/>
      <c r="AZ72" s="659"/>
      <c r="BA72" s="659"/>
      <c r="BB72" s="659"/>
      <c r="BC72" s="694"/>
      <c r="BD72" s="688"/>
      <c r="BE72" s="695"/>
      <c r="BF72" s="695"/>
      <c r="BG72" s="695"/>
      <c r="BH72" s="695"/>
      <c r="BI72" s="695"/>
      <c r="BJ72" s="695"/>
      <c r="BK72" s="695"/>
      <c r="BL72" s="695"/>
      <c r="BM72" s="696"/>
      <c r="BN72" s="634">
        <f>96000</f>
        <v>96000</v>
      </c>
      <c r="BO72" s="635"/>
      <c r="BP72" s="635"/>
      <c r="BQ72" s="635"/>
      <c r="BR72" s="635"/>
      <c r="BS72" s="635"/>
      <c r="BT72" s="635"/>
      <c r="BU72" s="635"/>
      <c r="BV72" s="635"/>
      <c r="BW72" s="635"/>
      <c r="BX72" s="635"/>
      <c r="BY72" s="635"/>
      <c r="BZ72" s="635"/>
      <c r="CA72" s="635"/>
      <c r="CB72" s="697"/>
      <c r="CC72" s="60">
        <v>96000</v>
      </c>
      <c r="CD72" s="60">
        <f>8000+8000+8000+8000+8000+8000+8000</f>
        <v>56000</v>
      </c>
      <c r="CE72" s="60">
        <f>CC72-CD72</f>
        <v>40000</v>
      </c>
      <c r="CF72" s="408">
        <f>BN72-CC72</f>
        <v>0</v>
      </c>
    </row>
    <row r="73" spans="1:85" s="14" customFormat="1" ht="18.75" customHeight="1" x14ac:dyDescent="0.2">
      <c r="A73" s="648">
        <v>7</v>
      </c>
      <c r="B73" s="649"/>
      <c r="C73" s="649"/>
      <c r="D73" s="650"/>
      <c r="E73" s="639" t="s">
        <v>125</v>
      </c>
      <c r="F73" s="640"/>
      <c r="G73" s="640"/>
      <c r="H73" s="640"/>
      <c r="I73" s="640"/>
      <c r="J73" s="640"/>
      <c r="K73" s="640"/>
      <c r="L73" s="640"/>
      <c r="M73" s="640"/>
      <c r="N73" s="640"/>
      <c r="O73" s="640"/>
      <c r="P73" s="640"/>
      <c r="Q73" s="640"/>
      <c r="R73" s="640"/>
      <c r="S73" s="640"/>
      <c r="T73" s="640"/>
      <c r="U73" s="640"/>
      <c r="V73" s="640"/>
      <c r="W73" s="640"/>
      <c r="X73" s="640"/>
      <c r="Y73" s="640"/>
      <c r="Z73" s="640"/>
      <c r="AA73" s="640"/>
      <c r="AB73" s="640"/>
      <c r="AC73" s="640"/>
      <c r="AD73" s="640"/>
      <c r="AE73" s="640"/>
      <c r="AF73" s="640"/>
      <c r="AG73" s="640"/>
      <c r="AH73" s="640"/>
      <c r="AI73" s="640"/>
      <c r="AJ73" s="640"/>
      <c r="AK73" s="640"/>
      <c r="AL73" s="640"/>
      <c r="AM73" s="641"/>
      <c r="AN73" s="744"/>
      <c r="AO73" s="745"/>
      <c r="AP73" s="745"/>
      <c r="AQ73" s="745"/>
      <c r="AR73" s="745"/>
      <c r="AS73" s="745"/>
      <c r="AT73" s="745"/>
      <c r="AU73" s="745"/>
      <c r="AV73" s="745"/>
      <c r="AW73" s="745"/>
      <c r="AX73" s="745"/>
      <c r="AY73" s="745"/>
      <c r="AZ73" s="745"/>
      <c r="BA73" s="745"/>
      <c r="BB73" s="745"/>
      <c r="BC73" s="746"/>
      <c r="BD73" s="711"/>
      <c r="BE73" s="712"/>
      <c r="BF73" s="712"/>
      <c r="BG73" s="712"/>
      <c r="BH73" s="712"/>
      <c r="BI73" s="712"/>
      <c r="BJ73" s="712"/>
      <c r="BK73" s="712"/>
      <c r="BL73" s="712"/>
      <c r="BM73" s="713"/>
      <c r="BN73" s="634">
        <f>54000-2400</f>
        <v>51600</v>
      </c>
      <c r="BO73" s="635"/>
      <c r="BP73" s="635"/>
      <c r="BQ73" s="635"/>
      <c r="BR73" s="635"/>
      <c r="BS73" s="635"/>
      <c r="BT73" s="635"/>
      <c r="BU73" s="635"/>
      <c r="BV73" s="635"/>
      <c r="BW73" s="635"/>
      <c r="BX73" s="635"/>
      <c r="BY73" s="635"/>
      <c r="BZ73" s="635"/>
      <c r="CA73" s="635"/>
      <c r="CB73" s="697"/>
      <c r="CC73" s="60">
        <v>51600</v>
      </c>
      <c r="CD73" s="60">
        <f>4300+4300+4300+4300+4300+4300+4300</f>
        <v>30100</v>
      </c>
      <c r="CE73" s="60">
        <f t="shared" si="0"/>
        <v>21500</v>
      </c>
      <c r="CF73" s="408">
        <f t="shared" si="1"/>
        <v>0</v>
      </c>
    </row>
    <row r="74" spans="1:85" s="14" customFormat="1" ht="24.75" customHeight="1" x14ac:dyDescent="0.2">
      <c r="A74" s="648">
        <v>8</v>
      </c>
      <c r="B74" s="649"/>
      <c r="C74" s="649"/>
      <c r="D74" s="650"/>
      <c r="E74" s="618" t="s">
        <v>477</v>
      </c>
      <c r="F74" s="619"/>
      <c r="G74" s="619"/>
      <c r="H74" s="619"/>
      <c r="I74" s="619"/>
      <c r="J74" s="619"/>
      <c r="K74" s="619"/>
      <c r="L74" s="619"/>
      <c r="M74" s="619"/>
      <c r="N74" s="619"/>
      <c r="O74" s="619"/>
      <c r="P74" s="619"/>
      <c r="Q74" s="619"/>
      <c r="R74" s="619"/>
      <c r="S74" s="619"/>
      <c r="T74" s="619"/>
      <c r="U74" s="619"/>
      <c r="V74" s="619"/>
      <c r="W74" s="619"/>
      <c r="X74" s="619"/>
      <c r="Y74" s="619"/>
      <c r="Z74" s="619"/>
      <c r="AA74" s="619"/>
      <c r="AB74" s="619"/>
      <c r="AC74" s="619"/>
      <c r="AD74" s="619"/>
      <c r="AE74" s="619"/>
      <c r="AF74" s="619"/>
      <c r="AG74" s="619"/>
      <c r="AH74" s="619"/>
      <c r="AI74" s="619"/>
      <c r="AJ74" s="619"/>
      <c r="AK74" s="619"/>
      <c r="AL74" s="619"/>
      <c r="AM74" s="620"/>
      <c r="AN74" s="744"/>
      <c r="AO74" s="745"/>
      <c r="AP74" s="745"/>
      <c r="AQ74" s="745"/>
      <c r="AR74" s="745"/>
      <c r="AS74" s="745"/>
      <c r="AT74" s="745"/>
      <c r="AU74" s="745"/>
      <c r="AV74" s="745"/>
      <c r="AW74" s="745"/>
      <c r="AX74" s="745"/>
      <c r="AY74" s="745"/>
      <c r="AZ74" s="745"/>
      <c r="BA74" s="745"/>
      <c r="BB74" s="745"/>
      <c r="BC74" s="746"/>
      <c r="BD74" s="711"/>
      <c r="BE74" s="712"/>
      <c r="BF74" s="712"/>
      <c r="BG74" s="712"/>
      <c r="BH74" s="712"/>
      <c r="BI74" s="712"/>
      <c r="BJ74" s="712"/>
      <c r="BK74" s="712"/>
      <c r="BL74" s="712"/>
      <c r="BM74" s="713"/>
      <c r="BN74" s="634">
        <f>54000</f>
        <v>54000</v>
      </c>
      <c r="BO74" s="635"/>
      <c r="BP74" s="635"/>
      <c r="BQ74" s="635"/>
      <c r="BR74" s="635"/>
      <c r="BS74" s="635"/>
      <c r="BT74" s="635"/>
      <c r="BU74" s="635"/>
      <c r="BV74" s="635"/>
      <c r="BW74" s="635"/>
      <c r="BX74" s="635"/>
      <c r="BY74" s="635"/>
      <c r="BZ74" s="635"/>
      <c r="CA74" s="635"/>
      <c r="CB74" s="697"/>
      <c r="CC74" s="60">
        <f>54000</f>
        <v>54000</v>
      </c>
      <c r="CD74" s="60">
        <f>4500+4500+4500+4500+4500+4500+4500</f>
        <v>31500</v>
      </c>
      <c r="CE74" s="60">
        <f t="shared" ref="CE74" si="2">CC74-CD74</f>
        <v>22500</v>
      </c>
      <c r="CF74" s="408">
        <f t="shared" ref="CF74" si="3">BN74-CC74</f>
        <v>0</v>
      </c>
    </row>
    <row r="75" spans="1:85" s="14" customFormat="1" ht="25.5" customHeight="1" x14ac:dyDescent="0.2">
      <c r="A75" s="648">
        <v>9</v>
      </c>
      <c r="B75" s="649"/>
      <c r="C75" s="649"/>
      <c r="D75" s="650"/>
      <c r="E75" s="618" t="s">
        <v>491</v>
      </c>
      <c r="F75" s="619"/>
      <c r="G75" s="619"/>
      <c r="H75" s="619"/>
      <c r="I75" s="619"/>
      <c r="J75" s="619"/>
      <c r="K75" s="619"/>
      <c r="L75" s="619"/>
      <c r="M75" s="619"/>
      <c r="N75" s="619"/>
      <c r="O75" s="619"/>
      <c r="P75" s="619"/>
      <c r="Q75" s="619"/>
      <c r="R75" s="619"/>
      <c r="S75" s="619"/>
      <c r="T75" s="619"/>
      <c r="U75" s="619"/>
      <c r="V75" s="619"/>
      <c r="W75" s="619"/>
      <c r="X75" s="619"/>
      <c r="Y75" s="619"/>
      <c r="Z75" s="619"/>
      <c r="AA75" s="619"/>
      <c r="AB75" s="619"/>
      <c r="AC75" s="619"/>
      <c r="AD75" s="619"/>
      <c r="AE75" s="619"/>
      <c r="AF75" s="619"/>
      <c r="AG75" s="619"/>
      <c r="AH75" s="619"/>
      <c r="AI75" s="619"/>
      <c r="AJ75" s="619"/>
      <c r="AK75" s="619"/>
      <c r="AL75" s="619"/>
      <c r="AM75" s="620"/>
      <c r="AN75" s="744"/>
      <c r="AO75" s="745"/>
      <c r="AP75" s="745"/>
      <c r="AQ75" s="745"/>
      <c r="AR75" s="745"/>
      <c r="AS75" s="745"/>
      <c r="AT75" s="745"/>
      <c r="AU75" s="745"/>
      <c r="AV75" s="745"/>
      <c r="AW75" s="745"/>
      <c r="AX75" s="745"/>
      <c r="AY75" s="745"/>
      <c r="AZ75" s="745"/>
      <c r="BA75" s="745"/>
      <c r="BB75" s="745"/>
      <c r="BC75" s="746"/>
      <c r="BD75" s="711"/>
      <c r="BE75" s="712"/>
      <c r="BF75" s="712"/>
      <c r="BG75" s="712"/>
      <c r="BH75" s="712"/>
      <c r="BI75" s="712"/>
      <c r="BJ75" s="712"/>
      <c r="BK75" s="712"/>
      <c r="BL75" s="712"/>
      <c r="BM75" s="713"/>
      <c r="BN75" s="634">
        <f>20650.91+20000+29349.09+16070</f>
        <v>86070</v>
      </c>
      <c r="BO75" s="635"/>
      <c r="BP75" s="635"/>
      <c r="BQ75" s="635"/>
      <c r="BR75" s="635"/>
      <c r="BS75" s="635"/>
      <c r="BT75" s="635"/>
      <c r="BU75" s="635"/>
      <c r="BV75" s="635"/>
      <c r="BW75" s="635"/>
      <c r="BX75" s="635"/>
      <c r="BY75" s="635"/>
      <c r="BZ75" s="635"/>
      <c r="CA75" s="635"/>
      <c r="CB75" s="697"/>
      <c r="CC75" s="60">
        <f>69462+16608</f>
        <v>86070</v>
      </c>
      <c r="CD75" s="60">
        <f>45612+16608</f>
        <v>62220</v>
      </c>
      <c r="CE75" s="60">
        <f t="shared" si="0"/>
        <v>23850</v>
      </c>
      <c r="CF75" s="408">
        <f t="shared" si="1"/>
        <v>0</v>
      </c>
    </row>
    <row r="76" spans="1:85" s="14" customFormat="1" ht="18" customHeight="1" x14ac:dyDescent="0.2">
      <c r="A76" s="648">
        <v>10</v>
      </c>
      <c r="B76" s="649"/>
      <c r="C76" s="649"/>
      <c r="D76" s="650"/>
      <c r="E76" s="618" t="s">
        <v>395</v>
      </c>
      <c r="F76" s="619"/>
      <c r="G76" s="619"/>
      <c r="H76" s="619"/>
      <c r="I76" s="619"/>
      <c r="J76" s="619"/>
      <c r="K76" s="619"/>
      <c r="L76" s="619"/>
      <c r="M76" s="619"/>
      <c r="N76" s="619"/>
      <c r="O76" s="619"/>
      <c r="P76" s="619"/>
      <c r="Q76" s="619"/>
      <c r="R76" s="619"/>
      <c r="S76" s="619"/>
      <c r="T76" s="619"/>
      <c r="U76" s="619"/>
      <c r="V76" s="619"/>
      <c r="W76" s="619"/>
      <c r="X76" s="619"/>
      <c r="Y76" s="619"/>
      <c r="Z76" s="619"/>
      <c r="AA76" s="619"/>
      <c r="AB76" s="619"/>
      <c r="AC76" s="619"/>
      <c r="AD76" s="619"/>
      <c r="AE76" s="619"/>
      <c r="AF76" s="619"/>
      <c r="AG76" s="619"/>
      <c r="AH76" s="619"/>
      <c r="AI76" s="619"/>
      <c r="AJ76" s="619"/>
      <c r="AK76" s="619"/>
      <c r="AL76" s="619"/>
      <c r="AM76" s="620"/>
      <c r="AN76" s="744"/>
      <c r="AO76" s="745"/>
      <c r="AP76" s="745"/>
      <c r="AQ76" s="745"/>
      <c r="AR76" s="745"/>
      <c r="AS76" s="745"/>
      <c r="AT76" s="745"/>
      <c r="AU76" s="745"/>
      <c r="AV76" s="745"/>
      <c r="AW76" s="745"/>
      <c r="AX76" s="745"/>
      <c r="AY76" s="745"/>
      <c r="AZ76" s="745"/>
      <c r="BA76" s="745"/>
      <c r="BB76" s="745"/>
      <c r="BC76" s="746"/>
      <c r="BD76" s="711"/>
      <c r="BE76" s="712"/>
      <c r="BF76" s="712"/>
      <c r="BG76" s="712"/>
      <c r="BH76" s="712"/>
      <c r="BI76" s="712"/>
      <c r="BJ76" s="712"/>
      <c r="BK76" s="712"/>
      <c r="BL76" s="712"/>
      <c r="BM76" s="713"/>
      <c r="BN76" s="634">
        <f>15000-7050</f>
        <v>7950</v>
      </c>
      <c r="BO76" s="635"/>
      <c r="BP76" s="635"/>
      <c r="BQ76" s="635"/>
      <c r="BR76" s="635"/>
      <c r="BS76" s="635"/>
      <c r="BT76" s="635"/>
      <c r="BU76" s="635"/>
      <c r="BV76" s="635"/>
      <c r="BW76" s="635"/>
      <c r="BX76" s="635"/>
      <c r="BY76" s="635"/>
      <c r="BZ76" s="635"/>
      <c r="CA76" s="635"/>
      <c r="CB76" s="697"/>
      <c r="CC76" s="60">
        <v>7950</v>
      </c>
      <c r="CD76" s="60">
        <v>7950</v>
      </c>
      <c r="CE76" s="60">
        <f t="shared" si="0"/>
        <v>0</v>
      </c>
      <c r="CF76" s="408">
        <f t="shared" si="1"/>
        <v>0</v>
      </c>
    </row>
    <row r="77" spans="1:85" s="14" customFormat="1" ht="14.25" customHeight="1" x14ac:dyDescent="0.2">
      <c r="A77" s="648">
        <v>11</v>
      </c>
      <c r="B77" s="649"/>
      <c r="C77" s="649"/>
      <c r="D77" s="650"/>
      <c r="E77" s="639" t="s">
        <v>490</v>
      </c>
      <c r="F77" s="640"/>
      <c r="G77" s="640"/>
      <c r="H77" s="640"/>
      <c r="I77" s="640"/>
      <c r="J77" s="640"/>
      <c r="K77" s="640"/>
      <c r="L77" s="640"/>
      <c r="M77" s="640"/>
      <c r="N77" s="640"/>
      <c r="O77" s="640"/>
      <c r="P77" s="640"/>
      <c r="Q77" s="640"/>
      <c r="R77" s="640"/>
      <c r="S77" s="640"/>
      <c r="T77" s="640"/>
      <c r="U77" s="640"/>
      <c r="V77" s="640"/>
      <c r="W77" s="640"/>
      <c r="X77" s="640"/>
      <c r="Y77" s="640"/>
      <c r="Z77" s="640"/>
      <c r="AA77" s="640"/>
      <c r="AB77" s="640"/>
      <c r="AC77" s="640"/>
      <c r="AD77" s="640"/>
      <c r="AE77" s="640"/>
      <c r="AF77" s="640"/>
      <c r="AG77" s="640"/>
      <c r="AH77" s="640"/>
      <c r="AI77" s="640"/>
      <c r="AJ77" s="640"/>
      <c r="AK77" s="640"/>
      <c r="AL77" s="640"/>
      <c r="AM77" s="641"/>
      <c r="AN77" s="660"/>
      <c r="AO77" s="661"/>
      <c r="AP77" s="661"/>
      <c r="AQ77" s="661"/>
      <c r="AR77" s="661"/>
      <c r="AS77" s="661"/>
      <c r="AT77" s="661"/>
      <c r="AU77" s="661"/>
      <c r="AV77" s="661"/>
      <c r="AW77" s="661"/>
      <c r="AX77" s="661"/>
      <c r="AY77" s="661"/>
      <c r="AZ77" s="661"/>
      <c r="BA77" s="661"/>
      <c r="BB77" s="661"/>
      <c r="BC77" s="662"/>
      <c r="BD77" s="642"/>
      <c r="BE77" s="643"/>
      <c r="BF77" s="643"/>
      <c r="BG77" s="643"/>
      <c r="BH77" s="643"/>
      <c r="BI77" s="643"/>
      <c r="BJ77" s="643"/>
      <c r="BK77" s="643"/>
      <c r="BL77" s="643"/>
      <c r="BM77" s="644"/>
      <c r="BN77" s="634">
        <f>30000</f>
        <v>30000</v>
      </c>
      <c r="BO77" s="635"/>
      <c r="BP77" s="635"/>
      <c r="BQ77" s="635"/>
      <c r="BR77" s="635"/>
      <c r="BS77" s="635"/>
      <c r="BT77" s="635"/>
      <c r="BU77" s="635"/>
      <c r="BV77" s="635"/>
      <c r="BW77" s="635"/>
      <c r="BX77" s="635"/>
      <c r="BY77" s="635"/>
      <c r="BZ77" s="635"/>
      <c r="CA77" s="635"/>
      <c r="CB77" s="697"/>
      <c r="CC77" s="60"/>
      <c r="CD77" s="60"/>
      <c r="CE77" s="60">
        <f t="shared" si="0"/>
        <v>0</v>
      </c>
      <c r="CF77" s="408">
        <f t="shared" si="1"/>
        <v>30000</v>
      </c>
    </row>
    <row r="78" spans="1:85" s="14" customFormat="1" ht="14.25" customHeight="1" x14ac:dyDescent="0.2">
      <c r="A78" s="648">
        <v>12</v>
      </c>
      <c r="B78" s="649"/>
      <c r="C78" s="649"/>
      <c r="D78" s="650"/>
      <c r="E78" s="717" t="s">
        <v>330</v>
      </c>
      <c r="F78" s="718"/>
      <c r="G78" s="718"/>
      <c r="H78" s="718"/>
      <c r="I78" s="718"/>
      <c r="J78" s="718"/>
      <c r="K78" s="718"/>
      <c r="L78" s="718"/>
      <c r="M78" s="718"/>
      <c r="N78" s="718"/>
      <c r="O78" s="718"/>
      <c r="P78" s="718"/>
      <c r="Q78" s="718"/>
      <c r="R78" s="718"/>
      <c r="S78" s="718"/>
      <c r="T78" s="718"/>
      <c r="U78" s="718"/>
      <c r="V78" s="718"/>
      <c r="W78" s="718"/>
      <c r="X78" s="718"/>
      <c r="Y78" s="718"/>
      <c r="Z78" s="718"/>
      <c r="AA78" s="718"/>
      <c r="AB78" s="718"/>
      <c r="AC78" s="718"/>
      <c r="AD78" s="718"/>
      <c r="AE78" s="718"/>
      <c r="AF78" s="718"/>
      <c r="AG78" s="718"/>
      <c r="AH78" s="718"/>
      <c r="AI78" s="718"/>
      <c r="AJ78" s="718"/>
      <c r="AK78" s="718"/>
      <c r="AL78" s="718"/>
      <c r="AM78" s="719"/>
      <c r="AN78" s="750"/>
      <c r="AO78" s="751"/>
      <c r="AP78" s="751"/>
      <c r="AQ78" s="751"/>
      <c r="AR78" s="751"/>
      <c r="AS78" s="751"/>
      <c r="AT78" s="751"/>
      <c r="AU78" s="751"/>
      <c r="AV78" s="751"/>
      <c r="AW78" s="751"/>
      <c r="AX78" s="751"/>
      <c r="AY78" s="751"/>
      <c r="AZ78" s="751"/>
      <c r="BA78" s="751"/>
      <c r="BB78" s="751"/>
      <c r="BC78" s="752"/>
      <c r="BD78" s="747"/>
      <c r="BE78" s="748"/>
      <c r="BF78" s="748"/>
      <c r="BG78" s="748"/>
      <c r="BH78" s="748"/>
      <c r="BI78" s="748"/>
      <c r="BJ78" s="748"/>
      <c r="BK78" s="748"/>
      <c r="BL78" s="748"/>
      <c r="BM78" s="749"/>
      <c r="BN78" s="708">
        <f>22500</f>
        <v>22500</v>
      </c>
      <c r="BO78" s="709"/>
      <c r="BP78" s="709"/>
      <c r="BQ78" s="709"/>
      <c r="BR78" s="709"/>
      <c r="BS78" s="709"/>
      <c r="BT78" s="709"/>
      <c r="BU78" s="709"/>
      <c r="BV78" s="709"/>
      <c r="BW78" s="709"/>
      <c r="BX78" s="709"/>
      <c r="BY78" s="709"/>
      <c r="BZ78" s="709"/>
      <c r="CA78" s="709"/>
      <c r="CB78" s="710"/>
      <c r="CC78" s="60"/>
      <c r="CD78" s="60"/>
      <c r="CE78" s="60">
        <f t="shared" si="0"/>
        <v>0</v>
      </c>
      <c r="CF78" s="408">
        <f t="shared" si="1"/>
        <v>22500</v>
      </c>
    </row>
    <row r="79" spans="1:85" s="14" customFormat="1" ht="16.5" customHeight="1" x14ac:dyDescent="0.2">
      <c r="A79" s="648">
        <v>13</v>
      </c>
      <c r="B79" s="649"/>
      <c r="C79" s="649"/>
      <c r="D79" s="650"/>
      <c r="E79" s="717" t="s">
        <v>199</v>
      </c>
      <c r="F79" s="718"/>
      <c r="G79" s="718"/>
      <c r="H79" s="718"/>
      <c r="I79" s="718"/>
      <c r="J79" s="718"/>
      <c r="K79" s="718"/>
      <c r="L79" s="718"/>
      <c r="M79" s="718"/>
      <c r="N79" s="718"/>
      <c r="O79" s="718"/>
      <c r="P79" s="718"/>
      <c r="Q79" s="718"/>
      <c r="R79" s="718"/>
      <c r="S79" s="718"/>
      <c r="T79" s="718"/>
      <c r="U79" s="718"/>
      <c r="V79" s="718"/>
      <c r="W79" s="718"/>
      <c r="X79" s="718"/>
      <c r="Y79" s="718"/>
      <c r="Z79" s="718"/>
      <c r="AA79" s="718"/>
      <c r="AB79" s="718"/>
      <c r="AC79" s="718"/>
      <c r="AD79" s="718"/>
      <c r="AE79" s="718"/>
      <c r="AF79" s="718"/>
      <c r="AG79" s="718"/>
      <c r="AH79" s="718"/>
      <c r="AI79" s="718"/>
      <c r="AJ79" s="718"/>
      <c r="AK79" s="718"/>
      <c r="AL79" s="718"/>
      <c r="AM79" s="719"/>
      <c r="AN79" s="750"/>
      <c r="AO79" s="751"/>
      <c r="AP79" s="751"/>
      <c r="AQ79" s="751"/>
      <c r="AR79" s="751"/>
      <c r="AS79" s="751"/>
      <c r="AT79" s="751"/>
      <c r="AU79" s="751"/>
      <c r="AV79" s="751"/>
      <c r="AW79" s="751"/>
      <c r="AX79" s="751"/>
      <c r="AY79" s="751"/>
      <c r="AZ79" s="751"/>
      <c r="BA79" s="751"/>
      <c r="BB79" s="751"/>
      <c r="BC79" s="752"/>
      <c r="BD79" s="747"/>
      <c r="BE79" s="748"/>
      <c r="BF79" s="748"/>
      <c r="BG79" s="748"/>
      <c r="BH79" s="748"/>
      <c r="BI79" s="748"/>
      <c r="BJ79" s="748"/>
      <c r="BK79" s="748"/>
      <c r="BL79" s="748"/>
      <c r="BM79" s="749"/>
      <c r="BN79" s="708">
        <f>15000</f>
        <v>15000</v>
      </c>
      <c r="BO79" s="709"/>
      <c r="BP79" s="709"/>
      <c r="BQ79" s="709"/>
      <c r="BR79" s="709"/>
      <c r="BS79" s="709"/>
      <c r="BT79" s="709"/>
      <c r="BU79" s="709"/>
      <c r="BV79" s="709"/>
      <c r="BW79" s="709"/>
      <c r="BX79" s="709"/>
      <c r="BY79" s="709"/>
      <c r="BZ79" s="709"/>
      <c r="CA79" s="709"/>
      <c r="CB79" s="710"/>
      <c r="CC79" s="60"/>
      <c r="CD79" s="60"/>
      <c r="CE79" s="60">
        <f t="shared" si="0"/>
        <v>0</v>
      </c>
      <c r="CF79" s="408">
        <f t="shared" si="1"/>
        <v>15000</v>
      </c>
    </row>
    <row r="80" spans="1:85" s="14" customFormat="1" ht="15.75" customHeight="1" x14ac:dyDescent="0.2">
      <c r="A80" s="648">
        <v>14</v>
      </c>
      <c r="B80" s="649"/>
      <c r="C80" s="649"/>
      <c r="D80" s="650"/>
      <c r="E80" s="691" t="s">
        <v>126</v>
      </c>
      <c r="F80" s="692"/>
      <c r="G80" s="692"/>
      <c r="H80" s="692"/>
      <c r="I80" s="692"/>
      <c r="J80" s="692"/>
      <c r="K80" s="692"/>
      <c r="L80" s="692"/>
      <c r="M80" s="692"/>
      <c r="N80" s="692"/>
      <c r="O80" s="692"/>
      <c r="P80" s="692"/>
      <c r="Q80" s="692"/>
      <c r="R80" s="692"/>
      <c r="S80" s="692"/>
      <c r="T80" s="692"/>
      <c r="U80" s="692"/>
      <c r="V80" s="692"/>
      <c r="W80" s="692"/>
      <c r="X80" s="692"/>
      <c r="Y80" s="692"/>
      <c r="Z80" s="692"/>
      <c r="AA80" s="692"/>
      <c r="AB80" s="692"/>
      <c r="AC80" s="692"/>
      <c r="AD80" s="692"/>
      <c r="AE80" s="692"/>
      <c r="AF80" s="692"/>
      <c r="AG80" s="692"/>
      <c r="AH80" s="692"/>
      <c r="AI80" s="692"/>
      <c r="AJ80" s="692"/>
      <c r="AK80" s="692"/>
      <c r="AL80" s="692"/>
      <c r="AM80" s="693"/>
      <c r="AN80" s="658"/>
      <c r="AO80" s="659"/>
      <c r="AP80" s="659"/>
      <c r="AQ80" s="659"/>
      <c r="AR80" s="659"/>
      <c r="AS80" s="659"/>
      <c r="AT80" s="659"/>
      <c r="AU80" s="659"/>
      <c r="AV80" s="659"/>
      <c r="AW80" s="659"/>
      <c r="AX80" s="659"/>
      <c r="AY80" s="659"/>
      <c r="AZ80" s="659"/>
      <c r="BA80" s="659"/>
      <c r="BB80" s="659"/>
      <c r="BC80" s="694"/>
      <c r="BD80" s="688"/>
      <c r="BE80" s="695"/>
      <c r="BF80" s="695"/>
      <c r="BG80" s="695"/>
      <c r="BH80" s="695"/>
      <c r="BI80" s="695"/>
      <c r="BJ80" s="695"/>
      <c r="BK80" s="695"/>
      <c r="BL80" s="695"/>
      <c r="BM80" s="696"/>
      <c r="BN80" s="634">
        <f>8216.4</f>
        <v>8216.4</v>
      </c>
      <c r="BO80" s="635"/>
      <c r="BP80" s="635"/>
      <c r="BQ80" s="635"/>
      <c r="BR80" s="635"/>
      <c r="BS80" s="635"/>
      <c r="BT80" s="635"/>
      <c r="BU80" s="635"/>
      <c r="BV80" s="635"/>
      <c r="BW80" s="635"/>
      <c r="BX80" s="635"/>
      <c r="BY80" s="635"/>
      <c r="BZ80" s="635"/>
      <c r="CA80" s="635"/>
      <c r="CB80" s="697"/>
      <c r="CC80" s="60">
        <f>8216.4</f>
        <v>8216.4</v>
      </c>
      <c r="CD80" s="60">
        <f>684.7+684.7+684.7+684.7+684.7+684.7+684.7</f>
        <v>4792.8999999999996</v>
      </c>
      <c r="CE80" s="60">
        <f t="shared" si="0"/>
        <v>3423.5</v>
      </c>
      <c r="CF80" s="408">
        <f t="shared" si="1"/>
        <v>0</v>
      </c>
    </row>
    <row r="81" spans="1:85" s="14" customFormat="1" ht="14.25" customHeight="1" x14ac:dyDescent="0.2">
      <c r="A81" s="648">
        <v>15</v>
      </c>
      <c r="B81" s="649"/>
      <c r="C81" s="649"/>
      <c r="D81" s="650"/>
      <c r="E81" s="691" t="s">
        <v>489</v>
      </c>
      <c r="F81" s="692"/>
      <c r="G81" s="692"/>
      <c r="H81" s="692"/>
      <c r="I81" s="692"/>
      <c r="J81" s="692"/>
      <c r="K81" s="692"/>
      <c r="L81" s="692"/>
      <c r="M81" s="692"/>
      <c r="N81" s="692"/>
      <c r="O81" s="692"/>
      <c r="P81" s="692"/>
      <c r="Q81" s="692"/>
      <c r="R81" s="692"/>
      <c r="S81" s="692"/>
      <c r="T81" s="692"/>
      <c r="U81" s="692"/>
      <c r="V81" s="692"/>
      <c r="W81" s="692"/>
      <c r="X81" s="692"/>
      <c r="Y81" s="692"/>
      <c r="Z81" s="692"/>
      <c r="AA81" s="692"/>
      <c r="AB81" s="692"/>
      <c r="AC81" s="692"/>
      <c r="AD81" s="692"/>
      <c r="AE81" s="692"/>
      <c r="AF81" s="692"/>
      <c r="AG81" s="692"/>
      <c r="AH81" s="692"/>
      <c r="AI81" s="692"/>
      <c r="AJ81" s="692"/>
      <c r="AK81" s="692"/>
      <c r="AL81" s="692"/>
      <c r="AM81" s="693"/>
      <c r="AN81" s="658"/>
      <c r="AO81" s="659"/>
      <c r="AP81" s="659"/>
      <c r="AQ81" s="659"/>
      <c r="AR81" s="659"/>
      <c r="AS81" s="659"/>
      <c r="AT81" s="659"/>
      <c r="AU81" s="659"/>
      <c r="AV81" s="659"/>
      <c r="AW81" s="659"/>
      <c r="AX81" s="659"/>
      <c r="AY81" s="659"/>
      <c r="AZ81" s="659"/>
      <c r="BA81" s="659"/>
      <c r="BB81" s="659"/>
      <c r="BC81" s="694"/>
      <c r="BD81" s="688"/>
      <c r="BE81" s="695"/>
      <c r="BF81" s="695"/>
      <c r="BG81" s="695"/>
      <c r="BH81" s="695"/>
      <c r="BI81" s="695"/>
      <c r="BJ81" s="695"/>
      <c r="BK81" s="695"/>
      <c r="BL81" s="695"/>
      <c r="BM81" s="696"/>
      <c r="BN81" s="634">
        <f>15000</f>
        <v>15000</v>
      </c>
      <c r="BO81" s="635"/>
      <c r="BP81" s="635"/>
      <c r="BQ81" s="635"/>
      <c r="BR81" s="635"/>
      <c r="BS81" s="635"/>
      <c r="BT81" s="635"/>
      <c r="BU81" s="635"/>
      <c r="BV81" s="635"/>
      <c r="BW81" s="635"/>
      <c r="BX81" s="635"/>
      <c r="BY81" s="635"/>
      <c r="BZ81" s="635"/>
      <c r="CA81" s="635"/>
      <c r="CB81" s="697"/>
      <c r="CC81" s="60">
        <f>9727.84</f>
        <v>9727.84</v>
      </c>
      <c r="CD81" s="60">
        <f>9727.84</f>
        <v>9727.84</v>
      </c>
      <c r="CE81" s="60">
        <f t="shared" ref="CE81:CE82" si="4">CC81-CD81</f>
        <v>0</v>
      </c>
      <c r="CF81" s="408">
        <f t="shared" ref="CF81:CF82" si="5">BN81-CC81</f>
        <v>5272.16</v>
      </c>
    </row>
    <row r="82" spans="1:85" s="14" customFormat="1" ht="18.75" customHeight="1" x14ac:dyDescent="0.2">
      <c r="A82" s="648">
        <v>16</v>
      </c>
      <c r="B82" s="649"/>
      <c r="C82" s="649"/>
      <c r="D82" s="650"/>
      <c r="E82" s="691" t="s">
        <v>396</v>
      </c>
      <c r="F82" s="692"/>
      <c r="G82" s="692"/>
      <c r="H82" s="692"/>
      <c r="I82" s="692"/>
      <c r="J82" s="692"/>
      <c r="K82" s="692"/>
      <c r="L82" s="692"/>
      <c r="M82" s="692"/>
      <c r="N82" s="692"/>
      <c r="O82" s="692"/>
      <c r="P82" s="692"/>
      <c r="Q82" s="692"/>
      <c r="R82" s="692"/>
      <c r="S82" s="692"/>
      <c r="T82" s="692"/>
      <c r="U82" s="692"/>
      <c r="V82" s="692"/>
      <c r="W82" s="692"/>
      <c r="X82" s="692"/>
      <c r="Y82" s="692"/>
      <c r="Z82" s="692"/>
      <c r="AA82" s="692"/>
      <c r="AB82" s="692"/>
      <c r="AC82" s="692"/>
      <c r="AD82" s="692"/>
      <c r="AE82" s="692"/>
      <c r="AF82" s="692"/>
      <c r="AG82" s="692"/>
      <c r="AH82" s="692"/>
      <c r="AI82" s="692"/>
      <c r="AJ82" s="692"/>
      <c r="AK82" s="692"/>
      <c r="AL82" s="692"/>
      <c r="AM82" s="693"/>
      <c r="AN82" s="658"/>
      <c r="AO82" s="659"/>
      <c r="AP82" s="659"/>
      <c r="AQ82" s="659"/>
      <c r="AR82" s="659"/>
      <c r="AS82" s="659"/>
      <c r="AT82" s="659"/>
      <c r="AU82" s="659"/>
      <c r="AV82" s="659"/>
      <c r="AW82" s="659"/>
      <c r="AX82" s="659"/>
      <c r="AY82" s="659"/>
      <c r="AZ82" s="659"/>
      <c r="BA82" s="659"/>
      <c r="BB82" s="659"/>
      <c r="BC82" s="694"/>
      <c r="BD82" s="688"/>
      <c r="BE82" s="695"/>
      <c r="BF82" s="695"/>
      <c r="BG82" s="695"/>
      <c r="BH82" s="695"/>
      <c r="BI82" s="695"/>
      <c r="BJ82" s="695"/>
      <c r="BK82" s="695"/>
      <c r="BL82" s="695"/>
      <c r="BM82" s="696"/>
      <c r="BN82" s="634">
        <f>5000-2828</f>
        <v>2172</v>
      </c>
      <c r="BO82" s="635"/>
      <c r="BP82" s="635"/>
      <c r="BQ82" s="635"/>
      <c r="BR82" s="635"/>
      <c r="BS82" s="635"/>
      <c r="BT82" s="635"/>
      <c r="BU82" s="635"/>
      <c r="BV82" s="635"/>
      <c r="BW82" s="635"/>
      <c r="BX82" s="635"/>
      <c r="BY82" s="635"/>
      <c r="BZ82" s="635"/>
      <c r="CA82" s="635"/>
      <c r="CB82" s="697"/>
      <c r="CC82" s="60">
        <v>2172</v>
      </c>
      <c r="CD82" s="60">
        <v>2172</v>
      </c>
      <c r="CE82" s="60">
        <f t="shared" si="4"/>
        <v>0</v>
      </c>
      <c r="CF82" s="408">
        <f t="shared" si="5"/>
        <v>0</v>
      </c>
    </row>
    <row r="83" spans="1:85" s="14" customFormat="1" ht="15.75" customHeight="1" x14ac:dyDescent="0.2">
      <c r="A83" s="648">
        <v>17</v>
      </c>
      <c r="B83" s="649"/>
      <c r="C83" s="649"/>
      <c r="D83" s="650"/>
      <c r="E83" s="691" t="s">
        <v>488</v>
      </c>
      <c r="F83" s="692"/>
      <c r="G83" s="692"/>
      <c r="H83" s="692"/>
      <c r="I83" s="692"/>
      <c r="J83" s="692"/>
      <c r="K83" s="692"/>
      <c r="L83" s="692"/>
      <c r="M83" s="692"/>
      <c r="N83" s="692"/>
      <c r="O83" s="692"/>
      <c r="P83" s="692"/>
      <c r="Q83" s="692"/>
      <c r="R83" s="692"/>
      <c r="S83" s="692"/>
      <c r="T83" s="692"/>
      <c r="U83" s="692"/>
      <c r="V83" s="692"/>
      <c r="W83" s="692"/>
      <c r="X83" s="692"/>
      <c r="Y83" s="692"/>
      <c r="Z83" s="692"/>
      <c r="AA83" s="692"/>
      <c r="AB83" s="692"/>
      <c r="AC83" s="692"/>
      <c r="AD83" s="692"/>
      <c r="AE83" s="692"/>
      <c r="AF83" s="692"/>
      <c r="AG83" s="692"/>
      <c r="AH83" s="692"/>
      <c r="AI83" s="692"/>
      <c r="AJ83" s="692"/>
      <c r="AK83" s="692"/>
      <c r="AL83" s="692"/>
      <c r="AM83" s="693"/>
      <c r="AN83" s="658"/>
      <c r="AO83" s="659"/>
      <c r="AP83" s="659"/>
      <c r="AQ83" s="659"/>
      <c r="AR83" s="659"/>
      <c r="AS83" s="659"/>
      <c r="AT83" s="659"/>
      <c r="AU83" s="659"/>
      <c r="AV83" s="659"/>
      <c r="AW83" s="659"/>
      <c r="AX83" s="659"/>
      <c r="AY83" s="659"/>
      <c r="AZ83" s="659"/>
      <c r="BA83" s="659"/>
      <c r="BB83" s="659"/>
      <c r="BC83" s="694"/>
      <c r="BD83" s="688"/>
      <c r="BE83" s="695"/>
      <c r="BF83" s="695"/>
      <c r="BG83" s="695"/>
      <c r="BH83" s="695"/>
      <c r="BI83" s="695"/>
      <c r="BJ83" s="695"/>
      <c r="BK83" s="695"/>
      <c r="BL83" s="695"/>
      <c r="BM83" s="696"/>
      <c r="BN83" s="634">
        <f>30740</f>
        <v>30740</v>
      </c>
      <c r="BO83" s="635"/>
      <c r="BP83" s="635"/>
      <c r="BQ83" s="635"/>
      <c r="BR83" s="635"/>
      <c r="BS83" s="635"/>
      <c r="BT83" s="635"/>
      <c r="BU83" s="635"/>
      <c r="BV83" s="635"/>
      <c r="BW83" s="635"/>
      <c r="BX83" s="635"/>
      <c r="BY83" s="635"/>
      <c r="BZ83" s="635"/>
      <c r="CA83" s="635"/>
      <c r="CB83" s="697"/>
      <c r="CC83" s="60">
        <f>30740</f>
        <v>30740</v>
      </c>
      <c r="CD83" s="60">
        <f>30740</f>
        <v>30740</v>
      </c>
      <c r="CE83" s="60">
        <f t="shared" ref="CE83" si="6">CC83-CD83</f>
        <v>0</v>
      </c>
      <c r="CF83" s="408">
        <f t="shared" ref="CF83" si="7">BN83-CC83</f>
        <v>0</v>
      </c>
    </row>
    <row r="84" spans="1:85" s="14" customFormat="1" ht="15.75" customHeight="1" x14ac:dyDescent="0.2">
      <c r="A84" s="648">
        <v>19</v>
      </c>
      <c r="B84" s="649"/>
      <c r="C84" s="649"/>
      <c r="D84" s="650"/>
      <c r="E84" s="691" t="s">
        <v>514</v>
      </c>
      <c r="F84" s="692"/>
      <c r="G84" s="692"/>
      <c r="H84" s="692"/>
      <c r="I84" s="692"/>
      <c r="J84" s="692"/>
      <c r="K84" s="692"/>
      <c r="L84" s="692"/>
      <c r="M84" s="692"/>
      <c r="N84" s="692"/>
      <c r="O84" s="692"/>
      <c r="P84" s="692"/>
      <c r="Q84" s="692"/>
      <c r="R84" s="692"/>
      <c r="S84" s="692"/>
      <c r="T84" s="692"/>
      <c r="U84" s="692"/>
      <c r="V84" s="692"/>
      <c r="W84" s="692"/>
      <c r="X84" s="692"/>
      <c r="Y84" s="692"/>
      <c r="Z84" s="692"/>
      <c r="AA84" s="692"/>
      <c r="AB84" s="692"/>
      <c r="AC84" s="692"/>
      <c r="AD84" s="692"/>
      <c r="AE84" s="692"/>
      <c r="AF84" s="692"/>
      <c r="AG84" s="692"/>
      <c r="AH84" s="692"/>
      <c r="AI84" s="692"/>
      <c r="AJ84" s="692"/>
      <c r="AK84" s="692"/>
      <c r="AL84" s="692"/>
      <c r="AM84" s="693"/>
      <c r="AN84" s="658"/>
      <c r="AO84" s="659"/>
      <c r="AP84" s="659"/>
      <c r="AQ84" s="659"/>
      <c r="AR84" s="659"/>
      <c r="AS84" s="659"/>
      <c r="AT84" s="659"/>
      <c r="AU84" s="659"/>
      <c r="AV84" s="659"/>
      <c r="AW84" s="659"/>
      <c r="AX84" s="659"/>
      <c r="AY84" s="659"/>
      <c r="AZ84" s="659"/>
      <c r="BA84" s="659"/>
      <c r="BB84" s="659"/>
      <c r="BC84" s="694"/>
      <c r="BD84" s="688"/>
      <c r="BE84" s="695"/>
      <c r="BF84" s="695"/>
      <c r="BG84" s="695"/>
      <c r="BH84" s="695"/>
      <c r="BI84" s="695"/>
      <c r="BJ84" s="695"/>
      <c r="BK84" s="695"/>
      <c r="BL84" s="695"/>
      <c r="BM84" s="696"/>
      <c r="BN84" s="634">
        <v>5400</v>
      </c>
      <c r="BO84" s="635"/>
      <c r="BP84" s="635"/>
      <c r="BQ84" s="635"/>
      <c r="BR84" s="635"/>
      <c r="BS84" s="635"/>
      <c r="BT84" s="635"/>
      <c r="BU84" s="635"/>
      <c r="BV84" s="635"/>
      <c r="BW84" s="635"/>
      <c r="BX84" s="635"/>
      <c r="BY84" s="635"/>
      <c r="BZ84" s="635"/>
      <c r="CA84" s="635"/>
      <c r="CB84" s="697"/>
      <c r="CC84" s="60">
        <v>5400</v>
      </c>
      <c r="CD84" s="60">
        <v>5400</v>
      </c>
      <c r="CE84" s="60">
        <f t="shared" ref="CE84" si="8">CC84-CD84</f>
        <v>0</v>
      </c>
      <c r="CF84" s="408">
        <f t="shared" ref="CF84" si="9">BN84-CC84</f>
        <v>0</v>
      </c>
    </row>
    <row r="85" spans="1:85" s="155" customFormat="1" x14ac:dyDescent="0.2">
      <c r="A85" s="698"/>
      <c r="B85" s="699"/>
      <c r="C85" s="699"/>
      <c r="D85" s="700"/>
      <c r="E85" s="593" t="s">
        <v>10</v>
      </c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  <c r="T85" s="594"/>
      <c r="U85" s="594"/>
      <c r="V85" s="594"/>
      <c r="W85" s="594"/>
      <c r="X85" s="594"/>
      <c r="Y85" s="594"/>
      <c r="Z85" s="594"/>
      <c r="AA85" s="594"/>
      <c r="AB85" s="594"/>
      <c r="AC85" s="594"/>
      <c r="AD85" s="594"/>
      <c r="AE85" s="594"/>
      <c r="AF85" s="594"/>
      <c r="AG85" s="594"/>
      <c r="AH85" s="594"/>
      <c r="AI85" s="594"/>
      <c r="AJ85" s="594"/>
      <c r="AK85" s="594"/>
      <c r="AL85" s="594"/>
      <c r="AM85" s="595"/>
      <c r="AN85" s="590" t="s">
        <v>11</v>
      </c>
      <c r="AO85" s="591"/>
      <c r="AP85" s="591"/>
      <c r="AQ85" s="591"/>
      <c r="AR85" s="591"/>
      <c r="AS85" s="591"/>
      <c r="AT85" s="591"/>
      <c r="AU85" s="591"/>
      <c r="AV85" s="591"/>
      <c r="AW85" s="591"/>
      <c r="AX85" s="591"/>
      <c r="AY85" s="591"/>
      <c r="AZ85" s="591"/>
      <c r="BA85" s="591"/>
      <c r="BB85" s="591"/>
      <c r="BC85" s="592"/>
      <c r="BD85" s="590" t="s">
        <v>11</v>
      </c>
      <c r="BE85" s="591"/>
      <c r="BF85" s="591"/>
      <c r="BG85" s="591"/>
      <c r="BH85" s="591"/>
      <c r="BI85" s="591"/>
      <c r="BJ85" s="591"/>
      <c r="BK85" s="591"/>
      <c r="BL85" s="591"/>
      <c r="BM85" s="592"/>
      <c r="BN85" s="605">
        <f>SUM(BN67:CB84)</f>
        <v>545072.4</v>
      </c>
      <c r="BO85" s="606"/>
      <c r="BP85" s="606"/>
      <c r="BQ85" s="606"/>
      <c r="BR85" s="606"/>
      <c r="BS85" s="606"/>
      <c r="BT85" s="606"/>
      <c r="BU85" s="606"/>
      <c r="BV85" s="606"/>
      <c r="BW85" s="606"/>
      <c r="BX85" s="606"/>
      <c r="BY85" s="606"/>
      <c r="BZ85" s="606"/>
      <c r="CA85" s="606"/>
      <c r="CB85" s="606"/>
      <c r="CC85" s="158"/>
      <c r="CD85" s="158"/>
      <c r="CE85" s="158"/>
      <c r="CF85" s="409"/>
    </row>
    <row r="86" spans="1:85" s="3" customFormat="1" ht="15.75" x14ac:dyDescent="0.25">
      <c r="A86" s="701" t="s">
        <v>323</v>
      </c>
      <c r="B86" s="701"/>
      <c r="C86" s="701"/>
      <c r="D86" s="701"/>
      <c r="E86" s="701"/>
      <c r="F86" s="701"/>
      <c r="G86" s="701"/>
      <c r="H86" s="701"/>
      <c r="I86" s="701"/>
      <c r="J86" s="701"/>
      <c r="K86" s="701"/>
      <c r="L86" s="701"/>
      <c r="M86" s="701"/>
      <c r="N86" s="701"/>
      <c r="O86" s="701"/>
      <c r="P86" s="701"/>
      <c r="Q86" s="701"/>
      <c r="R86" s="701"/>
      <c r="S86" s="701"/>
      <c r="T86" s="701"/>
      <c r="U86" s="701"/>
      <c r="V86" s="701"/>
      <c r="W86" s="701"/>
      <c r="X86" s="701"/>
      <c r="Y86" s="701"/>
      <c r="Z86" s="701"/>
      <c r="AA86" s="701"/>
      <c r="AB86" s="701"/>
      <c r="AC86" s="701"/>
      <c r="AD86" s="701"/>
      <c r="AE86" s="701"/>
      <c r="AF86" s="701"/>
      <c r="AG86" s="701"/>
      <c r="AH86" s="701"/>
      <c r="AI86" s="701"/>
      <c r="AJ86" s="701"/>
      <c r="AK86" s="701"/>
      <c r="AL86" s="701"/>
      <c r="AM86" s="701"/>
      <c r="AN86" s="701"/>
      <c r="AO86" s="701"/>
      <c r="AP86" s="701"/>
      <c r="AQ86" s="701"/>
      <c r="AR86" s="701"/>
      <c r="AS86" s="701"/>
      <c r="AT86" s="701"/>
      <c r="AU86" s="701"/>
      <c r="AV86" s="701"/>
      <c r="AW86" s="701"/>
      <c r="AX86" s="701"/>
      <c r="AY86" s="701"/>
      <c r="AZ86" s="701"/>
      <c r="BA86" s="701"/>
      <c r="BB86" s="701"/>
      <c r="BC86" s="701"/>
      <c r="BD86" s="701"/>
      <c r="BE86" s="701"/>
      <c r="BF86" s="701"/>
      <c r="BG86" s="701"/>
      <c r="BH86" s="701"/>
      <c r="BI86" s="701"/>
      <c r="BJ86" s="701"/>
      <c r="BK86" s="701"/>
      <c r="BL86" s="701"/>
      <c r="BM86" s="701"/>
      <c r="BN86" s="701"/>
      <c r="BO86" s="701"/>
      <c r="BP86" s="701"/>
      <c r="BQ86" s="701"/>
      <c r="BR86" s="701"/>
      <c r="BS86" s="701"/>
      <c r="BT86" s="701"/>
      <c r="BU86" s="701"/>
      <c r="BV86" s="701"/>
      <c r="BW86" s="701"/>
      <c r="BX86" s="701"/>
      <c r="BY86" s="701"/>
      <c r="BZ86" s="701"/>
      <c r="CA86" s="701"/>
      <c r="CB86" s="701"/>
      <c r="CC86" s="122"/>
      <c r="CD86" s="115"/>
      <c r="CE86" s="115"/>
      <c r="CF86" s="406"/>
    </row>
    <row r="87" spans="1:85" s="6" customForma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123"/>
      <c r="CD87" s="117"/>
      <c r="CE87" s="117"/>
      <c r="CF87" s="406"/>
    </row>
    <row r="88" spans="1:85" x14ac:dyDescent="0.2">
      <c r="A88" s="519" t="s">
        <v>5</v>
      </c>
      <c r="B88" s="520"/>
      <c r="C88" s="520"/>
      <c r="D88" s="523"/>
      <c r="E88" s="519" t="s">
        <v>13</v>
      </c>
      <c r="F88" s="520"/>
      <c r="G88" s="520"/>
      <c r="H88" s="520"/>
      <c r="I88" s="520"/>
      <c r="J88" s="520"/>
      <c r="K88" s="520"/>
      <c r="L88" s="520"/>
      <c r="M88" s="520"/>
      <c r="N88" s="520"/>
      <c r="O88" s="520"/>
      <c r="P88" s="520"/>
      <c r="Q88" s="520"/>
      <c r="R88" s="520"/>
      <c r="S88" s="520"/>
      <c r="T88" s="520"/>
      <c r="U88" s="520"/>
      <c r="V88" s="520"/>
      <c r="W88" s="520"/>
      <c r="X88" s="520"/>
      <c r="Y88" s="520"/>
      <c r="Z88" s="520"/>
      <c r="AA88" s="520"/>
      <c r="AB88" s="520"/>
      <c r="AC88" s="520"/>
      <c r="AD88" s="520"/>
      <c r="AE88" s="520"/>
      <c r="AF88" s="520"/>
      <c r="AG88" s="520"/>
      <c r="AH88" s="520"/>
      <c r="AI88" s="520"/>
      <c r="AJ88" s="520"/>
      <c r="AK88" s="520"/>
      <c r="AL88" s="520"/>
      <c r="AM88" s="520"/>
      <c r="AN88" s="520"/>
      <c r="AO88" s="520"/>
      <c r="AP88" s="520"/>
      <c r="AQ88" s="520"/>
      <c r="AR88" s="520"/>
      <c r="AS88" s="520"/>
      <c r="AT88" s="520"/>
      <c r="AU88" s="520"/>
      <c r="AV88" s="520"/>
      <c r="AW88" s="520"/>
      <c r="AX88" s="520"/>
      <c r="AY88" s="520"/>
      <c r="AZ88" s="520"/>
      <c r="BA88" s="520"/>
      <c r="BB88" s="520"/>
      <c r="BC88" s="523"/>
      <c r="BD88" s="519" t="s">
        <v>18</v>
      </c>
      <c r="BE88" s="520"/>
      <c r="BF88" s="520"/>
      <c r="BG88" s="520"/>
      <c r="BH88" s="520"/>
      <c r="BI88" s="520"/>
      <c r="BJ88" s="520"/>
      <c r="BK88" s="520"/>
      <c r="BL88" s="520"/>
      <c r="BM88" s="523"/>
      <c r="BN88" s="519" t="s">
        <v>83</v>
      </c>
      <c r="BO88" s="520"/>
      <c r="BP88" s="520"/>
      <c r="BQ88" s="520"/>
      <c r="BR88" s="520"/>
      <c r="BS88" s="520"/>
      <c r="BT88" s="520"/>
      <c r="BU88" s="520"/>
      <c r="BV88" s="520"/>
      <c r="BW88" s="520"/>
      <c r="BX88" s="520"/>
      <c r="BY88" s="520"/>
      <c r="BZ88" s="520"/>
      <c r="CA88" s="520"/>
      <c r="CB88" s="520"/>
      <c r="CC88" s="124"/>
      <c r="CD88" s="41"/>
      <c r="CE88" s="41"/>
      <c r="CF88" s="406"/>
    </row>
    <row r="89" spans="1:85" x14ac:dyDescent="0.2">
      <c r="A89" s="521" t="s">
        <v>6</v>
      </c>
      <c r="B89" s="522"/>
      <c r="C89" s="522"/>
      <c r="D89" s="537"/>
      <c r="E89" s="531"/>
      <c r="F89" s="532"/>
      <c r="G89" s="532"/>
      <c r="H89" s="532"/>
      <c r="I89" s="532"/>
      <c r="J89" s="532"/>
      <c r="K89" s="532"/>
      <c r="L89" s="532"/>
      <c r="M89" s="532"/>
      <c r="N89" s="532"/>
      <c r="O89" s="532"/>
      <c r="P89" s="532"/>
      <c r="Q89" s="532"/>
      <c r="R89" s="532"/>
      <c r="S89" s="532"/>
      <c r="T89" s="532"/>
      <c r="U89" s="532"/>
      <c r="V89" s="532"/>
      <c r="W89" s="532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I89" s="532"/>
      <c r="AJ89" s="532"/>
      <c r="AK89" s="532"/>
      <c r="AL89" s="532"/>
      <c r="AM89" s="532"/>
      <c r="AN89" s="532"/>
      <c r="AO89" s="532"/>
      <c r="AP89" s="532"/>
      <c r="AQ89" s="532"/>
      <c r="AR89" s="532"/>
      <c r="AS89" s="532"/>
      <c r="AT89" s="532"/>
      <c r="AU89" s="532"/>
      <c r="AV89" s="532"/>
      <c r="AW89" s="532"/>
      <c r="AX89" s="532"/>
      <c r="AY89" s="532"/>
      <c r="AZ89" s="532"/>
      <c r="BA89" s="532"/>
      <c r="BB89" s="532"/>
      <c r="BC89" s="533"/>
      <c r="BD89" s="521" t="s">
        <v>104</v>
      </c>
      <c r="BE89" s="522"/>
      <c r="BF89" s="522"/>
      <c r="BG89" s="522"/>
      <c r="BH89" s="522"/>
      <c r="BI89" s="522"/>
      <c r="BJ89" s="522"/>
      <c r="BK89" s="522"/>
      <c r="BL89" s="522"/>
      <c r="BM89" s="537"/>
      <c r="BN89" s="521" t="s">
        <v>105</v>
      </c>
      <c r="BO89" s="522"/>
      <c r="BP89" s="522"/>
      <c r="BQ89" s="522"/>
      <c r="BR89" s="522"/>
      <c r="BS89" s="522"/>
      <c r="BT89" s="522"/>
      <c r="BU89" s="522"/>
      <c r="BV89" s="522"/>
      <c r="BW89" s="522"/>
      <c r="BX89" s="522"/>
      <c r="BY89" s="522"/>
      <c r="BZ89" s="522"/>
      <c r="CA89" s="522"/>
      <c r="CB89" s="522"/>
      <c r="CC89" s="124"/>
      <c r="CD89" s="41"/>
      <c r="CE89" s="41"/>
      <c r="CF89" s="406"/>
    </row>
    <row r="90" spans="1:85" ht="18.75" customHeight="1" x14ac:dyDescent="0.25">
      <c r="A90" s="554">
        <v>1</v>
      </c>
      <c r="B90" s="555"/>
      <c r="C90" s="555"/>
      <c r="D90" s="556"/>
      <c r="E90" s="554">
        <v>2</v>
      </c>
      <c r="F90" s="555"/>
      <c r="G90" s="555"/>
      <c r="H90" s="555"/>
      <c r="I90" s="555"/>
      <c r="J90" s="555"/>
      <c r="K90" s="555"/>
      <c r="L90" s="555"/>
      <c r="M90" s="555"/>
      <c r="N90" s="555"/>
      <c r="O90" s="555"/>
      <c r="P90" s="555"/>
      <c r="Q90" s="555"/>
      <c r="R90" s="555"/>
      <c r="S90" s="555"/>
      <c r="T90" s="555"/>
      <c r="U90" s="555"/>
      <c r="V90" s="555"/>
      <c r="W90" s="555"/>
      <c r="X90" s="555"/>
      <c r="Y90" s="555"/>
      <c r="Z90" s="555"/>
      <c r="AA90" s="555"/>
      <c r="AB90" s="555"/>
      <c r="AC90" s="555"/>
      <c r="AD90" s="555"/>
      <c r="AE90" s="555"/>
      <c r="AF90" s="555"/>
      <c r="AG90" s="555"/>
      <c r="AH90" s="555"/>
      <c r="AI90" s="555"/>
      <c r="AJ90" s="555"/>
      <c r="AK90" s="555"/>
      <c r="AL90" s="555"/>
      <c r="AM90" s="555"/>
      <c r="AN90" s="555"/>
      <c r="AO90" s="555"/>
      <c r="AP90" s="555"/>
      <c r="AQ90" s="555"/>
      <c r="AR90" s="555"/>
      <c r="AS90" s="555"/>
      <c r="AT90" s="555"/>
      <c r="AU90" s="555"/>
      <c r="AV90" s="555"/>
      <c r="AW90" s="555"/>
      <c r="AX90" s="555"/>
      <c r="AY90" s="555"/>
      <c r="AZ90" s="555"/>
      <c r="BA90" s="555"/>
      <c r="BB90" s="555"/>
      <c r="BC90" s="556"/>
      <c r="BD90" s="554">
        <v>3</v>
      </c>
      <c r="BE90" s="555"/>
      <c r="BF90" s="555"/>
      <c r="BG90" s="555"/>
      <c r="BH90" s="555"/>
      <c r="BI90" s="555"/>
      <c r="BJ90" s="555"/>
      <c r="BK90" s="555"/>
      <c r="BL90" s="555"/>
      <c r="BM90" s="556"/>
      <c r="BN90" s="554">
        <v>4</v>
      </c>
      <c r="BO90" s="555"/>
      <c r="BP90" s="555"/>
      <c r="BQ90" s="555"/>
      <c r="BR90" s="555"/>
      <c r="BS90" s="555"/>
      <c r="BT90" s="555"/>
      <c r="BU90" s="555"/>
      <c r="BV90" s="555"/>
      <c r="BW90" s="555"/>
      <c r="BX90" s="555"/>
      <c r="BY90" s="555"/>
      <c r="BZ90" s="555"/>
      <c r="CA90" s="555"/>
      <c r="CB90" s="556"/>
      <c r="CC90" s="62" t="s">
        <v>193</v>
      </c>
      <c r="CD90" s="62" t="s">
        <v>194</v>
      </c>
      <c r="CE90" s="62" t="s">
        <v>298</v>
      </c>
      <c r="CF90" s="407" t="s">
        <v>296</v>
      </c>
    </row>
    <row r="91" spans="1:85" s="14" customFormat="1" ht="16.5" customHeight="1" x14ac:dyDescent="0.2">
      <c r="A91" s="648">
        <v>1</v>
      </c>
      <c r="B91" s="649"/>
      <c r="C91" s="649"/>
      <c r="D91" s="650"/>
      <c r="E91" s="691" t="s">
        <v>200</v>
      </c>
      <c r="F91" s="692"/>
      <c r="G91" s="692"/>
      <c r="H91" s="692"/>
      <c r="I91" s="692"/>
      <c r="J91" s="692"/>
      <c r="K91" s="692"/>
      <c r="L91" s="692"/>
      <c r="M91" s="692"/>
      <c r="N91" s="692"/>
      <c r="O91" s="692"/>
      <c r="P91" s="692"/>
      <c r="Q91" s="692"/>
      <c r="R91" s="692"/>
      <c r="S91" s="692"/>
      <c r="T91" s="692"/>
      <c r="U91" s="692"/>
      <c r="V91" s="692"/>
      <c r="W91" s="692"/>
      <c r="X91" s="692"/>
      <c r="Y91" s="692"/>
      <c r="Z91" s="692"/>
      <c r="AA91" s="692"/>
      <c r="AB91" s="692"/>
      <c r="AC91" s="692"/>
      <c r="AD91" s="692"/>
      <c r="AE91" s="692"/>
      <c r="AF91" s="692"/>
      <c r="AG91" s="692"/>
      <c r="AH91" s="692"/>
      <c r="AI91" s="692"/>
      <c r="AJ91" s="692"/>
      <c r="AK91" s="692"/>
      <c r="AL91" s="692"/>
      <c r="AM91" s="692"/>
      <c r="AN91" s="692"/>
      <c r="AO91" s="692"/>
      <c r="AP91" s="692"/>
      <c r="AQ91" s="692"/>
      <c r="AR91" s="692"/>
      <c r="AS91" s="692"/>
      <c r="AT91" s="692"/>
      <c r="AU91" s="692"/>
      <c r="AV91" s="692"/>
      <c r="AW91" s="692"/>
      <c r="AX91" s="692"/>
      <c r="AY91" s="692"/>
      <c r="AZ91" s="692"/>
      <c r="BA91" s="692"/>
      <c r="BB91" s="692"/>
      <c r="BC91" s="693"/>
      <c r="BD91" s="688"/>
      <c r="BE91" s="695"/>
      <c r="BF91" s="695"/>
      <c r="BG91" s="695"/>
      <c r="BH91" s="695"/>
      <c r="BI91" s="695"/>
      <c r="BJ91" s="695"/>
      <c r="BK91" s="695"/>
      <c r="BL91" s="695"/>
      <c r="BM91" s="696"/>
      <c r="BN91" s="729">
        <f>23628.96-64.56</f>
        <v>23564.399999999998</v>
      </c>
      <c r="BO91" s="730"/>
      <c r="BP91" s="730"/>
      <c r="BQ91" s="730"/>
      <c r="BR91" s="730"/>
      <c r="BS91" s="730"/>
      <c r="BT91" s="730"/>
      <c r="BU91" s="730"/>
      <c r="BV91" s="730"/>
      <c r="BW91" s="730"/>
      <c r="BX91" s="730"/>
      <c r="BY91" s="730"/>
      <c r="BZ91" s="730"/>
      <c r="CA91" s="730"/>
      <c r="CB91" s="731"/>
      <c r="CC91" s="60">
        <f>23564.4</f>
        <v>23564.400000000001</v>
      </c>
      <c r="CD91" s="60">
        <f>1963.7+1963.7+1963.7+1963.7+1963.7+1963.7+1963.7+1963.7</f>
        <v>15709.600000000002</v>
      </c>
      <c r="CE91" s="60">
        <f>CC91-CD91</f>
        <v>7854.7999999999993</v>
      </c>
      <c r="CF91" s="408">
        <f>BN91-CC91</f>
        <v>0</v>
      </c>
    </row>
    <row r="92" spans="1:85" s="14" customFormat="1" ht="16.5" customHeight="1" x14ac:dyDescent="0.2">
      <c r="A92" s="658">
        <v>2</v>
      </c>
      <c r="B92" s="659"/>
      <c r="C92" s="659"/>
      <c r="D92" s="694"/>
      <c r="E92" s="691" t="s">
        <v>347</v>
      </c>
      <c r="F92" s="692"/>
      <c r="G92" s="692"/>
      <c r="H92" s="692"/>
      <c r="I92" s="692"/>
      <c r="J92" s="692"/>
      <c r="K92" s="692"/>
      <c r="L92" s="692"/>
      <c r="M92" s="692"/>
      <c r="N92" s="692"/>
      <c r="O92" s="692"/>
      <c r="P92" s="692"/>
      <c r="Q92" s="692"/>
      <c r="R92" s="692"/>
      <c r="S92" s="692"/>
      <c r="T92" s="692"/>
      <c r="U92" s="692"/>
      <c r="V92" s="692"/>
      <c r="W92" s="692"/>
      <c r="X92" s="692"/>
      <c r="Y92" s="692"/>
      <c r="Z92" s="692"/>
      <c r="AA92" s="692"/>
      <c r="AB92" s="692"/>
      <c r="AC92" s="692"/>
      <c r="AD92" s="692"/>
      <c r="AE92" s="692"/>
      <c r="AF92" s="692"/>
      <c r="AG92" s="692"/>
      <c r="AH92" s="692"/>
      <c r="AI92" s="692"/>
      <c r="AJ92" s="692"/>
      <c r="AK92" s="692"/>
      <c r="AL92" s="692"/>
      <c r="AM92" s="692"/>
      <c r="AN92" s="692"/>
      <c r="AO92" s="692"/>
      <c r="AP92" s="692"/>
      <c r="AQ92" s="692"/>
      <c r="AR92" s="692"/>
      <c r="AS92" s="692"/>
      <c r="AT92" s="692"/>
      <c r="AU92" s="692"/>
      <c r="AV92" s="692"/>
      <c r="AW92" s="692"/>
      <c r="AX92" s="692"/>
      <c r="AY92" s="692"/>
      <c r="AZ92" s="692"/>
      <c r="BA92" s="692"/>
      <c r="BB92" s="692"/>
      <c r="BC92" s="693"/>
      <c r="BD92" s="688"/>
      <c r="BE92" s="695"/>
      <c r="BF92" s="695"/>
      <c r="BG92" s="695"/>
      <c r="BH92" s="695"/>
      <c r="BI92" s="695"/>
      <c r="BJ92" s="695"/>
      <c r="BK92" s="695"/>
      <c r="BL92" s="695"/>
      <c r="BM92" s="696"/>
      <c r="BN92" s="729">
        <f>21000</f>
        <v>21000</v>
      </c>
      <c r="BO92" s="730"/>
      <c r="BP92" s="730"/>
      <c r="BQ92" s="730"/>
      <c r="BR92" s="730"/>
      <c r="BS92" s="730"/>
      <c r="BT92" s="730"/>
      <c r="BU92" s="730"/>
      <c r="BV92" s="730"/>
      <c r="BW92" s="730"/>
      <c r="BX92" s="730"/>
      <c r="BY92" s="730"/>
      <c r="BZ92" s="730"/>
      <c r="CA92" s="730"/>
      <c r="CB92" s="731"/>
      <c r="CC92" s="60">
        <f>21000</f>
        <v>21000</v>
      </c>
      <c r="CD92" s="60">
        <f>21000</f>
        <v>21000</v>
      </c>
      <c r="CE92" s="60">
        <f t="shared" ref="CE92:CE109" si="10">CC92-CD92</f>
        <v>0</v>
      </c>
      <c r="CF92" s="408">
        <f t="shared" ref="CF92:CF109" si="11">BN92-CC92</f>
        <v>0</v>
      </c>
    </row>
    <row r="93" spans="1:85" s="14" customFormat="1" ht="16.5" customHeight="1" x14ac:dyDescent="0.2">
      <c r="A93" s="648">
        <v>3</v>
      </c>
      <c r="B93" s="649"/>
      <c r="C93" s="649"/>
      <c r="D93" s="650"/>
      <c r="E93" s="691" t="s">
        <v>485</v>
      </c>
      <c r="F93" s="692"/>
      <c r="G93" s="692"/>
      <c r="H93" s="692"/>
      <c r="I93" s="692"/>
      <c r="J93" s="692"/>
      <c r="K93" s="692"/>
      <c r="L93" s="692"/>
      <c r="M93" s="692"/>
      <c r="N93" s="692"/>
      <c r="O93" s="692"/>
      <c r="P93" s="692"/>
      <c r="Q93" s="692"/>
      <c r="R93" s="692"/>
      <c r="S93" s="692"/>
      <c r="T93" s="692"/>
      <c r="U93" s="692"/>
      <c r="V93" s="692"/>
      <c r="W93" s="692"/>
      <c r="X93" s="692"/>
      <c r="Y93" s="692"/>
      <c r="Z93" s="692"/>
      <c r="AA93" s="692"/>
      <c r="AB93" s="692"/>
      <c r="AC93" s="692"/>
      <c r="AD93" s="692"/>
      <c r="AE93" s="692"/>
      <c r="AF93" s="692"/>
      <c r="AG93" s="692"/>
      <c r="AH93" s="692"/>
      <c r="AI93" s="692"/>
      <c r="AJ93" s="692"/>
      <c r="AK93" s="692"/>
      <c r="AL93" s="692"/>
      <c r="AM93" s="692"/>
      <c r="AN93" s="692"/>
      <c r="AO93" s="692"/>
      <c r="AP93" s="692"/>
      <c r="AQ93" s="692"/>
      <c r="AR93" s="692"/>
      <c r="AS93" s="692"/>
      <c r="AT93" s="692"/>
      <c r="AU93" s="692"/>
      <c r="AV93" s="692"/>
      <c r="AW93" s="692"/>
      <c r="AX93" s="692"/>
      <c r="AY93" s="692"/>
      <c r="AZ93" s="692"/>
      <c r="BA93" s="692"/>
      <c r="BB93" s="692"/>
      <c r="BC93" s="693"/>
      <c r="BD93" s="688"/>
      <c r="BE93" s="695"/>
      <c r="BF93" s="695"/>
      <c r="BG93" s="695"/>
      <c r="BH93" s="695"/>
      <c r="BI93" s="695"/>
      <c r="BJ93" s="695"/>
      <c r="BK93" s="695"/>
      <c r="BL93" s="695"/>
      <c r="BM93" s="696"/>
      <c r="BN93" s="729">
        <f>27200+77000-31900</f>
        <v>72300</v>
      </c>
      <c r="BO93" s="730"/>
      <c r="BP93" s="730"/>
      <c r="BQ93" s="730"/>
      <c r="BR93" s="730"/>
      <c r="BS93" s="730"/>
      <c r="BT93" s="730"/>
      <c r="BU93" s="730"/>
      <c r="BV93" s="730"/>
      <c r="BW93" s="730"/>
      <c r="BX93" s="730"/>
      <c r="BY93" s="730"/>
      <c r="BZ93" s="730"/>
      <c r="CA93" s="730"/>
      <c r="CB93" s="731"/>
      <c r="CC93" s="60">
        <v>72300</v>
      </c>
      <c r="CD93" s="60">
        <v>72300</v>
      </c>
      <c r="CE93" s="60">
        <f t="shared" si="10"/>
        <v>0</v>
      </c>
      <c r="CF93" s="408">
        <f t="shared" si="11"/>
        <v>0</v>
      </c>
    </row>
    <row r="94" spans="1:85" s="14" customFormat="1" ht="16.5" customHeight="1" x14ac:dyDescent="0.2">
      <c r="A94" s="648">
        <v>4</v>
      </c>
      <c r="B94" s="649"/>
      <c r="C94" s="649"/>
      <c r="D94" s="650"/>
      <c r="E94" s="691" t="s">
        <v>486</v>
      </c>
      <c r="F94" s="692"/>
      <c r="G94" s="692"/>
      <c r="H94" s="692"/>
      <c r="I94" s="692"/>
      <c r="J94" s="692"/>
      <c r="K94" s="692"/>
      <c r="L94" s="692"/>
      <c r="M94" s="692"/>
      <c r="N94" s="692"/>
      <c r="O94" s="692"/>
      <c r="P94" s="692"/>
      <c r="Q94" s="692"/>
      <c r="R94" s="692"/>
      <c r="S94" s="692"/>
      <c r="T94" s="692"/>
      <c r="U94" s="692"/>
      <c r="V94" s="692"/>
      <c r="W94" s="692"/>
      <c r="X94" s="692"/>
      <c r="Y94" s="692"/>
      <c r="Z94" s="692"/>
      <c r="AA94" s="692"/>
      <c r="AB94" s="692"/>
      <c r="AC94" s="692"/>
      <c r="AD94" s="692"/>
      <c r="AE94" s="692"/>
      <c r="AF94" s="692"/>
      <c r="AG94" s="692"/>
      <c r="AH94" s="692"/>
      <c r="AI94" s="692"/>
      <c r="AJ94" s="692"/>
      <c r="AK94" s="692"/>
      <c r="AL94" s="692"/>
      <c r="AM94" s="692"/>
      <c r="AN94" s="692"/>
      <c r="AO94" s="692"/>
      <c r="AP94" s="692"/>
      <c r="AQ94" s="692"/>
      <c r="AR94" s="692"/>
      <c r="AS94" s="692"/>
      <c r="AT94" s="692"/>
      <c r="AU94" s="692"/>
      <c r="AV94" s="692"/>
      <c r="AW94" s="692"/>
      <c r="AX94" s="692"/>
      <c r="AY94" s="692"/>
      <c r="AZ94" s="692"/>
      <c r="BA94" s="692"/>
      <c r="BB94" s="692"/>
      <c r="BC94" s="693"/>
      <c r="BD94" s="688"/>
      <c r="BE94" s="689"/>
      <c r="BF94" s="689"/>
      <c r="BG94" s="689"/>
      <c r="BH94" s="689"/>
      <c r="BI94" s="689"/>
      <c r="BJ94" s="689"/>
      <c r="BK94" s="689"/>
      <c r="BL94" s="689"/>
      <c r="BM94" s="690"/>
      <c r="BN94" s="729">
        <f>25000+9000-5400</f>
        <v>28600</v>
      </c>
      <c r="BO94" s="730"/>
      <c r="BP94" s="730"/>
      <c r="BQ94" s="730"/>
      <c r="BR94" s="730"/>
      <c r="BS94" s="730"/>
      <c r="BT94" s="730"/>
      <c r="BU94" s="730"/>
      <c r="BV94" s="730"/>
      <c r="BW94" s="730"/>
      <c r="BX94" s="730"/>
      <c r="BY94" s="730"/>
      <c r="BZ94" s="730"/>
      <c r="CA94" s="730"/>
      <c r="CB94" s="731"/>
      <c r="CC94" s="60">
        <f>6000+3000</f>
        <v>9000</v>
      </c>
      <c r="CD94" s="60">
        <f>6000+3000</f>
        <v>9000</v>
      </c>
      <c r="CE94" s="60">
        <f t="shared" si="10"/>
        <v>0</v>
      </c>
      <c r="CF94" s="408">
        <f t="shared" si="11"/>
        <v>19600</v>
      </c>
    </row>
    <row r="95" spans="1:85" s="14" customFormat="1" ht="16.5" customHeight="1" x14ac:dyDescent="0.2">
      <c r="A95" s="658">
        <v>5</v>
      </c>
      <c r="B95" s="659"/>
      <c r="C95" s="659"/>
      <c r="D95" s="694"/>
      <c r="E95" s="691" t="s">
        <v>457</v>
      </c>
      <c r="F95" s="692"/>
      <c r="G95" s="692"/>
      <c r="H95" s="692"/>
      <c r="I95" s="692"/>
      <c r="J95" s="692"/>
      <c r="K95" s="692"/>
      <c r="L95" s="692"/>
      <c r="M95" s="692"/>
      <c r="N95" s="692"/>
      <c r="O95" s="692"/>
      <c r="P95" s="692"/>
      <c r="Q95" s="692"/>
      <c r="R95" s="692"/>
      <c r="S95" s="692"/>
      <c r="T95" s="692"/>
      <c r="U95" s="692"/>
      <c r="V95" s="692"/>
      <c r="W95" s="692"/>
      <c r="X95" s="692"/>
      <c r="Y95" s="692"/>
      <c r="Z95" s="692"/>
      <c r="AA95" s="692"/>
      <c r="AB95" s="692"/>
      <c r="AC95" s="692"/>
      <c r="AD95" s="692"/>
      <c r="AE95" s="692"/>
      <c r="AF95" s="692"/>
      <c r="AG95" s="692"/>
      <c r="AH95" s="692"/>
      <c r="AI95" s="692"/>
      <c r="AJ95" s="692"/>
      <c r="AK95" s="692"/>
      <c r="AL95" s="692"/>
      <c r="AM95" s="692"/>
      <c r="AN95" s="692"/>
      <c r="AO95" s="692"/>
      <c r="AP95" s="692"/>
      <c r="AQ95" s="692"/>
      <c r="AR95" s="692"/>
      <c r="AS95" s="692"/>
      <c r="AT95" s="692"/>
      <c r="AU95" s="692"/>
      <c r="AV95" s="692"/>
      <c r="AW95" s="692"/>
      <c r="AX95" s="692"/>
      <c r="AY95" s="692"/>
      <c r="AZ95" s="692"/>
      <c r="BA95" s="692"/>
      <c r="BB95" s="692"/>
      <c r="BC95" s="693"/>
      <c r="BD95" s="688"/>
      <c r="BE95" s="695"/>
      <c r="BF95" s="695"/>
      <c r="BG95" s="695"/>
      <c r="BH95" s="695"/>
      <c r="BI95" s="695"/>
      <c r="BJ95" s="695"/>
      <c r="BK95" s="695"/>
      <c r="BL95" s="695"/>
      <c r="BM95" s="696"/>
      <c r="BN95" s="729">
        <f>1770726.95-14000+46388.61</f>
        <v>1803115.56</v>
      </c>
      <c r="BO95" s="730"/>
      <c r="BP95" s="730"/>
      <c r="BQ95" s="730"/>
      <c r="BR95" s="730"/>
      <c r="BS95" s="730"/>
      <c r="BT95" s="730"/>
      <c r="BU95" s="730"/>
      <c r="BV95" s="730"/>
      <c r="BW95" s="730"/>
      <c r="BX95" s="730"/>
      <c r="BY95" s="730"/>
      <c r="BZ95" s="730"/>
      <c r="CA95" s="730"/>
      <c r="CB95" s="731"/>
      <c r="CC95" s="206">
        <f>105368.25+62032.18+1163589.69</f>
        <v>1330990.1199999999</v>
      </c>
      <c r="CD95" s="60">
        <f>105368.25+62032.18+39229.41+162645.35+164590.61+115418.76</f>
        <v>649284.56000000006</v>
      </c>
      <c r="CE95" s="60">
        <f>CC95-CD95</f>
        <v>681705.55999999982</v>
      </c>
      <c r="CF95" s="408">
        <f>BN95-CC95</f>
        <v>472125.44000000018</v>
      </c>
      <c r="CG95" s="454">
        <f>BN95-CD95</f>
        <v>1153831</v>
      </c>
    </row>
    <row r="96" spans="1:85" s="14" customFormat="1" ht="16.5" customHeight="1" x14ac:dyDescent="0.2">
      <c r="A96" s="648">
        <v>6</v>
      </c>
      <c r="B96" s="649"/>
      <c r="C96" s="649"/>
      <c r="D96" s="650"/>
      <c r="E96" s="691" t="s">
        <v>458</v>
      </c>
      <c r="F96" s="692"/>
      <c r="G96" s="692"/>
      <c r="H96" s="692"/>
      <c r="I96" s="692"/>
      <c r="J96" s="692"/>
      <c r="K96" s="692"/>
      <c r="L96" s="692"/>
      <c r="M96" s="692"/>
      <c r="N96" s="692"/>
      <c r="O96" s="692"/>
      <c r="P96" s="692"/>
      <c r="Q96" s="692"/>
      <c r="R96" s="692"/>
      <c r="S96" s="692"/>
      <c r="T96" s="692"/>
      <c r="U96" s="692"/>
      <c r="V96" s="692"/>
      <c r="W96" s="692"/>
      <c r="X96" s="692"/>
      <c r="Y96" s="692"/>
      <c r="Z96" s="692"/>
      <c r="AA96" s="692"/>
      <c r="AB96" s="692"/>
      <c r="AC96" s="692"/>
      <c r="AD96" s="692"/>
      <c r="AE96" s="692"/>
      <c r="AF96" s="692"/>
      <c r="AG96" s="692"/>
      <c r="AH96" s="692"/>
      <c r="AI96" s="692"/>
      <c r="AJ96" s="692"/>
      <c r="AK96" s="692"/>
      <c r="AL96" s="692"/>
      <c r="AM96" s="692"/>
      <c r="AN96" s="692"/>
      <c r="AO96" s="692"/>
      <c r="AP96" s="692"/>
      <c r="AQ96" s="692"/>
      <c r="AR96" s="692"/>
      <c r="AS96" s="692"/>
      <c r="AT96" s="692"/>
      <c r="AU96" s="692"/>
      <c r="AV96" s="692"/>
      <c r="AW96" s="692"/>
      <c r="AX96" s="692"/>
      <c r="AY96" s="692"/>
      <c r="AZ96" s="692"/>
      <c r="BA96" s="692"/>
      <c r="BB96" s="692"/>
      <c r="BC96" s="693"/>
      <c r="BD96" s="688"/>
      <c r="BE96" s="695"/>
      <c r="BF96" s="695"/>
      <c r="BG96" s="695"/>
      <c r="BH96" s="695"/>
      <c r="BI96" s="695"/>
      <c r="BJ96" s="695"/>
      <c r="BK96" s="695"/>
      <c r="BL96" s="695"/>
      <c r="BM96" s="696"/>
      <c r="BN96" s="729">
        <f>2159983.8-200000+365643.52</f>
        <v>2325627.3199999998</v>
      </c>
      <c r="BO96" s="730"/>
      <c r="BP96" s="730"/>
      <c r="BQ96" s="730"/>
      <c r="BR96" s="730"/>
      <c r="BS96" s="730"/>
      <c r="BT96" s="730"/>
      <c r="BU96" s="730"/>
      <c r="BV96" s="730"/>
      <c r="BW96" s="730"/>
      <c r="BX96" s="730"/>
      <c r="BY96" s="730"/>
      <c r="BZ96" s="730"/>
      <c r="CA96" s="730"/>
      <c r="CB96" s="731"/>
      <c r="CC96" s="206">
        <f>152656.68+86704.92+1543755</f>
        <v>1783116.6</v>
      </c>
      <c r="CD96" s="206">
        <f>152656.68+86704.92+57421.32+219372.36+220008.96+150619.56</f>
        <v>886783.8</v>
      </c>
      <c r="CE96" s="60">
        <f t="shared" si="10"/>
        <v>896332.80000000005</v>
      </c>
      <c r="CF96" s="408">
        <f t="shared" si="11"/>
        <v>542510.71999999974</v>
      </c>
      <c r="CG96" s="454">
        <f t="shared" ref="CG96:CG97" si="12">BN96-CD96</f>
        <v>1438843.5199999998</v>
      </c>
    </row>
    <row r="97" spans="1:85" ht="16.5" customHeight="1" x14ac:dyDescent="0.2">
      <c r="A97" s="648">
        <v>7</v>
      </c>
      <c r="B97" s="649"/>
      <c r="C97" s="649"/>
      <c r="D97" s="650"/>
      <c r="E97" s="691" t="s">
        <v>475</v>
      </c>
      <c r="F97" s="692"/>
      <c r="G97" s="692"/>
      <c r="H97" s="692"/>
      <c r="I97" s="692"/>
      <c r="J97" s="692"/>
      <c r="K97" s="692"/>
      <c r="L97" s="692"/>
      <c r="M97" s="692"/>
      <c r="N97" s="692"/>
      <c r="O97" s="692"/>
      <c r="P97" s="692"/>
      <c r="Q97" s="692"/>
      <c r="R97" s="692"/>
      <c r="S97" s="692"/>
      <c r="T97" s="692"/>
      <c r="U97" s="692"/>
      <c r="V97" s="692"/>
      <c r="W97" s="692"/>
      <c r="X97" s="692"/>
      <c r="Y97" s="692"/>
      <c r="Z97" s="692"/>
      <c r="AA97" s="692"/>
      <c r="AB97" s="692"/>
      <c r="AC97" s="692"/>
      <c r="AD97" s="692"/>
      <c r="AE97" s="692"/>
      <c r="AF97" s="692"/>
      <c r="AG97" s="692"/>
      <c r="AH97" s="692"/>
      <c r="AI97" s="692"/>
      <c r="AJ97" s="692"/>
      <c r="AK97" s="692"/>
      <c r="AL97" s="692"/>
      <c r="AM97" s="692"/>
      <c r="AN97" s="692"/>
      <c r="AO97" s="692"/>
      <c r="AP97" s="692"/>
      <c r="AQ97" s="692"/>
      <c r="AR97" s="692"/>
      <c r="AS97" s="692"/>
      <c r="AT97" s="692"/>
      <c r="AU97" s="692"/>
      <c r="AV97" s="692"/>
      <c r="AW97" s="692"/>
      <c r="AX97" s="692"/>
      <c r="AY97" s="692"/>
      <c r="AZ97" s="692"/>
      <c r="BA97" s="692"/>
      <c r="BB97" s="692"/>
      <c r="BC97" s="693"/>
      <c r="BD97" s="577"/>
      <c r="BE97" s="578"/>
      <c r="BF97" s="578"/>
      <c r="BG97" s="578"/>
      <c r="BH97" s="578"/>
      <c r="BI97" s="578"/>
      <c r="BJ97" s="578"/>
      <c r="BK97" s="578"/>
      <c r="BL97" s="578"/>
      <c r="BM97" s="579"/>
      <c r="BN97" s="702">
        <f>1495295.1+332294.52</f>
        <v>1827589.62</v>
      </c>
      <c r="BO97" s="703"/>
      <c r="BP97" s="703"/>
      <c r="BQ97" s="703"/>
      <c r="BR97" s="703"/>
      <c r="BS97" s="703"/>
      <c r="BT97" s="703"/>
      <c r="BU97" s="703"/>
      <c r="BV97" s="703"/>
      <c r="BW97" s="703"/>
      <c r="BX97" s="703"/>
      <c r="BY97" s="703"/>
      <c r="BZ97" s="703"/>
      <c r="CA97" s="703"/>
      <c r="CB97" s="704"/>
      <c r="CC97" s="151">
        <f>106649.4+60552.18+1068697.5</f>
        <v>1235899.08</v>
      </c>
      <c r="CD97" s="151">
        <f>106649.4+60552.18+40896.96+152570.34+153011.04+104622.18</f>
        <v>618302.10000000009</v>
      </c>
      <c r="CE97" s="60">
        <f t="shared" si="10"/>
        <v>617596.98</v>
      </c>
      <c r="CF97" s="408">
        <f t="shared" si="11"/>
        <v>591690.54</v>
      </c>
      <c r="CG97" s="454">
        <f t="shared" si="12"/>
        <v>1209287.52</v>
      </c>
    </row>
    <row r="98" spans="1:85" ht="16.5" customHeight="1" x14ac:dyDescent="0.2">
      <c r="A98" s="658">
        <v>8</v>
      </c>
      <c r="B98" s="659"/>
      <c r="C98" s="659"/>
      <c r="D98" s="694"/>
      <c r="E98" s="562" t="s">
        <v>201</v>
      </c>
      <c r="F98" s="563"/>
      <c r="G98" s="563"/>
      <c r="H98" s="563"/>
      <c r="I98" s="563"/>
      <c r="J98" s="563"/>
      <c r="K98" s="563"/>
      <c r="L98" s="563"/>
      <c r="M98" s="563"/>
      <c r="N98" s="563"/>
      <c r="O98" s="563"/>
      <c r="P98" s="563"/>
      <c r="Q98" s="563"/>
      <c r="R98" s="563"/>
      <c r="S98" s="563"/>
      <c r="T98" s="563"/>
      <c r="U98" s="563"/>
      <c r="V98" s="563"/>
      <c r="W98" s="563"/>
      <c r="X98" s="563"/>
      <c r="Y98" s="563"/>
      <c r="Z98" s="563"/>
      <c r="AA98" s="563"/>
      <c r="AB98" s="563"/>
      <c r="AC98" s="563"/>
      <c r="AD98" s="563"/>
      <c r="AE98" s="563"/>
      <c r="AF98" s="563"/>
      <c r="AG98" s="563"/>
      <c r="AH98" s="563"/>
      <c r="AI98" s="563"/>
      <c r="AJ98" s="563"/>
      <c r="AK98" s="563"/>
      <c r="AL98" s="563"/>
      <c r="AM98" s="563"/>
      <c r="AN98" s="563"/>
      <c r="AO98" s="563"/>
      <c r="AP98" s="563"/>
      <c r="AQ98" s="563"/>
      <c r="AR98" s="563"/>
      <c r="AS98" s="563"/>
      <c r="AT98" s="563"/>
      <c r="AU98" s="563"/>
      <c r="AV98" s="563"/>
      <c r="AW98" s="563"/>
      <c r="AX98" s="563"/>
      <c r="AY98" s="563"/>
      <c r="AZ98" s="563"/>
      <c r="BA98" s="563"/>
      <c r="BB98" s="563"/>
      <c r="BC98" s="564"/>
      <c r="BD98" s="577"/>
      <c r="BE98" s="578"/>
      <c r="BF98" s="578"/>
      <c r="BG98" s="578"/>
      <c r="BH98" s="578"/>
      <c r="BI98" s="578"/>
      <c r="BJ98" s="578"/>
      <c r="BK98" s="578"/>
      <c r="BL98" s="578"/>
      <c r="BM98" s="579"/>
      <c r="BN98" s="702">
        <f>168000</f>
        <v>168000</v>
      </c>
      <c r="BO98" s="703"/>
      <c r="BP98" s="703"/>
      <c r="BQ98" s="703"/>
      <c r="BR98" s="703"/>
      <c r="BS98" s="703"/>
      <c r="BT98" s="703"/>
      <c r="BU98" s="703"/>
      <c r="BV98" s="703"/>
      <c r="BW98" s="703"/>
      <c r="BX98" s="703"/>
      <c r="BY98" s="703"/>
      <c r="BZ98" s="703"/>
      <c r="CA98" s="703"/>
      <c r="CB98" s="704"/>
      <c r="CC98" s="60">
        <f>168000-14000</f>
        <v>154000</v>
      </c>
      <c r="CD98" s="64">
        <f>14000+14000+14000+14000+14000+14000+14000+14000</f>
        <v>112000</v>
      </c>
      <c r="CE98" s="60">
        <f t="shared" si="10"/>
        <v>42000</v>
      </c>
      <c r="CF98" s="408">
        <f t="shared" si="11"/>
        <v>14000</v>
      </c>
    </row>
    <row r="99" spans="1:85" ht="16.5" customHeight="1" x14ac:dyDescent="0.2">
      <c r="A99" s="648">
        <v>9</v>
      </c>
      <c r="B99" s="649"/>
      <c r="C99" s="649"/>
      <c r="D99" s="650"/>
      <c r="E99" s="562" t="s">
        <v>336</v>
      </c>
      <c r="F99" s="563"/>
      <c r="G99" s="563"/>
      <c r="H99" s="563"/>
      <c r="I99" s="563"/>
      <c r="J99" s="563"/>
      <c r="K99" s="563"/>
      <c r="L99" s="563"/>
      <c r="M99" s="563"/>
      <c r="N99" s="563"/>
      <c r="O99" s="563"/>
      <c r="P99" s="563"/>
      <c r="Q99" s="563"/>
      <c r="R99" s="563"/>
      <c r="S99" s="563"/>
      <c r="T99" s="563"/>
      <c r="U99" s="563"/>
      <c r="V99" s="563"/>
      <c r="W99" s="563"/>
      <c r="X99" s="563"/>
      <c r="Y99" s="563"/>
      <c r="Z99" s="563"/>
      <c r="AA99" s="563"/>
      <c r="AB99" s="563"/>
      <c r="AC99" s="563"/>
      <c r="AD99" s="563"/>
      <c r="AE99" s="563"/>
      <c r="AF99" s="563"/>
      <c r="AG99" s="563"/>
      <c r="AH99" s="563"/>
      <c r="AI99" s="563"/>
      <c r="AJ99" s="563"/>
      <c r="AK99" s="563"/>
      <c r="AL99" s="563"/>
      <c r="AM99" s="563"/>
      <c r="AN99" s="563"/>
      <c r="AO99" s="563"/>
      <c r="AP99" s="563"/>
      <c r="AQ99" s="563"/>
      <c r="AR99" s="563"/>
      <c r="AS99" s="563"/>
      <c r="AT99" s="563"/>
      <c r="AU99" s="563"/>
      <c r="AV99" s="563"/>
      <c r="AW99" s="563"/>
      <c r="AX99" s="563"/>
      <c r="AY99" s="563"/>
      <c r="AZ99" s="563"/>
      <c r="BA99" s="563"/>
      <c r="BB99" s="563"/>
      <c r="BC99" s="564"/>
      <c r="BD99" s="577"/>
      <c r="BE99" s="578"/>
      <c r="BF99" s="578"/>
      <c r="BG99" s="578"/>
      <c r="BH99" s="578"/>
      <c r="BI99" s="578"/>
      <c r="BJ99" s="578"/>
      <c r="BK99" s="578"/>
      <c r="BL99" s="578"/>
      <c r="BM99" s="579"/>
      <c r="BN99" s="702">
        <f>30000-12000</f>
        <v>18000</v>
      </c>
      <c r="BO99" s="703"/>
      <c r="BP99" s="703"/>
      <c r="BQ99" s="703"/>
      <c r="BR99" s="703"/>
      <c r="BS99" s="703"/>
      <c r="BT99" s="703"/>
      <c r="BU99" s="703"/>
      <c r="BV99" s="703"/>
      <c r="BW99" s="703"/>
      <c r="BX99" s="703"/>
      <c r="BY99" s="703"/>
      <c r="BZ99" s="703"/>
      <c r="CA99" s="703"/>
      <c r="CB99" s="704"/>
      <c r="CC99" s="60">
        <f>9000</f>
        <v>9000</v>
      </c>
      <c r="CD99" s="64">
        <f>9000</f>
        <v>9000</v>
      </c>
      <c r="CE99" s="60">
        <f t="shared" si="10"/>
        <v>0</v>
      </c>
      <c r="CF99" s="408">
        <f t="shared" si="11"/>
        <v>9000</v>
      </c>
    </row>
    <row r="100" spans="1:85" ht="16.5" hidden="1" customHeight="1" x14ac:dyDescent="0.2">
      <c r="A100" s="648">
        <v>10</v>
      </c>
      <c r="B100" s="649"/>
      <c r="C100" s="649"/>
      <c r="D100" s="650"/>
      <c r="E100" s="562" t="s">
        <v>460</v>
      </c>
      <c r="F100" s="563"/>
      <c r="G100" s="563"/>
      <c r="H100" s="563"/>
      <c r="I100" s="563"/>
      <c r="J100" s="563"/>
      <c r="K100" s="563"/>
      <c r="L100" s="563"/>
      <c r="M100" s="563"/>
      <c r="N100" s="563"/>
      <c r="O100" s="563"/>
      <c r="P100" s="563"/>
      <c r="Q100" s="563"/>
      <c r="R100" s="563"/>
      <c r="S100" s="563"/>
      <c r="T100" s="563"/>
      <c r="U100" s="563"/>
      <c r="V100" s="563"/>
      <c r="W100" s="563"/>
      <c r="X100" s="563"/>
      <c r="Y100" s="563"/>
      <c r="Z100" s="563"/>
      <c r="AA100" s="563"/>
      <c r="AB100" s="563"/>
      <c r="AC100" s="563"/>
      <c r="AD100" s="563"/>
      <c r="AE100" s="563"/>
      <c r="AF100" s="563"/>
      <c r="AG100" s="563"/>
      <c r="AH100" s="563"/>
      <c r="AI100" s="563"/>
      <c r="AJ100" s="563"/>
      <c r="AK100" s="563"/>
      <c r="AL100" s="563"/>
      <c r="AM100" s="563"/>
      <c r="AN100" s="563"/>
      <c r="AO100" s="563"/>
      <c r="AP100" s="563"/>
      <c r="AQ100" s="563"/>
      <c r="AR100" s="563"/>
      <c r="AS100" s="563"/>
      <c r="AT100" s="563"/>
      <c r="AU100" s="563"/>
      <c r="AV100" s="563"/>
      <c r="AW100" s="563"/>
      <c r="AX100" s="563"/>
      <c r="AY100" s="563"/>
      <c r="AZ100" s="563"/>
      <c r="BA100" s="563"/>
      <c r="BB100" s="563"/>
      <c r="BC100" s="564"/>
      <c r="BD100" s="577"/>
      <c r="BE100" s="578"/>
      <c r="BF100" s="578"/>
      <c r="BG100" s="578"/>
      <c r="BH100" s="578"/>
      <c r="BI100" s="578"/>
      <c r="BJ100" s="578"/>
      <c r="BK100" s="578"/>
      <c r="BL100" s="578"/>
      <c r="BM100" s="579"/>
      <c r="BN100" s="702"/>
      <c r="BO100" s="703"/>
      <c r="BP100" s="703"/>
      <c r="BQ100" s="703"/>
      <c r="BR100" s="703"/>
      <c r="BS100" s="703"/>
      <c r="BT100" s="703"/>
      <c r="BU100" s="703"/>
      <c r="BV100" s="703"/>
      <c r="BW100" s="703"/>
      <c r="BX100" s="703"/>
      <c r="BY100" s="703"/>
      <c r="BZ100" s="703"/>
      <c r="CA100" s="703"/>
      <c r="CB100" s="704"/>
      <c r="CC100" s="60"/>
      <c r="CE100" s="60">
        <f t="shared" si="10"/>
        <v>0</v>
      </c>
      <c r="CF100" s="408">
        <f t="shared" si="11"/>
        <v>0</v>
      </c>
    </row>
    <row r="101" spans="1:85" ht="16.5" customHeight="1" x14ac:dyDescent="0.2">
      <c r="A101" s="658">
        <v>10</v>
      </c>
      <c r="B101" s="659"/>
      <c r="C101" s="659"/>
      <c r="D101" s="694"/>
      <c r="E101" s="562" t="s">
        <v>203</v>
      </c>
      <c r="F101" s="563"/>
      <c r="G101" s="563"/>
      <c r="H101" s="563"/>
      <c r="I101" s="563"/>
      <c r="J101" s="563"/>
      <c r="K101" s="563"/>
      <c r="L101" s="563"/>
      <c r="M101" s="563"/>
      <c r="N101" s="563"/>
      <c r="O101" s="563"/>
      <c r="P101" s="563"/>
      <c r="Q101" s="563"/>
      <c r="R101" s="563"/>
      <c r="S101" s="563"/>
      <c r="T101" s="563"/>
      <c r="U101" s="563"/>
      <c r="V101" s="563"/>
      <c r="W101" s="563"/>
      <c r="X101" s="563"/>
      <c r="Y101" s="563"/>
      <c r="Z101" s="563"/>
      <c r="AA101" s="563"/>
      <c r="AB101" s="563"/>
      <c r="AC101" s="563"/>
      <c r="AD101" s="563"/>
      <c r="AE101" s="563"/>
      <c r="AF101" s="563"/>
      <c r="AG101" s="563"/>
      <c r="AH101" s="563"/>
      <c r="AI101" s="563"/>
      <c r="AJ101" s="563"/>
      <c r="AK101" s="563"/>
      <c r="AL101" s="563"/>
      <c r="AM101" s="563"/>
      <c r="AN101" s="563"/>
      <c r="AO101" s="563"/>
      <c r="AP101" s="563"/>
      <c r="AQ101" s="563"/>
      <c r="AR101" s="563"/>
      <c r="AS101" s="563"/>
      <c r="AT101" s="563"/>
      <c r="AU101" s="563"/>
      <c r="AV101" s="563"/>
      <c r="AW101" s="563"/>
      <c r="AX101" s="563"/>
      <c r="AY101" s="563"/>
      <c r="AZ101" s="563"/>
      <c r="BA101" s="563"/>
      <c r="BB101" s="563"/>
      <c r="BC101" s="564"/>
      <c r="BD101" s="577"/>
      <c r="BE101" s="578"/>
      <c r="BF101" s="578"/>
      <c r="BG101" s="578"/>
      <c r="BH101" s="578"/>
      <c r="BI101" s="578"/>
      <c r="BJ101" s="578"/>
      <c r="BK101" s="578"/>
      <c r="BL101" s="578"/>
      <c r="BM101" s="579"/>
      <c r="BN101" s="702">
        <f>540262.8</f>
        <v>540262.80000000005</v>
      </c>
      <c r="BO101" s="703"/>
      <c r="BP101" s="703"/>
      <c r="BQ101" s="703"/>
      <c r="BR101" s="703"/>
      <c r="BS101" s="703"/>
      <c r="BT101" s="703"/>
      <c r="BU101" s="703"/>
      <c r="BV101" s="703"/>
      <c r="BW101" s="703"/>
      <c r="BX101" s="703"/>
      <c r="BY101" s="703"/>
      <c r="BZ101" s="703"/>
      <c r="CA101" s="703"/>
      <c r="CB101" s="704"/>
      <c r="CC101" s="60">
        <f>540262.8</f>
        <v>540262.80000000005</v>
      </c>
      <c r="CD101" s="64">
        <f>46386.2+54572+51843.4+57300+49114.8+46386.2</f>
        <v>305602.60000000003</v>
      </c>
      <c r="CE101" s="60">
        <f>CC101-CD101</f>
        <v>234660.2</v>
      </c>
      <c r="CF101" s="408">
        <f>BN101-CC101</f>
        <v>0</v>
      </c>
      <c r="CG101" s="7">
        <f>47120</f>
        <v>47120</v>
      </c>
    </row>
    <row r="102" spans="1:85" ht="16.5" customHeight="1" x14ac:dyDescent="0.2">
      <c r="A102" s="648">
        <v>11</v>
      </c>
      <c r="B102" s="649"/>
      <c r="C102" s="649"/>
      <c r="D102" s="650"/>
      <c r="E102" s="562" t="s">
        <v>484</v>
      </c>
      <c r="F102" s="563"/>
      <c r="G102" s="563"/>
      <c r="H102" s="563"/>
      <c r="I102" s="563"/>
      <c r="J102" s="563"/>
      <c r="K102" s="563"/>
      <c r="L102" s="563"/>
      <c r="M102" s="563"/>
      <c r="N102" s="563"/>
      <c r="O102" s="563"/>
      <c r="P102" s="563"/>
      <c r="Q102" s="563"/>
      <c r="R102" s="563"/>
      <c r="S102" s="563"/>
      <c r="T102" s="563"/>
      <c r="U102" s="563"/>
      <c r="V102" s="563"/>
      <c r="W102" s="563"/>
      <c r="X102" s="563"/>
      <c r="Y102" s="563"/>
      <c r="Z102" s="563"/>
      <c r="AA102" s="563"/>
      <c r="AB102" s="563"/>
      <c r="AC102" s="563"/>
      <c r="AD102" s="563"/>
      <c r="AE102" s="563"/>
      <c r="AF102" s="563"/>
      <c r="AG102" s="563"/>
      <c r="AH102" s="563"/>
      <c r="AI102" s="563"/>
      <c r="AJ102" s="563"/>
      <c r="AK102" s="563"/>
      <c r="AL102" s="563"/>
      <c r="AM102" s="563"/>
      <c r="AN102" s="563"/>
      <c r="AO102" s="563"/>
      <c r="AP102" s="563"/>
      <c r="AQ102" s="563"/>
      <c r="AR102" s="563"/>
      <c r="AS102" s="563"/>
      <c r="AT102" s="563"/>
      <c r="AU102" s="563"/>
      <c r="AV102" s="563"/>
      <c r="AW102" s="563"/>
      <c r="AX102" s="563"/>
      <c r="AY102" s="563"/>
      <c r="AZ102" s="563"/>
      <c r="BA102" s="563"/>
      <c r="BB102" s="563"/>
      <c r="BC102" s="564"/>
      <c r="BD102" s="577"/>
      <c r="BE102" s="578"/>
      <c r="BF102" s="578"/>
      <c r="BG102" s="578"/>
      <c r="BH102" s="578"/>
      <c r="BI102" s="578"/>
      <c r="BJ102" s="578"/>
      <c r="BK102" s="578"/>
      <c r="BL102" s="578"/>
      <c r="BM102" s="579"/>
      <c r="BN102" s="702">
        <f>80000-4529.4-49276.04</f>
        <v>26194.560000000005</v>
      </c>
      <c r="BO102" s="703"/>
      <c r="BP102" s="703"/>
      <c r="BQ102" s="703"/>
      <c r="BR102" s="703"/>
      <c r="BS102" s="703"/>
      <c r="BT102" s="703"/>
      <c r="BU102" s="703"/>
      <c r="BV102" s="703"/>
      <c r="BW102" s="703"/>
      <c r="BX102" s="703"/>
      <c r="BY102" s="703"/>
      <c r="BZ102" s="703"/>
      <c r="CA102" s="703"/>
      <c r="CB102" s="704"/>
      <c r="CC102" s="60">
        <v>26194.560000000001</v>
      </c>
      <c r="CD102" s="64">
        <v>26194.560000000001</v>
      </c>
      <c r="CE102" s="60">
        <f t="shared" si="10"/>
        <v>0</v>
      </c>
      <c r="CF102" s="408">
        <f t="shared" si="11"/>
        <v>0</v>
      </c>
      <c r="CG102" s="7" t="s">
        <v>512</v>
      </c>
    </row>
    <row r="103" spans="1:85" ht="16.5" customHeight="1" x14ac:dyDescent="0.2">
      <c r="A103" s="648">
        <v>12</v>
      </c>
      <c r="B103" s="649"/>
      <c r="C103" s="649"/>
      <c r="D103" s="650"/>
      <c r="E103" s="562" t="s">
        <v>483</v>
      </c>
      <c r="F103" s="563"/>
      <c r="G103" s="563"/>
      <c r="H103" s="563"/>
      <c r="I103" s="563"/>
      <c r="J103" s="563"/>
      <c r="K103" s="563"/>
      <c r="L103" s="563"/>
      <c r="M103" s="563"/>
      <c r="N103" s="563"/>
      <c r="O103" s="563"/>
      <c r="P103" s="563"/>
      <c r="Q103" s="563"/>
      <c r="R103" s="563"/>
      <c r="S103" s="563"/>
      <c r="T103" s="563"/>
      <c r="U103" s="563"/>
      <c r="V103" s="563"/>
      <c r="W103" s="563"/>
      <c r="X103" s="563"/>
      <c r="Y103" s="563"/>
      <c r="Z103" s="563"/>
      <c r="AA103" s="563"/>
      <c r="AB103" s="563"/>
      <c r="AC103" s="563"/>
      <c r="AD103" s="563"/>
      <c r="AE103" s="563"/>
      <c r="AF103" s="563"/>
      <c r="AG103" s="563"/>
      <c r="AH103" s="563"/>
      <c r="AI103" s="563"/>
      <c r="AJ103" s="563"/>
      <c r="AK103" s="563"/>
      <c r="AL103" s="563"/>
      <c r="AM103" s="563"/>
      <c r="AN103" s="563"/>
      <c r="AO103" s="563"/>
      <c r="AP103" s="563"/>
      <c r="AQ103" s="563"/>
      <c r="AR103" s="563"/>
      <c r="AS103" s="563"/>
      <c r="AT103" s="563"/>
      <c r="AU103" s="563"/>
      <c r="AV103" s="563"/>
      <c r="AW103" s="563"/>
      <c r="AX103" s="563"/>
      <c r="AY103" s="563"/>
      <c r="AZ103" s="563"/>
      <c r="BA103" s="563"/>
      <c r="BB103" s="563"/>
      <c r="BC103" s="564"/>
      <c r="BD103" s="577"/>
      <c r="BE103" s="578"/>
      <c r="BF103" s="578"/>
      <c r="BG103" s="578"/>
      <c r="BH103" s="578"/>
      <c r="BI103" s="578"/>
      <c r="BJ103" s="578"/>
      <c r="BK103" s="578"/>
      <c r="BL103" s="578"/>
      <c r="BM103" s="579"/>
      <c r="BN103" s="702">
        <f>7000-222.04</f>
        <v>6777.96</v>
      </c>
      <c r="BO103" s="703"/>
      <c r="BP103" s="703"/>
      <c r="BQ103" s="703"/>
      <c r="BR103" s="703"/>
      <c r="BS103" s="703"/>
      <c r="BT103" s="703"/>
      <c r="BU103" s="703"/>
      <c r="BV103" s="703"/>
      <c r="BW103" s="703"/>
      <c r="BX103" s="703"/>
      <c r="BY103" s="703"/>
      <c r="BZ103" s="703"/>
      <c r="CA103" s="703"/>
      <c r="CB103" s="704"/>
      <c r="CC103" s="60">
        <v>6777.96</v>
      </c>
      <c r="CD103" s="60">
        <v>6777.96</v>
      </c>
      <c r="CE103" s="60">
        <f t="shared" si="10"/>
        <v>0</v>
      </c>
      <c r="CF103" s="408">
        <f t="shared" si="11"/>
        <v>0</v>
      </c>
    </row>
    <row r="104" spans="1:85" ht="13.5" customHeight="1" x14ac:dyDescent="0.2">
      <c r="A104" s="658">
        <v>13</v>
      </c>
      <c r="B104" s="659"/>
      <c r="C104" s="659"/>
      <c r="D104" s="694"/>
      <c r="E104" s="630" t="s">
        <v>495</v>
      </c>
      <c r="F104" s="631"/>
      <c r="G104" s="631"/>
      <c r="H104" s="631"/>
      <c r="I104" s="631"/>
      <c r="J104" s="631"/>
      <c r="K104" s="631"/>
      <c r="L104" s="631"/>
      <c r="M104" s="631"/>
      <c r="N104" s="631"/>
      <c r="O104" s="631"/>
      <c r="P104" s="631"/>
      <c r="Q104" s="631"/>
      <c r="R104" s="631"/>
      <c r="S104" s="631"/>
      <c r="T104" s="631"/>
      <c r="U104" s="631"/>
      <c r="V104" s="631"/>
      <c r="W104" s="631"/>
      <c r="X104" s="631"/>
      <c r="Y104" s="631"/>
      <c r="Z104" s="631"/>
      <c r="AA104" s="631"/>
      <c r="AB104" s="631"/>
      <c r="AC104" s="631"/>
      <c r="AD104" s="631"/>
      <c r="AE104" s="631"/>
      <c r="AF104" s="631"/>
      <c r="AG104" s="631"/>
      <c r="AH104" s="631"/>
      <c r="AI104" s="631"/>
      <c r="AJ104" s="631"/>
      <c r="AK104" s="631"/>
      <c r="AL104" s="631"/>
      <c r="AM104" s="631"/>
      <c r="AN104" s="631"/>
      <c r="AO104" s="631"/>
      <c r="AP104" s="631"/>
      <c r="AQ104" s="631"/>
      <c r="AR104" s="631"/>
      <c r="AS104" s="631"/>
      <c r="AT104" s="631"/>
      <c r="AU104" s="631"/>
      <c r="AV104" s="631"/>
      <c r="AW104" s="631"/>
      <c r="AX104" s="631"/>
      <c r="AY104" s="631"/>
      <c r="AZ104" s="631"/>
      <c r="BA104" s="631"/>
      <c r="BB104" s="631"/>
      <c r="BC104" s="632"/>
      <c r="BD104" s="577"/>
      <c r="BE104" s="578"/>
      <c r="BF104" s="578"/>
      <c r="BG104" s="578"/>
      <c r="BH104" s="578"/>
      <c r="BI104" s="578"/>
      <c r="BJ104" s="578"/>
      <c r="BK104" s="578"/>
      <c r="BL104" s="578"/>
      <c r="BM104" s="579"/>
      <c r="BN104" s="702">
        <f>3000-800</f>
        <v>2200</v>
      </c>
      <c r="BO104" s="703"/>
      <c r="BP104" s="703"/>
      <c r="BQ104" s="703"/>
      <c r="BR104" s="703"/>
      <c r="BS104" s="703"/>
      <c r="BT104" s="703"/>
      <c r="BU104" s="703"/>
      <c r="BV104" s="703"/>
      <c r="BW104" s="703"/>
      <c r="BX104" s="703"/>
      <c r="BY104" s="703"/>
      <c r="BZ104" s="703"/>
      <c r="CA104" s="703"/>
      <c r="CB104" s="704"/>
      <c r="CC104" s="60">
        <v>2200</v>
      </c>
      <c r="CD104" s="64">
        <v>2200</v>
      </c>
      <c r="CE104" s="60">
        <f t="shared" si="10"/>
        <v>0</v>
      </c>
      <c r="CF104" s="408">
        <f t="shared" si="11"/>
        <v>0</v>
      </c>
    </row>
    <row r="105" spans="1:85" ht="16.5" customHeight="1" x14ac:dyDescent="0.2">
      <c r="A105" s="648">
        <v>14</v>
      </c>
      <c r="B105" s="649"/>
      <c r="C105" s="649"/>
      <c r="D105" s="650"/>
      <c r="E105" s="562" t="s">
        <v>327</v>
      </c>
      <c r="F105" s="563"/>
      <c r="G105" s="563"/>
      <c r="H105" s="563"/>
      <c r="I105" s="563"/>
      <c r="J105" s="563"/>
      <c r="K105" s="563"/>
      <c r="L105" s="563"/>
      <c r="M105" s="563"/>
      <c r="N105" s="563"/>
      <c r="O105" s="563"/>
      <c r="P105" s="563"/>
      <c r="Q105" s="563"/>
      <c r="R105" s="563"/>
      <c r="S105" s="563"/>
      <c r="T105" s="563"/>
      <c r="U105" s="563"/>
      <c r="V105" s="563"/>
      <c r="W105" s="563"/>
      <c r="X105" s="563"/>
      <c r="Y105" s="563"/>
      <c r="Z105" s="563"/>
      <c r="AA105" s="563"/>
      <c r="AB105" s="563"/>
      <c r="AC105" s="563"/>
      <c r="AD105" s="563"/>
      <c r="AE105" s="563"/>
      <c r="AF105" s="563"/>
      <c r="AG105" s="563"/>
      <c r="AH105" s="563"/>
      <c r="AI105" s="563"/>
      <c r="AJ105" s="563"/>
      <c r="AK105" s="563"/>
      <c r="AL105" s="563"/>
      <c r="AM105" s="563"/>
      <c r="AN105" s="563"/>
      <c r="AO105" s="563"/>
      <c r="AP105" s="563"/>
      <c r="AQ105" s="563"/>
      <c r="AR105" s="563"/>
      <c r="AS105" s="563"/>
      <c r="AT105" s="563"/>
      <c r="AU105" s="563"/>
      <c r="AV105" s="563"/>
      <c r="AW105" s="563"/>
      <c r="AX105" s="563"/>
      <c r="AY105" s="563"/>
      <c r="AZ105" s="563"/>
      <c r="BA105" s="563"/>
      <c r="BB105" s="563"/>
      <c r="BC105" s="564"/>
      <c r="BD105" s="577"/>
      <c r="BE105" s="578"/>
      <c r="BF105" s="578"/>
      <c r="BG105" s="578"/>
      <c r="BH105" s="578"/>
      <c r="BI105" s="578"/>
      <c r="BJ105" s="578"/>
      <c r="BK105" s="578"/>
      <c r="BL105" s="578"/>
      <c r="BM105" s="579"/>
      <c r="BN105" s="702">
        <f>24000</f>
        <v>24000</v>
      </c>
      <c r="BO105" s="703"/>
      <c r="BP105" s="703"/>
      <c r="BQ105" s="703"/>
      <c r="BR105" s="703"/>
      <c r="BS105" s="703"/>
      <c r="BT105" s="703"/>
      <c r="BU105" s="703"/>
      <c r="BV105" s="703"/>
      <c r="BW105" s="703"/>
      <c r="BX105" s="703"/>
      <c r="BY105" s="703"/>
      <c r="BZ105" s="703"/>
      <c r="CA105" s="703"/>
      <c r="CB105" s="704"/>
      <c r="CC105" s="60">
        <f>24000</f>
        <v>24000</v>
      </c>
      <c r="CD105" s="64">
        <f>2000+2000+2000+2000+2000+2000</f>
        <v>12000</v>
      </c>
      <c r="CE105" s="60">
        <f t="shared" si="10"/>
        <v>12000</v>
      </c>
      <c r="CF105" s="408">
        <f t="shared" si="11"/>
        <v>0</v>
      </c>
    </row>
    <row r="106" spans="1:85" ht="16.5" customHeight="1" x14ac:dyDescent="0.2">
      <c r="A106" s="648">
        <v>15</v>
      </c>
      <c r="B106" s="649"/>
      <c r="C106" s="649"/>
      <c r="D106" s="650"/>
      <c r="E106" s="562" t="s">
        <v>482</v>
      </c>
      <c r="F106" s="563"/>
      <c r="G106" s="563"/>
      <c r="H106" s="563"/>
      <c r="I106" s="563"/>
      <c r="J106" s="563"/>
      <c r="K106" s="563"/>
      <c r="L106" s="563"/>
      <c r="M106" s="563"/>
      <c r="N106" s="563"/>
      <c r="O106" s="563"/>
      <c r="P106" s="563"/>
      <c r="Q106" s="563"/>
      <c r="R106" s="563"/>
      <c r="S106" s="563"/>
      <c r="T106" s="563"/>
      <c r="U106" s="563"/>
      <c r="V106" s="563"/>
      <c r="W106" s="563"/>
      <c r="X106" s="563"/>
      <c r="Y106" s="563"/>
      <c r="Z106" s="563"/>
      <c r="AA106" s="563"/>
      <c r="AB106" s="563"/>
      <c r="AC106" s="563"/>
      <c r="AD106" s="563"/>
      <c r="AE106" s="563"/>
      <c r="AF106" s="563"/>
      <c r="AG106" s="563"/>
      <c r="AH106" s="563"/>
      <c r="AI106" s="563"/>
      <c r="AJ106" s="563"/>
      <c r="AK106" s="563"/>
      <c r="AL106" s="563"/>
      <c r="AM106" s="563"/>
      <c r="AN106" s="563"/>
      <c r="AO106" s="563"/>
      <c r="AP106" s="563"/>
      <c r="AQ106" s="563"/>
      <c r="AR106" s="563"/>
      <c r="AS106" s="563"/>
      <c r="AT106" s="563"/>
      <c r="AU106" s="563"/>
      <c r="AV106" s="563"/>
      <c r="AW106" s="563"/>
      <c r="AX106" s="563"/>
      <c r="AY106" s="563"/>
      <c r="AZ106" s="563"/>
      <c r="BA106" s="563"/>
      <c r="BB106" s="563"/>
      <c r="BC106" s="564"/>
      <c r="BD106" s="577"/>
      <c r="BE106" s="578"/>
      <c r="BF106" s="578"/>
      <c r="BG106" s="578"/>
      <c r="BH106" s="578"/>
      <c r="BI106" s="578"/>
      <c r="BJ106" s="578"/>
      <c r="BK106" s="578"/>
      <c r="BL106" s="578"/>
      <c r="BM106" s="579"/>
      <c r="BN106" s="702">
        <f>31800</f>
        <v>31800</v>
      </c>
      <c r="BO106" s="703"/>
      <c r="BP106" s="703"/>
      <c r="BQ106" s="703"/>
      <c r="BR106" s="703"/>
      <c r="BS106" s="703"/>
      <c r="BT106" s="703"/>
      <c r="BU106" s="703"/>
      <c r="BV106" s="703"/>
      <c r="BW106" s="703"/>
      <c r="BX106" s="703"/>
      <c r="BY106" s="703"/>
      <c r="BZ106" s="703"/>
      <c r="CA106" s="703"/>
      <c r="CB106" s="704"/>
      <c r="CC106" s="60">
        <f>31800</f>
        <v>31800</v>
      </c>
      <c r="CD106" s="64">
        <f>2650+2650+2650+2650+2650+2650</f>
        <v>15900</v>
      </c>
      <c r="CE106" s="60">
        <f t="shared" si="10"/>
        <v>15900</v>
      </c>
      <c r="CF106" s="408">
        <f t="shared" si="11"/>
        <v>0</v>
      </c>
    </row>
    <row r="107" spans="1:85" s="14" customFormat="1" ht="26.25" customHeight="1" x14ac:dyDescent="0.2">
      <c r="A107" s="648">
        <v>18</v>
      </c>
      <c r="B107" s="649"/>
      <c r="C107" s="649"/>
      <c r="D107" s="650"/>
      <c r="E107" s="741" t="s">
        <v>515</v>
      </c>
      <c r="F107" s="742"/>
      <c r="G107" s="742"/>
      <c r="H107" s="742"/>
      <c r="I107" s="742"/>
      <c r="J107" s="742"/>
      <c r="K107" s="742"/>
      <c r="L107" s="742"/>
      <c r="M107" s="742"/>
      <c r="N107" s="742"/>
      <c r="O107" s="742"/>
      <c r="P107" s="742"/>
      <c r="Q107" s="742"/>
      <c r="R107" s="742"/>
      <c r="S107" s="742"/>
      <c r="T107" s="742"/>
      <c r="U107" s="742"/>
      <c r="V107" s="742"/>
      <c r="W107" s="742"/>
      <c r="X107" s="742"/>
      <c r="Y107" s="742"/>
      <c r="Z107" s="742"/>
      <c r="AA107" s="742"/>
      <c r="AB107" s="742"/>
      <c r="AC107" s="742"/>
      <c r="AD107" s="742"/>
      <c r="AE107" s="742"/>
      <c r="AF107" s="742"/>
      <c r="AG107" s="742"/>
      <c r="AH107" s="742"/>
      <c r="AI107" s="742"/>
      <c r="AJ107" s="742"/>
      <c r="AK107" s="742"/>
      <c r="AL107" s="742"/>
      <c r="AM107" s="742"/>
      <c r="AN107" s="742"/>
      <c r="AO107" s="742"/>
      <c r="AP107" s="742"/>
      <c r="AQ107" s="742"/>
      <c r="AR107" s="742"/>
      <c r="AS107" s="742"/>
      <c r="AT107" s="742"/>
      <c r="AU107" s="742"/>
      <c r="AV107" s="742"/>
      <c r="AW107" s="742"/>
      <c r="AX107" s="742"/>
      <c r="AY107" s="742"/>
      <c r="AZ107" s="742"/>
      <c r="BA107" s="742"/>
      <c r="BB107" s="742"/>
      <c r="BC107" s="743"/>
      <c r="BD107" s="747"/>
      <c r="BE107" s="748"/>
      <c r="BF107" s="748"/>
      <c r="BG107" s="748"/>
      <c r="BH107" s="748"/>
      <c r="BI107" s="748"/>
      <c r="BJ107" s="748"/>
      <c r="BK107" s="748"/>
      <c r="BL107" s="748"/>
      <c r="BM107" s="749"/>
      <c r="BN107" s="708">
        <v>60000</v>
      </c>
      <c r="BO107" s="709"/>
      <c r="BP107" s="709"/>
      <c r="BQ107" s="709"/>
      <c r="BR107" s="709"/>
      <c r="BS107" s="709"/>
      <c r="BT107" s="709"/>
      <c r="BU107" s="709"/>
      <c r="BV107" s="709"/>
      <c r="BW107" s="709"/>
      <c r="BX107" s="709"/>
      <c r="BY107" s="709"/>
      <c r="BZ107" s="709"/>
      <c r="CA107" s="709"/>
      <c r="CB107" s="710"/>
      <c r="CC107" s="60"/>
      <c r="CD107" s="60"/>
      <c r="CE107" s="60">
        <f t="shared" si="10"/>
        <v>0</v>
      </c>
      <c r="CF107" s="408">
        <f t="shared" si="11"/>
        <v>60000</v>
      </c>
    </row>
    <row r="108" spans="1:85" ht="15.75" customHeight="1" x14ac:dyDescent="0.2">
      <c r="A108" s="658">
        <v>17</v>
      </c>
      <c r="B108" s="659"/>
      <c r="C108" s="659"/>
      <c r="D108" s="694"/>
      <c r="E108" s="691" t="s">
        <v>481</v>
      </c>
      <c r="F108" s="692"/>
      <c r="G108" s="692"/>
      <c r="H108" s="692"/>
      <c r="I108" s="692"/>
      <c r="J108" s="692"/>
      <c r="K108" s="692"/>
      <c r="L108" s="692"/>
      <c r="M108" s="692"/>
      <c r="N108" s="692"/>
      <c r="O108" s="692"/>
      <c r="P108" s="692"/>
      <c r="Q108" s="692"/>
      <c r="R108" s="692"/>
      <c r="S108" s="692"/>
      <c r="T108" s="692"/>
      <c r="U108" s="692"/>
      <c r="V108" s="692"/>
      <c r="W108" s="692"/>
      <c r="X108" s="692"/>
      <c r="Y108" s="692"/>
      <c r="Z108" s="692"/>
      <c r="AA108" s="692"/>
      <c r="AB108" s="692"/>
      <c r="AC108" s="692"/>
      <c r="AD108" s="692"/>
      <c r="AE108" s="692"/>
      <c r="AF108" s="692"/>
      <c r="AG108" s="692"/>
      <c r="AH108" s="692"/>
      <c r="AI108" s="692"/>
      <c r="AJ108" s="692"/>
      <c r="AK108" s="692"/>
      <c r="AL108" s="692"/>
      <c r="AM108" s="692"/>
      <c r="AN108" s="692"/>
      <c r="AO108" s="692"/>
      <c r="AP108" s="692"/>
      <c r="AQ108" s="692"/>
      <c r="AR108" s="692"/>
      <c r="AS108" s="692"/>
      <c r="AT108" s="692"/>
      <c r="AU108" s="692"/>
      <c r="AV108" s="692"/>
      <c r="AW108" s="692"/>
      <c r="AX108" s="692"/>
      <c r="AY108" s="692"/>
      <c r="AZ108" s="692"/>
      <c r="BA108" s="692"/>
      <c r="BB108" s="692"/>
      <c r="BC108" s="693"/>
      <c r="BD108" s="577"/>
      <c r="BE108" s="578"/>
      <c r="BF108" s="578"/>
      <c r="BG108" s="578"/>
      <c r="BH108" s="578"/>
      <c r="BI108" s="578"/>
      <c r="BJ108" s="578"/>
      <c r="BK108" s="578"/>
      <c r="BL108" s="578"/>
      <c r="BM108" s="579"/>
      <c r="BN108" s="702">
        <f>45300+55000-11000-52282-8500-7000+38459.25+31900</f>
        <v>91877.25</v>
      </c>
      <c r="BO108" s="703"/>
      <c r="BP108" s="703"/>
      <c r="BQ108" s="703"/>
      <c r="BR108" s="703"/>
      <c r="BS108" s="703"/>
      <c r="BT108" s="703"/>
      <c r="BU108" s="703"/>
      <c r="BV108" s="703"/>
      <c r="BW108" s="703"/>
      <c r="BX108" s="703"/>
      <c r="BY108" s="703"/>
      <c r="BZ108" s="703"/>
      <c r="CA108" s="703"/>
      <c r="CB108" s="704"/>
      <c r="CC108" s="60"/>
      <c r="CE108" s="60">
        <f t="shared" si="10"/>
        <v>0</v>
      </c>
      <c r="CF108" s="408">
        <f t="shared" si="11"/>
        <v>91877.25</v>
      </c>
    </row>
    <row r="109" spans="1:85" ht="15" customHeight="1" x14ac:dyDescent="0.2">
      <c r="A109" s="648">
        <v>18</v>
      </c>
      <c r="B109" s="649"/>
      <c r="C109" s="649"/>
      <c r="D109" s="650"/>
      <c r="E109" s="691" t="s">
        <v>498</v>
      </c>
      <c r="F109" s="692"/>
      <c r="G109" s="692"/>
      <c r="H109" s="692"/>
      <c r="I109" s="692"/>
      <c r="J109" s="692"/>
      <c r="K109" s="692"/>
      <c r="L109" s="692"/>
      <c r="M109" s="692"/>
      <c r="N109" s="692"/>
      <c r="O109" s="692"/>
      <c r="P109" s="692"/>
      <c r="Q109" s="692"/>
      <c r="R109" s="692"/>
      <c r="S109" s="692"/>
      <c r="T109" s="692"/>
      <c r="U109" s="692"/>
      <c r="V109" s="692"/>
      <c r="W109" s="692"/>
      <c r="X109" s="692"/>
      <c r="Y109" s="692"/>
      <c r="Z109" s="692"/>
      <c r="AA109" s="692"/>
      <c r="AB109" s="692"/>
      <c r="AC109" s="692"/>
      <c r="AD109" s="692"/>
      <c r="AE109" s="692"/>
      <c r="AF109" s="692"/>
      <c r="AG109" s="692"/>
      <c r="AH109" s="692"/>
      <c r="AI109" s="692"/>
      <c r="AJ109" s="692"/>
      <c r="AK109" s="692"/>
      <c r="AL109" s="692"/>
      <c r="AM109" s="692"/>
      <c r="AN109" s="692"/>
      <c r="AO109" s="692"/>
      <c r="AP109" s="692"/>
      <c r="AQ109" s="692"/>
      <c r="AR109" s="692"/>
      <c r="AS109" s="692"/>
      <c r="AT109" s="692"/>
      <c r="AU109" s="692"/>
      <c r="AV109" s="692"/>
      <c r="AW109" s="692"/>
      <c r="AX109" s="692"/>
      <c r="AY109" s="692"/>
      <c r="AZ109" s="692"/>
      <c r="BA109" s="692"/>
      <c r="BB109" s="692"/>
      <c r="BC109" s="693"/>
      <c r="BD109" s="577"/>
      <c r="BE109" s="578"/>
      <c r="BF109" s="578"/>
      <c r="BG109" s="578"/>
      <c r="BH109" s="578"/>
      <c r="BI109" s="578"/>
      <c r="BJ109" s="578"/>
      <c r="BK109" s="578"/>
      <c r="BL109" s="578"/>
      <c r="BM109" s="579"/>
      <c r="BN109" s="702">
        <v>11000</v>
      </c>
      <c r="BO109" s="703"/>
      <c r="BP109" s="703"/>
      <c r="BQ109" s="703"/>
      <c r="BR109" s="703"/>
      <c r="BS109" s="703"/>
      <c r="BT109" s="703"/>
      <c r="BU109" s="703"/>
      <c r="BV109" s="703"/>
      <c r="BW109" s="703"/>
      <c r="BX109" s="703"/>
      <c r="BY109" s="703"/>
      <c r="BZ109" s="703"/>
      <c r="CA109" s="703"/>
      <c r="CB109" s="704"/>
      <c r="CC109" s="60">
        <v>11000</v>
      </c>
      <c r="CD109" s="64">
        <v>11000</v>
      </c>
      <c r="CE109" s="60">
        <f t="shared" si="10"/>
        <v>0</v>
      </c>
      <c r="CF109" s="408">
        <f t="shared" si="11"/>
        <v>0</v>
      </c>
    </row>
    <row r="110" spans="1:85" ht="15" customHeight="1" x14ac:dyDescent="0.2">
      <c r="A110" s="648">
        <v>19</v>
      </c>
      <c r="B110" s="649"/>
      <c r="C110" s="649"/>
      <c r="D110" s="650"/>
      <c r="E110" s="691" t="s">
        <v>504</v>
      </c>
      <c r="F110" s="692"/>
      <c r="G110" s="692"/>
      <c r="H110" s="692"/>
      <c r="I110" s="692"/>
      <c r="J110" s="692"/>
      <c r="K110" s="692"/>
      <c r="L110" s="692"/>
      <c r="M110" s="692"/>
      <c r="N110" s="692"/>
      <c r="O110" s="692"/>
      <c r="P110" s="692"/>
      <c r="Q110" s="692"/>
      <c r="R110" s="692"/>
      <c r="S110" s="692"/>
      <c r="T110" s="692"/>
      <c r="U110" s="692"/>
      <c r="V110" s="692"/>
      <c r="W110" s="692"/>
      <c r="X110" s="692"/>
      <c r="Y110" s="692"/>
      <c r="Z110" s="692"/>
      <c r="AA110" s="692"/>
      <c r="AB110" s="692"/>
      <c r="AC110" s="692"/>
      <c r="AD110" s="692"/>
      <c r="AE110" s="692"/>
      <c r="AF110" s="692"/>
      <c r="AG110" s="692"/>
      <c r="AH110" s="692"/>
      <c r="AI110" s="692"/>
      <c r="AJ110" s="692"/>
      <c r="AK110" s="692"/>
      <c r="AL110" s="692"/>
      <c r="AM110" s="692"/>
      <c r="AN110" s="692"/>
      <c r="AO110" s="692"/>
      <c r="AP110" s="692"/>
      <c r="AQ110" s="692"/>
      <c r="AR110" s="692"/>
      <c r="AS110" s="692"/>
      <c r="AT110" s="692"/>
      <c r="AU110" s="692"/>
      <c r="AV110" s="692"/>
      <c r="AW110" s="692"/>
      <c r="AX110" s="692"/>
      <c r="AY110" s="692"/>
      <c r="AZ110" s="692"/>
      <c r="BA110" s="692"/>
      <c r="BB110" s="692"/>
      <c r="BC110" s="693"/>
      <c r="BD110" s="577"/>
      <c r="BE110" s="578"/>
      <c r="BF110" s="578"/>
      <c r="BG110" s="578"/>
      <c r="BH110" s="578"/>
      <c r="BI110" s="578"/>
      <c r="BJ110" s="578"/>
      <c r="BK110" s="578"/>
      <c r="BL110" s="578"/>
      <c r="BM110" s="579"/>
      <c r="BN110" s="702">
        <v>30000</v>
      </c>
      <c r="BO110" s="703"/>
      <c r="BP110" s="703"/>
      <c r="BQ110" s="703"/>
      <c r="BR110" s="703"/>
      <c r="BS110" s="703"/>
      <c r="BT110" s="703"/>
      <c r="BU110" s="703"/>
      <c r="BV110" s="703"/>
      <c r="BW110" s="703"/>
      <c r="BX110" s="703"/>
      <c r="BY110" s="703"/>
      <c r="BZ110" s="703"/>
      <c r="CA110" s="703"/>
      <c r="CB110" s="704"/>
      <c r="CC110" s="60">
        <v>30000</v>
      </c>
      <c r="CD110" s="64">
        <v>30000</v>
      </c>
      <c r="CE110" s="60">
        <f t="shared" ref="CE110" si="13">CC110-CD110</f>
        <v>0</v>
      </c>
      <c r="CF110" s="408">
        <f t="shared" ref="CF110" si="14">BN110-CC110</f>
        <v>0</v>
      </c>
    </row>
    <row r="111" spans="1:85" ht="27" customHeight="1" x14ac:dyDescent="0.2">
      <c r="A111" s="658">
        <v>19</v>
      </c>
      <c r="B111" s="659"/>
      <c r="C111" s="659"/>
      <c r="D111" s="694"/>
      <c r="E111" s="738" t="s">
        <v>450</v>
      </c>
      <c r="F111" s="739"/>
      <c r="G111" s="739"/>
      <c r="H111" s="739"/>
      <c r="I111" s="739"/>
      <c r="J111" s="739"/>
      <c r="K111" s="739"/>
      <c r="L111" s="739"/>
      <c r="M111" s="739"/>
      <c r="N111" s="739"/>
      <c r="O111" s="739"/>
      <c r="P111" s="739"/>
      <c r="Q111" s="739"/>
      <c r="R111" s="739"/>
      <c r="S111" s="739"/>
      <c r="T111" s="739"/>
      <c r="U111" s="739"/>
      <c r="V111" s="739"/>
      <c r="W111" s="739"/>
      <c r="X111" s="739"/>
      <c r="Y111" s="739"/>
      <c r="Z111" s="739"/>
      <c r="AA111" s="739"/>
      <c r="AB111" s="739"/>
      <c r="AC111" s="739"/>
      <c r="AD111" s="739"/>
      <c r="AE111" s="739"/>
      <c r="AF111" s="739"/>
      <c r="AG111" s="739"/>
      <c r="AH111" s="739"/>
      <c r="AI111" s="739"/>
      <c r="AJ111" s="739"/>
      <c r="AK111" s="739"/>
      <c r="AL111" s="739"/>
      <c r="AM111" s="739"/>
      <c r="AN111" s="739"/>
      <c r="AO111" s="739"/>
      <c r="AP111" s="739"/>
      <c r="AQ111" s="739"/>
      <c r="AR111" s="739"/>
      <c r="AS111" s="739"/>
      <c r="AT111" s="739"/>
      <c r="AU111" s="739"/>
      <c r="AV111" s="739"/>
      <c r="AW111" s="739"/>
      <c r="AX111" s="739"/>
      <c r="AY111" s="739"/>
      <c r="AZ111" s="739"/>
      <c r="BA111" s="739"/>
      <c r="BB111" s="739"/>
      <c r="BC111" s="740"/>
      <c r="BD111" s="84"/>
      <c r="BE111" s="85"/>
      <c r="BF111" s="85"/>
      <c r="BG111" s="85"/>
      <c r="BH111" s="85"/>
      <c r="BI111" s="85"/>
      <c r="BJ111" s="85"/>
      <c r="BK111" s="85"/>
      <c r="BL111" s="85"/>
      <c r="BM111" s="86"/>
      <c r="BN111" s="732">
        <f>12000</f>
        <v>12000</v>
      </c>
      <c r="BO111" s="733"/>
      <c r="BP111" s="733"/>
      <c r="BQ111" s="733"/>
      <c r="BR111" s="733"/>
      <c r="BS111" s="733"/>
      <c r="BT111" s="733"/>
      <c r="BU111" s="733"/>
      <c r="BV111" s="733"/>
      <c r="BW111" s="733"/>
      <c r="BX111" s="733"/>
      <c r="BY111" s="733"/>
      <c r="BZ111" s="733"/>
      <c r="CA111" s="733"/>
      <c r="CB111" s="734"/>
      <c r="CC111" s="60">
        <f>12000</f>
        <v>12000</v>
      </c>
      <c r="CD111" s="64">
        <f>3000</f>
        <v>3000</v>
      </c>
      <c r="CE111" s="60">
        <f>CC111-CD111</f>
        <v>9000</v>
      </c>
      <c r="CF111" s="408">
        <f>BN111-CC111</f>
        <v>0</v>
      </c>
    </row>
    <row r="112" spans="1:85" ht="16.5" customHeight="1" x14ac:dyDescent="0.2">
      <c r="A112" s="658">
        <v>20</v>
      </c>
      <c r="B112" s="659"/>
      <c r="C112" s="659"/>
      <c r="D112" s="694"/>
      <c r="E112" s="735" t="s">
        <v>436</v>
      </c>
      <c r="F112" s="736"/>
      <c r="G112" s="736"/>
      <c r="H112" s="736"/>
      <c r="I112" s="736"/>
      <c r="J112" s="736"/>
      <c r="K112" s="736"/>
      <c r="L112" s="736"/>
      <c r="M112" s="736"/>
      <c r="N112" s="736"/>
      <c r="O112" s="736"/>
      <c r="P112" s="736"/>
      <c r="Q112" s="736"/>
      <c r="R112" s="736"/>
      <c r="S112" s="736"/>
      <c r="T112" s="736"/>
      <c r="U112" s="736"/>
      <c r="V112" s="736"/>
      <c r="W112" s="736"/>
      <c r="X112" s="736"/>
      <c r="Y112" s="736"/>
      <c r="Z112" s="736"/>
      <c r="AA112" s="736"/>
      <c r="AB112" s="736"/>
      <c r="AC112" s="736"/>
      <c r="AD112" s="736"/>
      <c r="AE112" s="736"/>
      <c r="AF112" s="736"/>
      <c r="AG112" s="736"/>
      <c r="AH112" s="736"/>
      <c r="AI112" s="736"/>
      <c r="AJ112" s="736"/>
      <c r="AK112" s="736"/>
      <c r="AL112" s="736"/>
      <c r="AM112" s="736"/>
      <c r="AN112" s="736"/>
      <c r="AO112" s="736"/>
      <c r="AP112" s="736"/>
      <c r="AQ112" s="736"/>
      <c r="AR112" s="736"/>
      <c r="AS112" s="736"/>
      <c r="AT112" s="736"/>
      <c r="AU112" s="736"/>
      <c r="AV112" s="736"/>
      <c r="AW112" s="736"/>
      <c r="AX112" s="736"/>
      <c r="AY112" s="736"/>
      <c r="AZ112" s="736"/>
      <c r="BA112" s="736"/>
      <c r="BB112" s="736"/>
      <c r="BC112" s="737"/>
      <c r="BD112" s="84"/>
      <c r="BE112" s="85"/>
      <c r="BF112" s="85"/>
      <c r="BG112" s="85"/>
      <c r="BH112" s="85"/>
      <c r="BI112" s="85"/>
      <c r="BJ112" s="85"/>
      <c r="BK112" s="85"/>
      <c r="BL112" s="85"/>
      <c r="BM112" s="86"/>
      <c r="BN112" s="732"/>
      <c r="BO112" s="733"/>
      <c r="BP112" s="733"/>
      <c r="BQ112" s="733"/>
      <c r="BR112" s="733"/>
      <c r="BS112" s="733"/>
      <c r="BT112" s="733"/>
      <c r="BU112" s="733"/>
      <c r="BV112" s="733"/>
      <c r="BW112" s="733"/>
      <c r="BX112" s="733"/>
      <c r="BY112" s="733"/>
      <c r="BZ112" s="733"/>
      <c r="CA112" s="733"/>
      <c r="CB112" s="734"/>
      <c r="CC112" s="60"/>
      <c r="CE112" s="60">
        <f>CC112-CD112</f>
        <v>0</v>
      </c>
      <c r="CF112" s="408">
        <f>BN112-CC112</f>
        <v>0</v>
      </c>
    </row>
    <row r="113" spans="1:85" ht="16.5" customHeight="1" x14ac:dyDescent="0.2">
      <c r="A113" s="698"/>
      <c r="B113" s="699"/>
      <c r="C113" s="699"/>
      <c r="D113" s="700"/>
      <c r="E113" s="593" t="s">
        <v>307</v>
      </c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594"/>
      <c r="S113" s="594"/>
      <c r="T113" s="594"/>
      <c r="U113" s="594"/>
      <c r="V113" s="594"/>
      <c r="W113" s="594"/>
      <c r="X113" s="594"/>
      <c r="Y113" s="594"/>
      <c r="Z113" s="594"/>
      <c r="AA113" s="594"/>
      <c r="AB113" s="594"/>
      <c r="AC113" s="594"/>
      <c r="AD113" s="594"/>
      <c r="AE113" s="594"/>
      <c r="AF113" s="594"/>
      <c r="AG113" s="594"/>
      <c r="AH113" s="594"/>
      <c r="AI113" s="594"/>
      <c r="AJ113" s="594"/>
      <c r="AK113" s="594"/>
      <c r="AL113" s="594"/>
      <c r="AM113" s="594"/>
      <c r="AN113" s="594"/>
      <c r="AO113" s="594"/>
      <c r="AP113" s="594"/>
      <c r="AQ113" s="594"/>
      <c r="AR113" s="594"/>
      <c r="AS113" s="594"/>
      <c r="AT113" s="594"/>
      <c r="AU113" s="594"/>
      <c r="AV113" s="594"/>
      <c r="AW113" s="594"/>
      <c r="AX113" s="594"/>
      <c r="AY113" s="594"/>
      <c r="AZ113" s="594"/>
      <c r="BA113" s="594"/>
      <c r="BB113" s="594"/>
      <c r="BC113" s="595"/>
      <c r="BD113" s="590" t="s">
        <v>11</v>
      </c>
      <c r="BE113" s="591"/>
      <c r="BF113" s="591"/>
      <c r="BG113" s="591"/>
      <c r="BH113" s="591"/>
      <c r="BI113" s="591"/>
      <c r="BJ113" s="591"/>
      <c r="BK113" s="591"/>
      <c r="BL113" s="591"/>
      <c r="BM113" s="592"/>
      <c r="BN113" s="541">
        <f>SUM(BN111:CB112)</f>
        <v>12000</v>
      </c>
      <c r="BO113" s="542"/>
      <c r="BP113" s="542"/>
      <c r="BQ113" s="542"/>
      <c r="BR113" s="542"/>
      <c r="BS113" s="542"/>
      <c r="BT113" s="542"/>
      <c r="BU113" s="542"/>
      <c r="BV113" s="542"/>
      <c r="BW113" s="542"/>
      <c r="BX113" s="542"/>
      <c r="BY113" s="542"/>
      <c r="BZ113" s="542"/>
      <c r="CA113" s="542"/>
      <c r="CB113" s="542"/>
      <c r="CC113" s="124"/>
      <c r="CD113" s="41"/>
      <c r="CE113" s="124"/>
      <c r="CF113" s="406"/>
    </row>
    <row r="114" spans="1:85" s="167" customFormat="1" ht="15.75" x14ac:dyDescent="0.25">
      <c r="A114" s="698"/>
      <c r="B114" s="699"/>
      <c r="C114" s="699"/>
      <c r="D114" s="700"/>
      <c r="E114" s="593" t="s">
        <v>308</v>
      </c>
      <c r="F114" s="594"/>
      <c r="G114" s="594"/>
      <c r="H114" s="594"/>
      <c r="I114" s="594"/>
      <c r="J114" s="594"/>
      <c r="K114" s="594"/>
      <c r="L114" s="594"/>
      <c r="M114" s="594"/>
      <c r="N114" s="594"/>
      <c r="O114" s="594"/>
      <c r="P114" s="594"/>
      <c r="Q114" s="594"/>
      <c r="R114" s="594"/>
      <c r="S114" s="594"/>
      <c r="T114" s="594"/>
      <c r="U114" s="594"/>
      <c r="V114" s="594"/>
      <c r="W114" s="594"/>
      <c r="X114" s="594"/>
      <c r="Y114" s="594"/>
      <c r="Z114" s="594"/>
      <c r="AA114" s="594"/>
      <c r="AB114" s="594"/>
      <c r="AC114" s="594"/>
      <c r="AD114" s="594"/>
      <c r="AE114" s="594"/>
      <c r="AF114" s="594"/>
      <c r="AG114" s="594"/>
      <c r="AH114" s="594"/>
      <c r="AI114" s="594"/>
      <c r="AJ114" s="594"/>
      <c r="AK114" s="594"/>
      <c r="AL114" s="594"/>
      <c r="AM114" s="594"/>
      <c r="AN114" s="594"/>
      <c r="AO114" s="594"/>
      <c r="AP114" s="594"/>
      <c r="AQ114" s="594"/>
      <c r="AR114" s="594"/>
      <c r="AS114" s="594"/>
      <c r="AT114" s="594"/>
      <c r="AU114" s="594"/>
      <c r="AV114" s="594"/>
      <c r="AW114" s="594"/>
      <c r="AX114" s="594"/>
      <c r="AY114" s="594"/>
      <c r="AZ114" s="594"/>
      <c r="BA114" s="594"/>
      <c r="BB114" s="594"/>
      <c r="BC114" s="595"/>
      <c r="BD114" s="590" t="s">
        <v>11</v>
      </c>
      <c r="BE114" s="591"/>
      <c r="BF114" s="591"/>
      <c r="BG114" s="591"/>
      <c r="BH114" s="591"/>
      <c r="BI114" s="591"/>
      <c r="BJ114" s="591"/>
      <c r="BK114" s="591"/>
      <c r="BL114" s="591"/>
      <c r="BM114" s="592"/>
      <c r="BN114" s="541">
        <f>SUM(BN91:CB110)</f>
        <v>7111909.4699999988</v>
      </c>
      <c r="BO114" s="542"/>
      <c r="BP114" s="542"/>
      <c r="BQ114" s="542"/>
      <c r="BR114" s="542"/>
      <c r="BS114" s="542"/>
      <c r="BT114" s="542"/>
      <c r="BU114" s="542"/>
      <c r="BV114" s="542"/>
      <c r="BW114" s="542"/>
      <c r="BX114" s="542"/>
      <c r="BY114" s="542"/>
      <c r="BZ114" s="542"/>
      <c r="CA114" s="542"/>
      <c r="CB114" s="542"/>
      <c r="CC114" s="165"/>
      <c r="CD114" s="165"/>
      <c r="CE114" s="165"/>
      <c r="CF114" s="409"/>
    </row>
    <row r="115" spans="1:85" s="3" customFormat="1" ht="15.75" x14ac:dyDescent="0.25">
      <c r="A115" s="701" t="s">
        <v>324</v>
      </c>
      <c r="B115" s="701"/>
      <c r="C115" s="701"/>
      <c r="D115" s="701"/>
      <c r="E115" s="701"/>
      <c r="F115" s="701"/>
      <c r="G115" s="701"/>
      <c r="H115" s="701"/>
      <c r="I115" s="701"/>
      <c r="J115" s="701"/>
      <c r="K115" s="701"/>
      <c r="L115" s="701"/>
      <c r="M115" s="701"/>
      <c r="N115" s="701"/>
      <c r="O115" s="701"/>
      <c r="P115" s="701"/>
      <c r="Q115" s="701"/>
      <c r="R115" s="701"/>
      <c r="S115" s="701"/>
      <c r="T115" s="701"/>
      <c r="U115" s="701"/>
      <c r="V115" s="701"/>
      <c r="W115" s="701"/>
      <c r="X115" s="701"/>
      <c r="Y115" s="701"/>
      <c r="Z115" s="701"/>
      <c r="AA115" s="701"/>
      <c r="AB115" s="701"/>
      <c r="AC115" s="701"/>
      <c r="AD115" s="701"/>
      <c r="AE115" s="701"/>
      <c r="AF115" s="701"/>
      <c r="AG115" s="701"/>
      <c r="AH115" s="701"/>
      <c r="AI115" s="701"/>
      <c r="AJ115" s="701"/>
      <c r="AK115" s="701"/>
      <c r="AL115" s="701"/>
      <c r="AM115" s="701"/>
      <c r="AN115" s="701"/>
      <c r="AO115" s="701"/>
      <c r="AP115" s="701"/>
      <c r="AQ115" s="701"/>
      <c r="AR115" s="701"/>
      <c r="AS115" s="701"/>
      <c r="AT115" s="701"/>
      <c r="AU115" s="701"/>
      <c r="AV115" s="701"/>
      <c r="AW115" s="701"/>
      <c r="AX115" s="701"/>
      <c r="AY115" s="701"/>
      <c r="AZ115" s="701"/>
      <c r="BA115" s="701"/>
      <c r="BB115" s="701"/>
      <c r="BC115" s="701"/>
      <c r="BD115" s="701"/>
      <c r="BE115" s="701"/>
      <c r="BF115" s="701"/>
      <c r="BG115" s="701"/>
      <c r="BH115" s="701"/>
      <c r="BI115" s="701"/>
      <c r="BJ115" s="701"/>
      <c r="BK115" s="701"/>
      <c r="BL115" s="701"/>
      <c r="BM115" s="701"/>
      <c r="BN115" s="701"/>
      <c r="BO115" s="701"/>
      <c r="BP115" s="701"/>
      <c r="BQ115" s="701"/>
      <c r="BR115" s="701"/>
      <c r="BS115" s="701"/>
      <c r="BT115" s="701"/>
      <c r="BU115" s="701"/>
      <c r="BV115" s="701"/>
      <c r="BW115" s="701"/>
      <c r="BX115" s="701"/>
      <c r="BY115" s="701"/>
      <c r="BZ115" s="701"/>
      <c r="CA115" s="701"/>
      <c r="CB115" s="701"/>
      <c r="CC115" s="122"/>
      <c r="CD115" s="115"/>
      <c r="CE115" s="115"/>
      <c r="CF115" s="406"/>
    </row>
    <row r="116" spans="1:85" s="6" customForma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123"/>
      <c r="CD116" s="117"/>
      <c r="CE116" s="117"/>
      <c r="CF116" s="406"/>
    </row>
    <row r="117" spans="1:85" x14ac:dyDescent="0.2">
      <c r="A117" s="519" t="s">
        <v>5</v>
      </c>
      <c r="B117" s="520"/>
      <c r="C117" s="520"/>
      <c r="D117" s="523"/>
      <c r="E117" s="519" t="s">
        <v>13</v>
      </c>
      <c r="F117" s="520"/>
      <c r="G117" s="520"/>
      <c r="H117" s="520"/>
      <c r="I117" s="520"/>
      <c r="J117" s="520"/>
      <c r="K117" s="520"/>
      <c r="L117" s="520"/>
      <c r="M117" s="520"/>
      <c r="N117" s="520"/>
      <c r="O117" s="520"/>
      <c r="P117" s="520"/>
      <c r="Q117" s="520"/>
      <c r="R117" s="520"/>
      <c r="S117" s="520"/>
      <c r="T117" s="520"/>
      <c r="U117" s="520"/>
      <c r="V117" s="520"/>
      <c r="W117" s="520"/>
      <c r="X117" s="520"/>
      <c r="Y117" s="520"/>
      <c r="Z117" s="520"/>
      <c r="AA117" s="520"/>
      <c r="AB117" s="520"/>
      <c r="AC117" s="520"/>
      <c r="AD117" s="520"/>
      <c r="AE117" s="520"/>
      <c r="AF117" s="520"/>
      <c r="AG117" s="520"/>
      <c r="AH117" s="520"/>
      <c r="AI117" s="520"/>
      <c r="AJ117" s="520"/>
      <c r="AK117" s="520"/>
      <c r="AL117" s="520"/>
      <c r="AM117" s="520"/>
      <c r="AN117" s="520"/>
      <c r="AO117" s="520"/>
      <c r="AP117" s="520"/>
      <c r="AQ117" s="520"/>
      <c r="AR117" s="520"/>
      <c r="AS117" s="520"/>
      <c r="AT117" s="520"/>
      <c r="AU117" s="520"/>
      <c r="AV117" s="520"/>
      <c r="AW117" s="520"/>
      <c r="AX117" s="520"/>
      <c r="AY117" s="520"/>
      <c r="AZ117" s="520"/>
      <c r="BA117" s="520"/>
      <c r="BB117" s="520"/>
      <c r="BC117" s="523"/>
      <c r="BD117" s="519" t="s">
        <v>18</v>
      </c>
      <c r="BE117" s="520"/>
      <c r="BF117" s="520"/>
      <c r="BG117" s="520"/>
      <c r="BH117" s="520"/>
      <c r="BI117" s="520"/>
      <c r="BJ117" s="520"/>
      <c r="BK117" s="520"/>
      <c r="BL117" s="520"/>
      <c r="BM117" s="523"/>
      <c r="BN117" s="519" t="s">
        <v>83</v>
      </c>
      <c r="BO117" s="520"/>
      <c r="BP117" s="520"/>
      <c r="BQ117" s="520"/>
      <c r="BR117" s="520"/>
      <c r="BS117" s="520"/>
      <c r="BT117" s="520"/>
      <c r="BU117" s="520"/>
      <c r="BV117" s="520"/>
      <c r="BW117" s="520"/>
      <c r="BX117" s="520"/>
      <c r="BY117" s="520"/>
      <c r="BZ117" s="520"/>
      <c r="CA117" s="520"/>
      <c r="CB117" s="520"/>
      <c r="CC117" s="124"/>
      <c r="CD117" s="41"/>
      <c r="CE117" s="41"/>
      <c r="CF117" s="406"/>
    </row>
    <row r="118" spans="1:85" x14ac:dyDescent="0.2">
      <c r="A118" s="521" t="s">
        <v>6</v>
      </c>
      <c r="B118" s="522"/>
      <c r="C118" s="522"/>
      <c r="D118" s="537"/>
      <c r="E118" s="531"/>
      <c r="F118" s="532"/>
      <c r="G118" s="532"/>
      <c r="H118" s="532"/>
      <c r="I118" s="532"/>
      <c r="J118" s="532"/>
      <c r="K118" s="532"/>
      <c r="L118" s="532"/>
      <c r="M118" s="532"/>
      <c r="N118" s="532"/>
      <c r="O118" s="532"/>
      <c r="P118" s="532"/>
      <c r="Q118" s="532"/>
      <c r="R118" s="532"/>
      <c r="S118" s="532"/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I118" s="532"/>
      <c r="AJ118" s="532"/>
      <c r="AK118" s="532"/>
      <c r="AL118" s="532"/>
      <c r="AM118" s="532"/>
      <c r="AN118" s="532"/>
      <c r="AO118" s="532"/>
      <c r="AP118" s="532"/>
      <c r="AQ118" s="532"/>
      <c r="AR118" s="532"/>
      <c r="AS118" s="532"/>
      <c r="AT118" s="532"/>
      <c r="AU118" s="532"/>
      <c r="AV118" s="532"/>
      <c r="AW118" s="532"/>
      <c r="AX118" s="532"/>
      <c r="AY118" s="532"/>
      <c r="AZ118" s="532"/>
      <c r="BA118" s="532"/>
      <c r="BB118" s="532"/>
      <c r="BC118" s="533"/>
      <c r="BD118" s="521" t="s">
        <v>104</v>
      </c>
      <c r="BE118" s="522"/>
      <c r="BF118" s="522"/>
      <c r="BG118" s="522"/>
      <c r="BH118" s="522"/>
      <c r="BI118" s="522"/>
      <c r="BJ118" s="522"/>
      <c r="BK118" s="522"/>
      <c r="BL118" s="522"/>
      <c r="BM118" s="537"/>
      <c r="BN118" s="521" t="s">
        <v>105</v>
      </c>
      <c r="BO118" s="522"/>
      <c r="BP118" s="522"/>
      <c r="BQ118" s="522"/>
      <c r="BR118" s="522"/>
      <c r="BS118" s="522"/>
      <c r="BT118" s="522"/>
      <c r="BU118" s="522"/>
      <c r="BV118" s="522"/>
      <c r="BW118" s="522"/>
      <c r="BX118" s="522"/>
      <c r="BY118" s="522"/>
      <c r="BZ118" s="522"/>
      <c r="CA118" s="522"/>
      <c r="CB118" s="522"/>
      <c r="CC118" s="124"/>
      <c r="CD118" s="41"/>
      <c r="CE118" s="41"/>
      <c r="CF118" s="406"/>
    </row>
    <row r="119" spans="1:85" ht="18.75" customHeight="1" x14ac:dyDescent="0.25">
      <c r="A119" s="554">
        <v>1</v>
      </c>
      <c r="B119" s="555"/>
      <c r="C119" s="555"/>
      <c r="D119" s="556"/>
      <c r="E119" s="554">
        <v>2</v>
      </c>
      <c r="F119" s="555"/>
      <c r="G119" s="555"/>
      <c r="H119" s="555"/>
      <c r="I119" s="555"/>
      <c r="J119" s="555"/>
      <c r="K119" s="555"/>
      <c r="L119" s="555"/>
      <c r="M119" s="555"/>
      <c r="N119" s="555"/>
      <c r="O119" s="555"/>
      <c r="P119" s="555"/>
      <c r="Q119" s="555"/>
      <c r="R119" s="555"/>
      <c r="S119" s="555"/>
      <c r="T119" s="555"/>
      <c r="U119" s="555"/>
      <c r="V119" s="555"/>
      <c r="W119" s="555"/>
      <c r="X119" s="555"/>
      <c r="Y119" s="555"/>
      <c r="Z119" s="555"/>
      <c r="AA119" s="555"/>
      <c r="AB119" s="555"/>
      <c r="AC119" s="555"/>
      <c r="AD119" s="555"/>
      <c r="AE119" s="555"/>
      <c r="AF119" s="555"/>
      <c r="AG119" s="555"/>
      <c r="AH119" s="555"/>
      <c r="AI119" s="555"/>
      <c r="AJ119" s="555"/>
      <c r="AK119" s="555"/>
      <c r="AL119" s="555"/>
      <c r="AM119" s="555"/>
      <c r="AN119" s="555"/>
      <c r="AO119" s="555"/>
      <c r="AP119" s="555"/>
      <c r="AQ119" s="555"/>
      <c r="AR119" s="555"/>
      <c r="AS119" s="555"/>
      <c r="AT119" s="555"/>
      <c r="AU119" s="555"/>
      <c r="AV119" s="555"/>
      <c r="AW119" s="555"/>
      <c r="AX119" s="555"/>
      <c r="AY119" s="555"/>
      <c r="AZ119" s="555"/>
      <c r="BA119" s="555"/>
      <c r="BB119" s="555"/>
      <c r="BC119" s="556"/>
      <c r="BD119" s="554">
        <v>3</v>
      </c>
      <c r="BE119" s="555"/>
      <c r="BF119" s="555"/>
      <c r="BG119" s="555"/>
      <c r="BH119" s="555"/>
      <c r="BI119" s="555"/>
      <c r="BJ119" s="555"/>
      <c r="BK119" s="555"/>
      <c r="BL119" s="555"/>
      <c r="BM119" s="556"/>
      <c r="BN119" s="554">
        <v>4</v>
      </c>
      <c r="BO119" s="555"/>
      <c r="BP119" s="555"/>
      <c r="BQ119" s="555"/>
      <c r="BR119" s="555"/>
      <c r="BS119" s="555"/>
      <c r="BT119" s="555"/>
      <c r="BU119" s="555"/>
      <c r="BV119" s="555"/>
      <c r="BW119" s="555"/>
      <c r="BX119" s="555"/>
      <c r="BY119" s="555"/>
      <c r="BZ119" s="555"/>
      <c r="CA119" s="555"/>
      <c r="CB119" s="556"/>
      <c r="CC119" s="62" t="s">
        <v>193</v>
      </c>
      <c r="CD119" s="62" t="s">
        <v>194</v>
      </c>
      <c r="CE119" s="62" t="s">
        <v>298</v>
      </c>
      <c r="CF119" s="407" t="s">
        <v>296</v>
      </c>
    </row>
    <row r="120" spans="1:85" s="14" customFormat="1" ht="18" customHeight="1" x14ac:dyDescent="0.2">
      <c r="A120" s="658">
        <v>1</v>
      </c>
      <c r="B120" s="659"/>
      <c r="C120" s="659"/>
      <c r="D120" s="694"/>
      <c r="E120" s="691" t="s">
        <v>139</v>
      </c>
      <c r="F120" s="692"/>
      <c r="G120" s="692"/>
      <c r="H120" s="692"/>
      <c r="I120" s="692"/>
      <c r="J120" s="692"/>
      <c r="K120" s="692"/>
      <c r="L120" s="692"/>
      <c r="M120" s="692"/>
      <c r="N120" s="692"/>
      <c r="O120" s="692"/>
      <c r="P120" s="692"/>
      <c r="Q120" s="692"/>
      <c r="R120" s="692"/>
      <c r="S120" s="692"/>
      <c r="T120" s="692"/>
      <c r="U120" s="692"/>
      <c r="V120" s="692"/>
      <c r="W120" s="692"/>
      <c r="X120" s="692"/>
      <c r="Y120" s="692"/>
      <c r="Z120" s="692"/>
      <c r="AA120" s="692"/>
      <c r="AB120" s="692"/>
      <c r="AC120" s="692"/>
      <c r="AD120" s="692"/>
      <c r="AE120" s="692"/>
      <c r="AF120" s="692"/>
      <c r="AG120" s="692"/>
      <c r="AH120" s="692"/>
      <c r="AI120" s="692"/>
      <c r="AJ120" s="692"/>
      <c r="AK120" s="692"/>
      <c r="AL120" s="692"/>
      <c r="AM120" s="692"/>
      <c r="AN120" s="692"/>
      <c r="AO120" s="692"/>
      <c r="AP120" s="692"/>
      <c r="AQ120" s="692"/>
      <c r="AR120" s="692"/>
      <c r="AS120" s="692"/>
      <c r="AT120" s="692"/>
      <c r="AU120" s="692"/>
      <c r="AV120" s="692"/>
      <c r="AW120" s="692"/>
      <c r="AX120" s="692"/>
      <c r="AY120" s="692"/>
      <c r="AZ120" s="692"/>
      <c r="BA120" s="692"/>
      <c r="BB120" s="692"/>
      <c r="BC120" s="693"/>
      <c r="BD120" s="688"/>
      <c r="BE120" s="695"/>
      <c r="BF120" s="695"/>
      <c r="BG120" s="695"/>
      <c r="BH120" s="695"/>
      <c r="BI120" s="695"/>
      <c r="BJ120" s="695"/>
      <c r="BK120" s="695"/>
      <c r="BL120" s="695"/>
      <c r="BM120" s="696"/>
      <c r="BN120" s="729"/>
      <c r="BO120" s="730"/>
      <c r="BP120" s="730"/>
      <c r="BQ120" s="730"/>
      <c r="BR120" s="730"/>
      <c r="BS120" s="730"/>
      <c r="BT120" s="730"/>
      <c r="BU120" s="730"/>
      <c r="BV120" s="730"/>
      <c r="BW120" s="730"/>
      <c r="BX120" s="730"/>
      <c r="BY120" s="730"/>
      <c r="BZ120" s="730"/>
      <c r="CA120" s="730"/>
      <c r="CB120" s="731"/>
      <c r="CC120" s="60"/>
      <c r="CD120" s="60"/>
      <c r="CE120" s="60">
        <f>CC120-CD120</f>
        <v>0</v>
      </c>
      <c r="CF120" s="408">
        <f>BN120-CC120</f>
        <v>0</v>
      </c>
    </row>
    <row r="121" spans="1:85" s="14" customFormat="1" ht="18" customHeight="1" x14ac:dyDescent="0.2">
      <c r="A121" s="658">
        <v>2</v>
      </c>
      <c r="B121" s="659"/>
      <c r="C121" s="659"/>
      <c r="D121" s="694"/>
      <c r="E121" s="691" t="s">
        <v>341</v>
      </c>
      <c r="F121" s="692"/>
      <c r="G121" s="692"/>
      <c r="H121" s="692"/>
      <c r="I121" s="692"/>
      <c r="J121" s="692"/>
      <c r="K121" s="692"/>
      <c r="L121" s="692"/>
      <c r="M121" s="692"/>
      <c r="N121" s="692"/>
      <c r="O121" s="692"/>
      <c r="P121" s="692"/>
      <c r="Q121" s="692"/>
      <c r="R121" s="692"/>
      <c r="S121" s="692"/>
      <c r="T121" s="692"/>
      <c r="U121" s="692"/>
      <c r="V121" s="692"/>
      <c r="W121" s="692"/>
      <c r="X121" s="692"/>
      <c r="Y121" s="692"/>
      <c r="Z121" s="692"/>
      <c r="AA121" s="692"/>
      <c r="AB121" s="692"/>
      <c r="AC121" s="692"/>
      <c r="AD121" s="692"/>
      <c r="AE121" s="692"/>
      <c r="AF121" s="692"/>
      <c r="AG121" s="692"/>
      <c r="AH121" s="692"/>
      <c r="AI121" s="692"/>
      <c r="AJ121" s="692"/>
      <c r="AK121" s="692"/>
      <c r="AL121" s="692"/>
      <c r="AM121" s="692"/>
      <c r="AN121" s="692"/>
      <c r="AO121" s="692"/>
      <c r="AP121" s="692"/>
      <c r="AQ121" s="692"/>
      <c r="AR121" s="692"/>
      <c r="AS121" s="692"/>
      <c r="AT121" s="692"/>
      <c r="AU121" s="692"/>
      <c r="AV121" s="692"/>
      <c r="AW121" s="692"/>
      <c r="AX121" s="692"/>
      <c r="AY121" s="692"/>
      <c r="AZ121" s="692"/>
      <c r="BA121" s="692"/>
      <c r="BB121" s="692"/>
      <c r="BC121" s="693"/>
      <c r="BD121" s="688"/>
      <c r="BE121" s="695"/>
      <c r="BF121" s="695"/>
      <c r="BG121" s="695"/>
      <c r="BH121" s="695"/>
      <c r="BI121" s="695"/>
      <c r="BJ121" s="695"/>
      <c r="BK121" s="695"/>
      <c r="BL121" s="695"/>
      <c r="BM121" s="696"/>
      <c r="BN121" s="729"/>
      <c r="BO121" s="730"/>
      <c r="BP121" s="730"/>
      <c r="BQ121" s="730"/>
      <c r="BR121" s="730"/>
      <c r="BS121" s="730"/>
      <c r="BT121" s="730"/>
      <c r="BU121" s="730"/>
      <c r="BV121" s="730"/>
      <c r="BW121" s="730"/>
      <c r="BX121" s="730"/>
      <c r="BY121" s="730"/>
      <c r="BZ121" s="730"/>
      <c r="CA121" s="730"/>
      <c r="CB121" s="731"/>
      <c r="CC121" s="60"/>
      <c r="CD121" s="60"/>
      <c r="CE121" s="60">
        <f>CC121-CD121</f>
        <v>0</v>
      </c>
      <c r="CF121" s="408">
        <f>BN121-CC121</f>
        <v>0</v>
      </c>
    </row>
    <row r="122" spans="1:85" s="167" customFormat="1" ht="15.75" x14ac:dyDescent="0.25">
      <c r="A122" s="698"/>
      <c r="B122" s="699"/>
      <c r="C122" s="699"/>
      <c r="D122" s="700"/>
      <c r="E122" s="593" t="s">
        <v>10</v>
      </c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  <c r="T122" s="594"/>
      <c r="U122" s="594"/>
      <c r="V122" s="594"/>
      <c r="W122" s="594"/>
      <c r="X122" s="594"/>
      <c r="Y122" s="594"/>
      <c r="Z122" s="594"/>
      <c r="AA122" s="594"/>
      <c r="AB122" s="594"/>
      <c r="AC122" s="594"/>
      <c r="AD122" s="594"/>
      <c r="AE122" s="594"/>
      <c r="AF122" s="594"/>
      <c r="AG122" s="594"/>
      <c r="AH122" s="594"/>
      <c r="AI122" s="594"/>
      <c r="AJ122" s="594"/>
      <c r="AK122" s="594"/>
      <c r="AL122" s="594"/>
      <c r="AM122" s="594"/>
      <c r="AN122" s="594"/>
      <c r="AO122" s="594"/>
      <c r="AP122" s="594"/>
      <c r="AQ122" s="594"/>
      <c r="AR122" s="594"/>
      <c r="AS122" s="594"/>
      <c r="AT122" s="594"/>
      <c r="AU122" s="594"/>
      <c r="AV122" s="594"/>
      <c r="AW122" s="594"/>
      <c r="AX122" s="594"/>
      <c r="AY122" s="594"/>
      <c r="AZ122" s="594"/>
      <c r="BA122" s="594"/>
      <c r="BB122" s="594"/>
      <c r="BC122" s="595"/>
      <c r="BD122" s="590" t="s">
        <v>11</v>
      </c>
      <c r="BE122" s="591"/>
      <c r="BF122" s="591"/>
      <c r="BG122" s="591"/>
      <c r="BH122" s="591"/>
      <c r="BI122" s="591"/>
      <c r="BJ122" s="591"/>
      <c r="BK122" s="591"/>
      <c r="BL122" s="591"/>
      <c r="BM122" s="592"/>
      <c r="BN122" s="541">
        <f>SUM(BN121:CB121)</f>
        <v>0</v>
      </c>
      <c r="BO122" s="542"/>
      <c r="BP122" s="542"/>
      <c r="BQ122" s="542"/>
      <c r="BR122" s="542"/>
      <c r="BS122" s="542"/>
      <c r="BT122" s="542"/>
      <c r="BU122" s="542"/>
      <c r="BV122" s="542"/>
      <c r="BW122" s="542"/>
      <c r="BX122" s="542"/>
      <c r="BY122" s="542"/>
      <c r="BZ122" s="542"/>
      <c r="CA122" s="542"/>
      <c r="CB122" s="542"/>
      <c r="CC122" s="165"/>
      <c r="CD122" s="165"/>
      <c r="CE122" s="165"/>
      <c r="CF122" s="409">
        <f>CC122-CD122</f>
        <v>0</v>
      </c>
      <c r="CG122" s="166"/>
    </row>
    <row r="123" spans="1:85" x14ac:dyDescent="0.2">
      <c r="A123" s="28"/>
      <c r="B123" s="29"/>
      <c r="C123" s="29"/>
      <c r="D123" s="30"/>
      <c r="CC123" s="41"/>
      <c r="CD123" s="41"/>
      <c r="CE123" s="41"/>
      <c r="CF123" s="406">
        <f>CC123-CD123</f>
        <v>0</v>
      </c>
      <c r="CG123" s="27"/>
    </row>
    <row r="124" spans="1:85" x14ac:dyDescent="0.2">
      <c r="A124" s="28"/>
      <c r="B124" s="34"/>
      <c r="C124" s="34"/>
      <c r="D124" s="35"/>
      <c r="CC124" s="41"/>
      <c r="CD124" s="41"/>
      <c r="CE124" s="41"/>
      <c r="CF124" s="406"/>
      <c r="CG124" s="27"/>
    </row>
    <row r="125" spans="1:85" ht="15.75" x14ac:dyDescent="0.25">
      <c r="A125" s="1"/>
      <c r="B125" s="1"/>
      <c r="C125" s="1"/>
      <c r="D125" s="1"/>
      <c r="CC125" s="41"/>
      <c r="CD125" s="41"/>
      <c r="CE125" s="41"/>
      <c r="CF125" s="406"/>
      <c r="CG125" s="27"/>
    </row>
    <row r="126" spans="1:85" ht="15.75" x14ac:dyDescent="0.25">
      <c r="A126" s="1"/>
      <c r="B126" s="1"/>
      <c r="C126" s="1"/>
      <c r="D126" s="1"/>
      <c r="CC126" s="41"/>
      <c r="CD126" s="41"/>
      <c r="CE126" s="41"/>
      <c r="CF126" s="406"/>
      <c r="CG126" s="27"/>
    </row>
    <row r="127" spans="1:85" x14ac:dyDescent="0.2">
      <c r="CC127" s="41"/>
      <c r="CD127" s="41"/>
      <c r="CE127" s="41"/>
      <c r="CF127" s="406"/>
      <c r="CG127" s="27"/>
    </row>
    <row r="128" spans="1:85" x14ac:dyDescent="0.2">
      <c r="CC128" s="41"/>
      <c r="CD128" s="41"/>
      <c r="CE128" s="41"/>
      <c r="CF128" s="406"/>
      <c r="CG128" s="27"/>
    </row>
    <row r="129" spans="81:85" x14ac:dyDescent="0.2">
      <c r="CC129" s="41"/>
      <c r="CD129" s="41"/>
      <c r="CE129" s="41"/>
      <c r="CF129" s="406"/>
      <c r="CG129" s="27"/>
    </row>
    <row r="130" spans="81:85" x14ac:dyDescent="0.2">
      <c r="CC130" s="41"/>
      <c r="CD130" s="41"/>
      <c r="CE130" s="41"/>
      <c r="CF130" s="406"/>
      <c r="CG130" s="27"/>
    </row>
    <row r="131" spans="81:85" x14ac:dyDescent="0.2">
      <c r="CC131" s="41"/>
      <c r="CD131" s="41"/>
      <c r="CE131" s="41"/>
      <c r="CF131" s="406"/>
      <c r="CG131" s="27"/>
    </row>
    <row r="132" spans="81:85" x14ac:dyDescent="0.2">
      <c r="CC132" s="41"/>
      <c r="CD132" s="41"/>
      <c r="CE132" s="41"/>
      <c r="CF132" s="406"/>
      <c r="CG132" s="27"/>
    </row>
    <row r="133" spans="81:85" x14ac:dyDescent="0.2">
      <c r="CC133" s="41"/>
      <c r="CD133" s="41"/>
      <c r="CE133" s="41"/>
      <c r="CF133" s="406"/>
      <c r="CG133" s="27"/>
    </row>
    <row r="134" spans="81:85" x14ac:dyDescent="0.2">
      <c r="CC134" s="41"/>
      <c r="CD134" s="41"/>
      <c r="CE134" s="41"/>
      <c r="CF134" s="406"/>
      <c r="CG134" s="27"/>
    </row>
    <row r="135" spans="81:85" x14ac:dyDescent="0.2">
      <c r="CC135" s="41"/>
      <c r="CD135" s="41"/>
      <c r="CE135" s="41"/>
      <c r="CF135" s="406"/>
      <c r="CG135" s="27"/>
    </row>
    <row r="136" spans="81:85" x14ac:dyDescent="0.2">
      <c r="CC136" s="41"/>
      <c r="CD136" s="41"/>
      <c r="CE136" s="41"/>
      <c r="CF136" s="406"/>
      <c r="CG136" s="27"/>
    </row>
  </sheetData>
  <mergeCells count="465">
    <mergeCell ref="BN109:CB109"/>
    <mergeCell ref="E100:BC100"/>
    <mergeCell ref="A86:CB86"/>
    <mergeCell ref="BN98:CB98"/>
    <mergeCell ref="BN95:CB95"/>
    <mergeCell ref="A107:D107"/>
    <mergeCell ref="A105:D105"/>
    <mergeCell ref="BN107:CB107"/>
    <mergeCell ref="E104:BC104"/>
    <mergeCell ref="BD107:BM107"/>
    <mergeCell ref="BD105:BM105"/>
    <mergeCell ref="A104:D104"/>
    <mergeCell ref="BN106:CB106"/>
    <mergeCell ref="BN104:CB104"/>
    <mergeCell ref="A102:D102"/>
    <mergeCell ref="E102:BC102"/>
    <mergeCell ref="BD102:BM102"/>
    <mergeCell ref="E106:BC106"/>
    <mergeCell ref="BD106:BM106"/>
    <mergeCell ref="A101:D101"/>
    <mergeCell ref="BN105:CB105"/>
    <mergeCell ref="BN101:CB101"/>
    <mergeCell ref="BN96:CB96"/>
    <mergeCell ref="BD93:BM93"/>
    <mergeCell ref="BN74:CB74"/>
    <mergeCell ref="BN78:CB78"/>
    <mergeCell ref="E77:AM77"/>
    <mergeCell ref="E76:AM76"/>
    <mergeCell ref="BN100:CB100"/>
    <mergeCell ref="BD95:BM95"/>
    <mergeCell ref="BD92:BM92"/>
    <mergeCell ref="BN92:CB92"/>
    <mergeCell ref="E93:BC93"/>
    <mergeCell ref="E96:BC96"/>
    <mergeCell ref="AN78:BC78"/>
    <mergeCell ref="BD79:BM79"/>
    <mergeCell ref="AN80:BC80"/>
    <mergeCell ref="AN81:BC81"/>
    <mergeCell ref="E81:AM81"/>
    <mergeCell ref="AN82:BC82"/>
    <mergeCell ref="BN82:CB82"/>
    <mergeCell ref="BN81:CB81"/>
    <mergeCell ref="BN93:CB93"/>
    <mergeCell ref="E94:BC94"/>
    <mergeCell ref="E79:AM79"/>
    <mergeCell ref="BN85:CB85"/>
    <mergeCell ref="BD81:BM81"/>
    <mergeCell ref="BD88:BM88"/>
    <mergeCell ref="BP15:CB15"/>
    <mergeCell ref="BE15:BO15"/>
    <mergeCell ref="E59:AQ59"/>
    <mergeCell ref="BD58:BN58"/>
    <mergeCell ref="AN64:BC64"/>
    <mergeCell ref="E69:AM69"/>
    <mergeCell ref="A72:D72"/>
    <mergeCell ref="BD71:BM71"/>
    <mergeCell ref="E75:AM75"/>
    <mergeCell ref="AN69:BC69"/>
    <mergeCell ref="E70:AM70"/>
    <mergeCell ref="AN71:BC71"/>
    <mergeCell ref="A71:D71"/>
    <mergeCell ref="E73:AM73"/>
    <mergeCell ref="A75:D75"/>
    <mergeCell ref="A74:D74"/>
    <mergeCell ref="E74:AM74"/>
    <mergeCell ref="AN74:BC74"/>
    <mergeCell ref="BD74:BM74"/>
    <mergeCell ref="BN75:CB75"/>
    <mergeCell ref="BN73:CB73"/>
    <mergeCell ref="BD56:BN56"/>
    <mergeCell ref="AR57:BC57"/>
    <mergeCell ref="E64:AM64"/>
    <mergeCell ref="BE46:BO46"/>
    <mergeCell ref="AN36:AV36"/>
    <mergeCell ref="BJ37:CB37"/>
    <mergeCell ref="BJ38:CB38"/>
    <mergeCell ref="BJ41:CB41"/>
    <mergeCell ref="AW41:BI41"/>
    <mergeCell ref="BE47:BO47"/>
    <mergeCell ref="AN37:AV37"/>
    <mergeCell ref="A36:D36"/>
    <mergeCell ref="E36:AM36"/>
    <mergeCell ref="AN39:AV39"/>
    <mergeCell ref="AN38:AV38"/>
    <mergeCell ref="E39:AM39"/>
    <mergeCell ref="AW38:BI38"/>
    <mergeCell ref="A41:D41"/>
    <mergeCell ref="AU45:BD45"/>
    <mergeCell ref="A42:D42"/>
    <mergeCell ref="E42:AM42"/>
    <mergeCell ref="AW39:BI39"/>
    <mergeCell ref="AW40:BI40"/>
    <mergeCell ref="BJ40:CB40"/>
    <mergeCell ref="AN42:AV42"/>
    <mergeCell ref="E40:AM40"/>
    <mergeCell ref="AN40:AV40"/>
    <mergeCell ref="A29:D29"/>
    <mergeCell ref="AU29:BD29"/>
    <mergeCell ref="AW35:BI35"/>
    <mergeCell ref="E35:AM35"/>
    <mergeCell ref="BE30:BO30"/>
    <mergeCell ref="A31:D31"/>
    <mergeCell ref="BJ36:CB36"/>
    <mergeCell ref="BE25:BO25"/>
    <mergeCell ref="BP25:CB25"/>
    <mergeCell ref="BE26:BO26"/>
    <mergeCell ref="BE27:BO27"/>
    <mergeCell ref="AJ28:AT28"/>
    <mergeCell ref="AU28:BD28"/>
    <mergeCell ref="BE28:BO28"/>
    <mergeCell ref="AJ26:AT26"/>
    <mergeCell ref="BE29:BO29"/>
    <mergeCell ref="E31:AI31"/>
    <mergeCell ref="A33:CB33"/>
    <mergeCell ref="A35:D35"/>
    <mergeCell ref="AU31:BD31"/>
    <mergeCell ref="AN35:AV35"/>
    <mergeCell ref="BJ35:CB35"/>
    <mergeCell ref="E30:AI30"/>
    <mergeCell ref="AJ30:AT30"/>
    <mergeCell ref="BP24:CB24"/>
    <mergeCell ref="BE24:BO24"/>
    <mergeCell ref="BP26:CB26"/>
    <mergeCell ref="BP27:CB27"/>
    <mergeCell ref="BP28:CB28"/>
    <mergeCell ref="A25:D25"/>
    <mergeCell ref="A24:D24"/>
    <mergeCell ref="E25:AI25"/>
    <mergeCell ref="AJ25:AT25"/>
    <mergeCell ref="AJ24:AT24"/>
    <mergeCell ref="A27:D27"/>
    <mergeCell ref="AU27:BD27"/>
    <mergeCell ref="AU24:BD24"/>
    <mergeCell ref="AU25:BD25"/>
    <mergeCell ref="E24:AI24"/>
    <mergeCell ref="A26:D26"/>
    <mergeCell ref="AU30:BD30"/>
    <mergeCell ref="A37:D37"/>
    <mergeCell ref="E37:AM37"/>
    <mergeCell ref="A38:D38"/>
    <mergeCell ref="E38:AM38"/>
    <mergeCell ref="BP30:CB30"/>
    <mergeCell ref="AW36:BI36"/>
    <mergeCell ref="BP31:CB31"/>
    <mergeCell ref="BE31:BO31"/>
    <mergeCell ref="BP29:CB29"/>
    <mergeCell ref="AW37:BI37"/>
    <mergeCell ref="E15:AI15"/>
    <mergeCell ref="AJ15:AT15"/>
    <mergeCell ref="E49:AI49"/>
    <mergeCell ref="E48:AI48"/>
    <mergeCell ref="AU15:BD15"/>
    <mergeCell ref="A46:D46"/>
    <mergeCell ref="A47:D47"/>
    <mergeCell ref="A15:D15"/>
    <mergeCell ref="A49:D49"/>
    <mergeCell ref="AJ49:AT49"/>
    <mergeCell ref="AU48:BD48"/>
    <mergeCell ref="AJ31:AT31"/>
    <mergeCell ref="AU26:BD26"/>
    <mergeCell ref="A28:D28"/>
    <mergeCell ref="E29:AI29"/>
    <mergeCell ref="AJ29:AT29"/>
    <mergeCell ref="E28:AI28"/>
    <mergeCell ref="A30:D30"/>
    <mergeCell ref="E26:AI26"/>
    <mergeCell ref="AJ27:AT27"/>
    <mergeCell ref="E27:AI27"/>
    <mergeCell ref="S18:CB18"/>
    <mergeCell ref="AH20:CB20"/>
    <mergeCell ref="A22:CB22"/>
    <mergeCell ref="BE48:BO48"/>
    <mergeCell ref="BP48:CB48"/>
    <mergeCell ref="AJ47:AT47"/>
    <mergeCell ref="A48:D48"/>
    <mergeCell ref="AJ48:AT48"/>
    <mergeCell ref="E47:AI47"/>
    <mergeCell ref="AJ46:AT46"/>
    <mergeCell ref="AJ45:AT45"/>
    <mergeCell ref="BP45:CB45"/>
    <mergeCell ref="BP47:CB47"/>
    <mergeCell ref="A45:D45"/>
    <mergeCell ref="AU47:BD47"/>
    <mergeCell ref="BE45:BO45"/>
    <mergeCell ref="A39:D39"/>
    <mergeCell ref="BP46:CB46"/>
    <mergeCell ref="AN41:AV41"/>
    <mergeCell ref="E45:AI45"/>
    <mergeCell ref="E46:AI46"/>
    <mergeCell ref="BJ39:CB39"/>
    <mergeCell ref="AU46:BD46"/>
    <mergeCell ref="E41:AM41"/>
    <mergeCell ref="AW42:BI42"/>
    <mergeCell ref="A40:D40"/>
    <mergeCell ref="BJ42:CB42"/>
    <mergeCell ref="A43:CB43"/>
    <mergeCell ref="A57:D57"/>
    <mergeCell ref="AR54:BC54"/>
    <mergeCell ref="A54:D54"/>
    <mergeCell ref="A52:CB52"/>
    <mergeCell ref="BD55:BN55"/>
    <mergeCell ref="BO57:CB57"/>
    <mergeCell ref="AU49:BD49"/>
    <mergeCell ref="BD57:BN57"/>
    <mergeCell ref="E57:AQ57"/>
    <mergeCell ref="E54:AQ54"/>
    <mergeCell ref="A55:D55"/>
    <mergeCell ref="BE49:BO49"/>
    <mergeCell ref="BP49:CB49"/>
    <mergeCell ref="A56:D56"/>
    <mergeCell ref="E56:AQ56"/>
    <mergeCell ref="AR56:BC56"/>
    <mergeCell ref="AR55:BC55"/>
    <mergeCell ref="AJ50:AT50"/>
    <mergeCell ref="A50:D50"/>
    <mergeCell ref="E55:AQ55"/>
    <mergeCell ref="AU50:BD50"/>
    <mergeCell ref="BP50:CB50"/>
    <mergeCell ref="A65:D65"/>
    <mergeCell ref="A68:D68"/>
    <mergeCell ref="A63:D63"/>
    <mergeCell ref="AN63:BC63"/>
    <mergeCell ref="BN67:CB67"/>
    <mergeCell ref="BN63:CB63"/>
    <mergeCell ref="E66:AM66"/>
    <mergeCell ref="BN65:CB65"/>
    <mergeCell ref="BD64:BM64"/>
    <mergeCell ref="A66:D66"/>
    <mergeCell ref="A64:D64"/>
    <mergeCell ref="AN68:BC68"/>
    <mergeCell ref="BD63:BM63"/>
    <mergeCell ref="BN68:CB68"/>
    <mergeCell ref="BN66:CB66"/>
    <mergeCell ref="BD68:BM68"/>
    <mergeCell ref="BD67:BM67"/>
    <mergeCell ref="BD66:BM66"/>
    <mergeCell ref="AN67:BC67"/>
    <mergeCell ref="BD65:BM65"/>
    <mergeCell ref="E67:AM67"/>
    <mergeCell ref="A58:D58"/>
    <mergeCell ref="A59:D59"/>
    <mergeCell ref="BN71:CB71"/>
    <mergeCell ref="BN72:CB72"/>
    <mergeCell ref="BN121:CB121"/>
    <mergeCell ref="BN70:CB70"/>
    <mergeCell ref="BN77:CB77"/>
    <mergeCell ref="BN94:CB94"/>
    <mergeCell ref="BD100:BM100"/>
    <mergeCell ref="A62:CB62"/>
    <mergeCell ref="E60:AQ60"/>
    <mergeCell ref="A67:D67"/>
    <mergeCell ref="E121:BC121"/>
    <mergeCell ref="BD121:BM121"/>
    <mergeCell ref="A120:D120"/>
    <mergeCell ref="E108:BC108"/>
    <mergeCell ref="A113:D113"/>
    <mergeCell ref="E118:BC118"/>
    <mergeCell ref="BD118:BM118"/>
    <mergeCell ref="A60:D60"/>
    <mergeCell ref="BD60:BN60"/>
    <mergeCell ref="A78:D78"/>
    <mergeCell ref="AN79:BC79"/>
    <mergeCell ref="BN76:CB76"/>
    <mergeCell ref="BN112:CB112"/>
    <mergeCell ref="AN66:BC66"/>
    <mergeCell ref="E65:AM65"/>
    <mergeCell ref="A77:D77"/>
    <mergeCell ref="E78:AM78"/>
    <mergeCell ref="AN76:BC76"/>
    <mergeCell ref="A76:D76"/>
    <mergeCell ref="BD70:BM70"/>
    <mergeCell ref="AN70:BC70"/>
    <mergeCell ref="A73:D73"/>
    <mergeCell ref="A70:D70"/>
    <mergeCell ref="E71:AM71"/>
    <mergeCell ref="BD78:BM78"/>
    <mergeCell ref="AN77:BC77"/>
    <mergeCell ref="BD73:BM73"/>
    <mergeCell ref="BD75:BM75"/>
    <mergeCell ref="AN73:BC73"/>
    <mergeCell ref="AN75:BC75"/>
    <mergeCell ref="BD77:BM77"/>
    <mergeCell ref="BD76:BM76"/>
    <mergeCell ref="A117:D117"/>
    <mergeCell ref="E113:BC113"/>
    <mergeCell ref="A103:D103"/>
    <mergeCell ref="A106:D106"/>
    <mergeCell ref="E105:BC105"/>
    <mergeCell ref="A114:D114"/>
    <mergeCell ref="A108:D108"/>
    <mergeCell ref="BD114:BM114"/>
    <mergeCell ref="BD104:BM104"/>
    <mergeCell ref="BD113:BM113"/>
    <mergeCell ref="E112:BC112"/>
    <mergeCell ref="E103:BC103"/>
    <mergeCell ref="BD103:BM103"/>
    <mergeCell ref="E111:BC111"/>
    <mergeCell ref="E110:BC110"/>
    <mergeCell ref="BD110:BM110"/>
    <mergeCell ref="E117:BC117"/>
    <mergeCell ref="A109:D109"/>
    <mergeCell ref="E109:BC109"/>
    <mergeCell ref="BD109:BM109"/>
    <mergeCell ref="E107:BC107"/>
    <mergeCell ref="BN111:CB111"/>
    <mergeCell ref="BN103:CB103"/>
    <mergeCell ref="A111:D111"/>
    <mergeCell ref="A81:D81"/>
    <mergeCell ref="E88:BC88"/>
    <mergeCell ref="AN85:BC85"/>
    <mergeCell ref="BN91:CB91"/>
    <mergeCell ref="E89:BC89"/>
    <mergeCell ref="E101:BC101"/>
    <mergeCell ref="A89:D89"/>
    <mergeCell ref="A94:D94"/>
    <mergeCell ref="A96:D96"/>
    <mergeCell ref="A98:D98"/>
    <mergeCell ref="A91:D91"/>
    <mergeCell ref="E92:BC92"/>
    <mergeCell ref="A97:D97"/>
    <mergeCell ref="BD97:BM97"/>
    <mergeCell ref="E99:BC99"/>
    <mergeCell ref="A99:D99"/>
    <mergeCell ref="BD98:BM98"/>
    <mergeCell ref="A100:D100"/>
    <mergeCell ref="BD99:BM99"/>
    <mergeCell ref="BD101:BM101"/>
    <mergeCell ref="A110:D110"/>
    <mergeCell ref="A122:D122"/>
    <mergeCell ref="BN122:CB122"/>
    <mergeCell ref="BD119:BM119"/>
    <mergeCell ref="E119:BC119"/>
    <mergeCell ref="A119:D119"/>
    <mergeCell ref="BN119:CB119"/>
    <mergeCell ref="BD122:BM122"/>
    <mergeCell ref="E122:BC122"/>
    <mergeCell ref="BN120:CB120"/>
    <mergeCell ref="A121:D121"/>
    <mergeCell ref="E120:BC120"/>
    <mergeCell ref="BD120:BM120"/>
    <mergeCell ref="A1:CB1"/>
    <mergeCell ref="S3:CB3"/>
    <mergeCell ref="AH5:CB5"/>
    <mergeCell ref="A7:CB7"/>
    <mergeCell ref="A9:D9"/>
    <mergeCell ref="E9:AI9"/>
    <mergeCell ref="AJ9:AT9"/>
    <mergeCell ref="AU9:BD9"/>
    <mergeCell ref="BE9:BO9"/>
    <mergeCell ref="BP9:CB9"/>
    <mergeCell ref="A10:D10"/>
    <mergeCell ref="E10:AI10"/>
    <mergeCell ref="AJ10:AT10"/>
    <mergeCell ref="AU10:BD10"/>
    <mergeCell ref="BE10:BO10"/>
    <mergeCell ref="BP10:CB10"/>
    <mergeCell ref="A11:D11"/>
    <mergeCell ref="E11:AI11"/>
    <mergeCell ref="AJ11:AT11"/>
    <mergeCell ref="AU11:BD11"/>
    <mergeCell ref="BE11:BO11"/>
    <mergeCell ref="BP11:CB11"/>
    <mergeCell ref="A12:D12"/>
    <mergeCell ref="E12:AI12"/>
    <mergeCell ref="AJ12:AT12"/>
    <mergeCell ref="AU12:BD12"/>
    <mergeCell ref="BE12:BO12"/>
    <mergeCell ref="BP12:CB12"/>
    <mergeCell ref="A13:D13"/>
    <mergeCell ref="E13:AI13"/>
    <mergeCell ref="AJ13:AT13"/>
    <mergeCell ref="A14:D14"/>
    <mergeCell ref="E14:AI14"/>
    <mergeCell ref="AJ14:AT14"/>
    <mergeCell ref="AU14:BD14"/>
    <mergeCell ref="AU13:BD13"/>
    <mergeCell ref="BE14:BO14"/>
    <mergeCell ref="BP14:CB14"/>
    <mergeCell ref="A82:D82"/>
    <mergeCell ref="E82:AM82"/>
    <mergeCell ref="AU16:BD16"/>
    <mergeCell ref="BE16:BO16"/>
    <mergeCell ref="A79:D79"/>
    <mergeCell ref="BD80:BM80"/>
    <mergeCell ref="BN80:CB80"/>
    <mergeCell ref="BP16:CB16"/>
    <mergeCell ref="BD82:BM82"/>
    <mergeCell ref="A80:D80"/>
    <mergeCell ref="A16:D16"/>
    <mergeCell ref="E16:AI16"/>
    <mergeCell ref="AJ16:AT16"/>
    <mergeCell ref="BE13:BO13"/>
    <mergeCell ref="BP13:CB13"/>
    <mergeCell ref="BN69:CB69"/>
    <mergeCell ref="A69:D69"/>
    <mergeCell ref="E50:AI50"/>
    <mergeCell ref="E80:AM80"/>
    <mergeCell ref="BO60:CB60"/>
    <mergeCell ref="BD54:BN54"/>
    <mergeCell ref="E72:AM72"/>
    <mergeCell ref="AN72:BC72"/>
    <mergeCell ref="BD72:BM72"/>
    <mergeCell ref="BN79:CB79"/>
    <mergeCell ref="BN64:CB64"/>
    <mergeCell ref="AN65:BC65"/>
    <mergeCell ref="E68:AM68"/>
    <mergeCell ref="AR59:BC59"/>
    <mergeCell ref="BO59:CB59"/>
    <mergeCell ref="BO58:CB58"/>
    <mergeCell ref="BO54:CB54"/>
    <mergeCell ref="BO55:CB55"/>
    <mergeCell ref="AR60:BC60"/>
    <mergeCell ref="BD59:BN59"/>
    <mergeCell ref="E58:AQ58"/>
    <mergeCell ref="AR58:BC58"/>
    <mergeCell ref="BD69:BM69"/>
    <mergeCell ref="E63:AM63"/>
    <mergeCell ref="BO56:CB56"/>
    <mergeCell ref="BE50:BO50"/>
    <mergeCell ref="A118:D118"/>
    <mergeCell ref="BN117:CB117"/>
    <mergeCell ref="A115:CB115"/>
    <mergeCell ref="A112:D112"/>
    <mergeCell ref="BN113:CB113"/>
    <mergeCell ref="BN114:CB114"/>
    <mergeCell ref="BN99:CB99"/>
    <mergeCell ref="A92:D92"/>
    <mergeCell ref="E91:BC91"/>
    <mergeCell ref="BD96:BM96"/>
    <mergeCell ref="E114:BC114"/>
    <mergeCell ref="E98:BC98"/>
    <mergeCell ref="BN97:CB97"/>
    <mergeCell ref="E97:BC97"/>
    <mergeCell ref="BD91:BM91"/>
    <mergeCell ref="E95:BC95"/>
    <mergeCell ref="A93:D93"/>
    <mergeCell ref="BD108:BM108"/>
    <mergeCell ref="BN102:CB102"/>
    <mergeCell ref="BN118:CB118"/>
    <mergeCell ref="BD117:BM117"/>
    <mergeCell ref="BN110:CB110"/>
    <mergeCell ref="A95:D95"/>
    <mergeCell ref="BN108:CB108"/>
    <mergeCell ref="BD94:BM94"/>
    <mergeCell ref="BD89:BM89"/>
    <mergeCell ref="BD85:BM85"/>
    <mergeCell ref="BN88:CB88"/>
    <mergeCell ref="BN90:CB90"/>
    <mergeCell ref="BD90:BM90"/>
    <mergeCell ref="BN89:CB89"/>
    <mergeCell ref="A83:D83"/>
    <mergeCell ref="E83:AM83"/>
    <mergeCell ref="AN83:BC83"/>
    <mergeCell ref="BD83:BM83"/>
    <mergeCell ref="BN83:CB83"/>
    <mergeCell ref="A85:D85"/>
    <mergeCell ref="A90:D90"/>
    <mergeCell ref="A88:D88"/>
    <mergeCell ref="E90:BC90"/>
    <mergeCell ref="E85:AM85"/>
    <mergeCell ref="A84:D84"/>
    <mergeCell ref="E84:AM84"/>
    <mergeCell ref="AN84:BC84"/>
    <mergeCell ref="BD84:BM84"/>
    <mergeCell ref="BN84:CB84"/>
  </mergeCells>
  <phoneticPr fontId="0" type="noConversion"/>
  <pageMargins left="0.78740157480314965" right="0.39370078740157483" top="0.59055118110236227" bottom="0.39370078740157483" header="0.27559055118110237" footer="0.27559055118110237"/>
  <pageSetup paperSize="9" scale="77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85" max="7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CT182"/>
  <sheetViews>
    <sheetView view="pageBreakPreview" topLeftCell="A68" zoomScale="85" zoomScaleNormal="100" zoomScaleSheetLayoutView="85" workbookViewId="0">
      <selection activeCell="BN97" sqref="BN97:BW97"/>
    </sheetView>
  </sheetViews>
  <sheetFormatPr defaultColWidth="1.140625" defaultRowHeight="12.75" x14ac:dyDescent="0.2"/>
  <cols>
    <col min="1" max="1" width="2.7109375" style="7" bestFit="1" customWidth="1"/>
    <col min="2" max="2" width="1.85546875" style="7" bestFit="1" customWidth="1"/>
    <col min="3" max="43" width="1.140625" style="7"/>
    <col min="44" max="44" width="5" style="7" customWidth="1"/>
    <col min="45" max="54" width="1.140625" style="7"/>
    <col min="55" max="55" width="6.42578125" style="7" customWidth="1"/>
    <col min="56" max="60" width="1.140625" style="7"/>
    <col min="61" max="61" width="1" style="7" customWidth="1"/>
    <col min="62" max="62" width="1.140625" style="7" hidden="1" customWidth="1"/>
    <col min="63" max="63" width="0.140625" style="7" hidden="1" customWidth="1"/>
    <col min="64" max="65" width="1.140625" style="7" hidden="1" customWidth="1"/>
    <col min="66" max="66" width="4" style="7" bestFit="1" customWidth="1"/>
    <col min="67" max="69" width="1.140625" style="7"/>
    <col min="70" max="70" width="10" style="7" bestFit="1" customWidth="1"/>
    <col min="71" max="72" width="1.140625" style="7"/>
    <col min="73" max="73" width="12.42578125" style="7" customWidth="1"/>
    <col min="74" max="74" width="0.85546875" style="7" customWidth="1"/>
    <col min="75" max="75" width="1.140625" style="7" hidden="1" customWidth="1"/>
    <col min="76" max="76" width="4.42578125" style="7" hidden="1" customWidth="1"/>
    <col min="77" max="78" width="1.140625" style="7" hidden="1" customWidth="1"/>
    <col min="79" max="79" width="0.85546875" style="7" hidden="1" customWidth="1"/>
    <col min="80" max="80" width="5.28515625" style="7" hidden="1" customWidth="1"/>
    <col min="81" max="81" width="15.5703125" style="69" customWidth="1"/>
    <col min="82" max="82" width="16.28515625" style="69" bestFit="1" customWidth="1"/>
    <col min="83" max="83" width="26.42578125" style="69" customWidth="1"/>
    <col min="84" max="84" width="26.42578125" style="417" customWidth="1"/>
    <col min="85" max="104" width="16.140625" style="7" customWidth="1"/>
    <col min="105" max="16384" width="1.140625" style="7"/>
  </cols>
  <sheetData>
    <row r="1" spans="1:84" s="3" customFormat="1" ht="15.75" x14ac:dyDescent="0.25">
      <c r="A1" s="518" t="s">
        <v>325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  <c r="AT1" s="518"/>
      <c r="AU1" s="518"/>
      <c r="AV1" s="518"/>
      <c r="AW1" s="518"/>
      <c r="AX1" s="518"/>
      <c r="AY1" s="518"/>
      <c r="AZ1" s="518"/>
      <c r="BA1" s="518"/>
      <c r="BB1" s="518"/>
      <c r="BC1" s="518"/>
      <c r="BD1" s="518"/>
      <c r="BE1" s="518"/>
      <c r="BF1" s="518"/>
      <c r="BG1" s="518"/>
      <c r="BH1" s="518"/>
      <c r="BI1" s="518"/>
      <c r="BJ1" s="518"/>
      <c r="BK1" s="518"/>
      <c r="BL1" s="518"/>
      <c r="BM1" s="518"/>
      <c r="BN1" s="518"/>
      <c r="BO1" s="518"/>
      <c r="BP1" s="518"/>
      <c r="BQ1" s="518"/>
      <c r="BR1" s="518"/>
      <c r="BS1" s="518"/>
      <c r="BT1" s="518"/>
      <c r="BU1" s="518"/>
      <c r="BV1" s="518"/>
      <c r="BW1" s="518"/>
      <c r="BX1" s="518"/>
      <c r="BY1" s="518"/>
      <c r="BZ1" s="518"/>
      <c r="CA1" s="518"/>
      <c r="CB1" s="518"/>
      <c r="CC1" s="135"/>
      <c r="CD1" s="135"/>
      <c r="CE1" s="135"/>
      <c r="CF1" s="410"/>
    </row>
    <row r="2" spans="1:84" x14ac:dyDescent="0.2">
      <c r="A2" s="519" t="s">
        <v>5</v>
      </c>
      <c r="B2" s="520"/>
      <c r="C2" s="520"/>
      <c r="D2" s="523"/>
      <c r="E2" s="519" t="s">
        <v>13</v>
      </c>
      <c r="F2" s="520"/>
      <c r="G2" s="520"/>
      <c r="H2" s="520"/>
      <c r="I2" s="520"/>
      <c r="J2" s="520"/>
      <c r="K2" s="520"/>
      <c r="L2" s="520"/>
      <c r="M2" s="520"/>
      <c r="N2" s="520"/>
      <c r="O2" s="520"/>
      <c r="P2" s="520"/>
      <c r="Q2" s="520"/>
      <c r="R2" s="520"/>
      <c r="S2" s="520"/>
      <c r="T2" s="520"/>
      <c r="U2" s="520"/>
      <c r="V2" s="520"/>
      <c r="W2" s="520"/>
      <c r="X2" s="520"/>
      <c r="Y2" s="520"/>
      <c r="Z2" s="520"/>
      <c r="AA2" s="520"/>
      <c r="AB2" s="520"/>
      <c r="AC2" s="520"/>
      <c r="AD2" s="520"/>
      <c r="AE2" s="520"/>
      <c r="AF2" s="520"/>
      <c r="AG2" s="520"/>
      <c r="AH2" s="520"/>
      <c r="AI2" s="520"/>
      <c r="AJ2" s="520"/>
      <c r="AK2" s="520"/>
      <c r="AL2" s="520"/>
      <c r="AM2" s="520"/>
      <c r="AN2" s="520"/>
      <c r="AO2" s="520"/>
      <c r="AP2" s="520"/>
      <c r="AQ2" s="520"/>
      <c r="AR2" s="523"/>
      <c r="AS2" s="519" t="s">
        <v>18</v>
      </c>
      <c r="AT2" s="520"/>
      <c r="AU2" s="520"/>
      <c r="AV2" s="520"/>
      <c r="AW2" s="520"/>
      <c r="AX2" s="520"/>
      <c r="AY2" s="520"/>
      <c r="AZ2" s="520"/>
      <c r="BA2" s="520"/>
      <c r="BB2" s="523"/>
      <c r="BC2" s="519" t="s">
        <v>106</v>
      </c>
      <c r="BD2" s="520"/>
      <c r="BE2" s="520"/>
      <c r="BF2" s="520"/>
      <c r="BG2" s="520"/>
      <c r="BH2" s="520"/>
      <c r="BI2" s="520"/>
      <c r="BJ2" s="520"/>
      <c r="BK2" s="520"/>
      <c r="BL2" s="520"/>
      <c r="BM2" s="523"/>
      <c r="BN2" s="519" t="s">
        <v>22</v>
      </c>
      <c r="BO2" s="520"/>
      <c r="BP2" s="520"/>
      <c r="BQ2" s="520"/>
      <c r="BR2" s="520"/>
      <c r="BS2" s="520"/>
      <c r="BT2" s="520"/>
      <c r="BU2" s="520"/>
      <c r="BV2" s="520"/>
      <c r="BW2" s="520"/>
      <c r="BX2" s="520"/>
      <c r="BY2" s="520"/>
      <c r="BZ2" s="520"/>
      <c r="CA2" s="520"/>
      <c r="CB2" s="520"/>
      <c r="CC2" s="137"/>
      <c r="CD2" s="137"/>
      <c r="CE2" s="137"/>
      <c r="CF2" s="412"/>
    </row>
    <row r="3" spans="1:84" x14ac:dyDescent="0.2">
      <c r="A3" s="521" t="s">
        <v>6</v>
      </c>
      <c r="B3" s="522"/>
      <c r="C3" s="522"/>
      <c r="D3" s="537"/>
      <c r="E3" s="521"/>
      <c r="F3" s="522"/>
      <c r="G3" s="522"/>
      <c r="H3" s="522"/>
      <c r="I3" s="522"/>
      <c r="J3" s="522"/>
      <c r="K3" s="522"/>
      <c r="L3" s="522"/>
      <c r="M3" s="522"/>
      <c r="N3" s="522"/>
      <c r="O3" s="522"/>
      <c r="P3" s="522"/>
      <c r="Q3" s="522"/>
      <c r="R3" s="522"/>
      <c r="S3" s="522"/>
      <c r="T3" s="522"/>
      <c r="U3" s="522"/>
      <c r="V3" s="522"/>
      <c r="W3" s="522"/>
      <c r="X3" s="522"/>
      <c r="Y3" s="522"/>
      <c r="Z3" s="522"/>
      <c r="AA3" s="522"/>
      <c r="AB3" s="522"/>
      <c r="AC3" s="522"/>
      <c r="AD3" s="522"/>
      <c r="AE3" s="522"/>
      <c r="AF3" s="522"/>
      <c r="AG3" s="522"/>
      <c r="AH3" s="522"/>
      <c r="AI3" s="522"/>
      <c r="AJ3" s="522"/>
      <c r="AK3" s="522"/>
      <c r="AL3" s="522"/>
      <c r="AM3" s="522"/>
      <c r="AN3" s="522"/>
      <c r="AO3" s="522"/>
      <c r="AP3" s="522"/>
      <c r="AQ3" s="522"/>
      <c r="AR3" s="537"/>
      <c r="AS3" s="521"/>
      <c r="AT3" s="522"/>
      <c r="AU3" s="522"/>
      <c r="AV3" s="522"/>
      <c r="AW3" s="522"/>
      <c r="AX3" s="522"/>
      <c r="AY3" s="522"/>
      <c r="AZ3" s="522"/>
      <c r="BA3" s="522"/>
      <c r="BB3" s="537"/>
      <c r="BC3" s="521" t="s">
        <v>107</v>
      </c>
      <c r="BD3" s="522"/>
      <c r="BE3" s="522"/>
      <c r="BF3" s="522"/>
      <c r="BG3" s="522"/>
      <c r="BH3" s="522"/>
      <c r="BI3" s="522"/>
      <c r="BJ3" s="522"/>
      <c r="BK3" s="522"/>
      <c r="BL3" s="522"/>
      <c r="BM3" s="537"/>
      <c r="BN3" s="521" t="s">
        <v>116</v>
      </c>
      <c r="BO3" s="522"/>
      <c r="BP3" s="522"/>
      <c r="BQ3" s="522"/>
      <c r="BR3" s="522"/>
      <c r="BS3" s="522"/>
      <c r="BT3" s="522"/>
      <c r="BU3" s="522"/>
      <c r="BV3" s="522"/>
      <c r="BW3" s="522"/>
      <c r="BX3" s="522"/>
      <c r="BY3" s="522"/>
      <c r="BZ3" s="522"/>
      <c r="CA3" s="522"/>
      <c r="CB3" s="522"/>
      <c r="CC3" s="137"/>
      <c r="CD3" s="137"/>
      <c r="CE3" s="137"/>
      <c r="CF3" s="412"/>
    </row>
    <row r="4" spans="1:84" ht="10.5" customHeight="1" x14ac:dyDescent="0.2">
      <c r="A4" s="521"/>
      <c r="B4" s="522"/>
      <c r="C4" s="522"/>
      <c r="D4" s="537"/>
      <c r="E4" s="521"/>
      <c r="F4" s="522"/>
      <c r="G4" s="522"/>
      <c r="H4" s="522"/>
      <c r="I4" s="522"/>
      <c r="J4" s="522"/>
      <c r="K4" s="522"/>
      <c r="L4" s="522"/>
      <c r="M4" s="522"/>
      <c r="N4" s="522"/>
      <c r="O4" s="522"/>
      <c r="P4" s="522"/>
      <c r="Q4" s="522"/>
      <c r="R4" s="522"/>
      <c r="S4" s="522"/>
      <c r="T4" s="522"/>
      <c r="U4" s="522"/>
      <c r="V4" s="522"/>
      <c r="W4" s="522"/>
      <c r="X4" s="522"/>
      <c r="Y4" s="522"/>
      <c r="Z4" s="522"/>
      <c r="AA4" s="522"/>
      <c r="AB4" s="522"/>
      <c r="AC4" s="522"/>
      <c r="AD4" s="522"/>
      <c r="AE4" s="522"/>
      <c r="AF4" s="522"/>
      <c r="AG4" s="522"/>
      <c r="AH4" s="522"/>
      <c r="AI4" s="522"/>
      <c r="AJ4" s="522"/>
      <c r="AK4" s="522"/>
      <c r="AL4" s="522"/>
      <c r="AM4" s="522"/>
      <c r="AN4" s="522"/>
      <c r="AO4" s="522"/>
      <c r="AP4" s="522"/>
      <c r="AQ4" s="522"/>
      <c r="AR4" s="537"/>
      <c r="AS4" s="521"/>
      <c r="AT4" s="522"/>
      <c r="AU4" s="522"/>
      <c r="AV4" s="522"/>
      <c r="AW4" s="522"/>
      <c r="AX4" s="522"/>
      <c r="AY4" s="522"/>
      <c r="AZ4" s="522"/>
      <c r="BA4" s="522"/>
      <c r="BB4" s="537"/>
      <c r="BC4" s="521" t="s">
        <v>17</v>
      </c>
      <c r="BD4" s="522"/>
      <c r="BE4" s="522"/>
      <c r="BF4" s="522"/>
      <c r="BG4" s="522"/>
      <c r="BH4" s="522"/>
      <c r="BI4" s="522"/>
      <c r="BJ4" s="522"/>
      <c r="BK4" s="522"/>
      <c r="BL4" s="522"/>
      <c r="BM4" s="537"/>
      <c r="BN4" s="521"/>
      <c r="BO4" s="522"/>
      <c r="BP4" s="522"/>
      <c r="BQ4" s="522"/>
      <c r="BR4" s="522"/>
      <c r="BS4" s="522"/>
      <c r="BT4" s="522"/>
      <c r="BU4" s="522"/>
      <c r="BV4" s="522"/>
      <c r="BW4" s="522"/>
      <c r="BX4" s="522"/>
      <c r="BY4" s="522"/>
      <c r="BZ4" s="522"/>
      <c r="CA4" s="522"/>
      <c r="CB4" s="522"/>
      <c r="CC4" s="137"/>
      <c r="CD4" s="137"/>
      <c r="CE4" s="137"/>
      <c r="CF4" s="412"/>
    </row>
    <row r="5" spans="1:84" ht="13.5" customHeight="1" x14ac:dyDescent="0.25">
      <c r="A5" s="554"/>
      <c r="B5" s="555"/>
      <c r="C5" s="555"/>
      <c r="D5" s="556"/>
      <c r="E5" s="554">
        <v>1</v>
      </c>
      <c r="F5" s="555"/>
      <c r="G5" s="555"/>
      <c r="H5" s="555"/>
      <c r="I5" s="555"/>
      <c r="J5" s="555"/>
      <c r="K5" s="555"/>
      <c r="L5" s="555"/>
      <c r="M5" s="555"/>
      <c r="N5" s="555"/>
      <c r="O5" s="555"/>
      <c r="P5" s="555"/>
      <c r="Q5" s="555"/>
      <c r="R5" s="555"/>
      <c r="S5" s="555"/>
      <c r="T5" s="555"/>
      <c r="U5" s="555"/>
      <c r="V5" s="555"/>
      <c r="W5" s="555"/>
      <c r="X5" s="555"/>
      <c r="Y5" s="555"/>
      <c r="Z5" s="555"/>
      <c r="AA5" s="555"/>
      <c r="AB5" s="555"/>
      <c r="AC5" s="555"/>
      <c r="AD5" s="555"/>
      <c r="AE5" s="555"/>
      <c r="AF5" s="555"/>
      <c r="AG5" s="555"/>
      <c r="AH5" s="555"/>
      <c r="AI5" s="555"/>
      <c r="AJ5" s="555"/>
      <c r="AK5" s="555"/>
      <c r="AL5" s="555"/>
      <c r="AM5" s="555"/>
      <c r="AN5" s="555"/>
      <c r="AO5" s="555"/>
      <c r="AP5" s="555"/>
      <c r="AQ5" s="555"/>
      <c r="AR5" s="556"/>
      <c r="AS5" s="554">
        <v>2</v>
      </c>
      <c r="AT5" s="555"/>
      <c r="AU5" s="555"/>
      <c r="AV5" s="555"/>
      <c r="AW5" s="555"/>
      <c r="AX5" s="555"/>
      <c r="AY5" s="555"/>
      <c r="AZ5" s="555"/>
      <c r="BA5" s="555"/>
      <c r="BB5" s="556"/>
      <c r="BC5" s="554">
        <v>3</v>
      </c>
      <c r="BD5" s="555"/>
      <c r="BE5" s="555"/>
      <c r="BF5" s="555"/>
      <c r="BG5" s="555"/>
      <c r="BH5" s="555"/>
      <c r="BI5" s="555"/>
      <c r="BJ5" s="555"/>
      <c r="BK5" s="555"/>
      <c r="BL5" s="555"/>
      <c r="BM5" s="556"/>
      <c r="BN5" s="554">
        <v>4</v>
      </c>
      <c r="BO5" s="555"/>
      <c r="BP5" s="555"/>
      <c r="BQ5" s="555"/>
      <c r="BR5" s="555"/>
      <c r="BS5" s="555"/>
      <c r="BT5" s="555"/>
      <c r="BU5" s="555"/>
      <c r="BV5" s="555"/>
      <c r="BW5" s="555"/>
      <c r="BX5" s="555"/>
      <c r="BY5" s="555"/>
      <c r="BZ5" s="555"/>
      <c r="CA5" s="555"/>
      <c r="CB5" s="556"/>
      <c r="CC5" s="68" t="s">
        <v>193</v>
      </c>
      <c r="CD5" s="68" t="s">
        <v>194</v>
      </c>
      <c r="CE5" s="68" t="s">
        <v>298</v>
      </c>
      <c r="CF5" s="418" t="s">
        <v>296</v>
      </c>
    </row>
    <row r="6" spans="1:84" s="67" customFormat="1" ht="26.25" customHeight="1" x14ac:dyDescent="0.2">
      <c r="A6" s="714">
        <v>1</v>
      </c>
      <c r="B6" s="715"/>
      <c r="C6" s="715"/>
      <c r="D6" s="716"/>
      <c r="E6" s="832" t="s">
        <v>496</v>
      </c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833"/>
      <c r="R6" s="833"/>
      <c r="S6" s="833"/>
      <c r="T6" s="833"/>
      <c r="U6" s="833"/>
      <c r="V6" s="833"/>
      <c r="W6" s="833"/>
      <c r="X6" s="833"/>
      <c r="Y6" s="833"/>
      <c r="Z6" s="833"/>
      <c r="AA6" s="833"/>
      <c r="AB6" s="833"/>
      <c r="AC6" s="833"/>
      <c r="AD6" s="833"/>
      <c r="AE6" s="833"/>
      <c r="AF6" s="833"/>
      <c r="AG6" s="833"/>
      <c r="AH6" s="833"/>
      <c r="AI6" s="833"/>
      <c r="AJ6" s="833"/>
      <c r="AK6" s="833"/>
      <c r="AL6" s="833"/>
      <c r="AM6" s="833"/>
      <c r="AN6" s="833"/>
      <c r="AO6" s="833"/>
      <c r="AP6" s="833"/>
      <c r="AQ6" s="833"/>
      <c r="AR6" s="834"/>
      <c r="AS6" s="750"/>
      <c r="AT6" s="751"/>
      <c r="AU6" s="751"/>
      <c r="AV6" s="751"/>
      <c r="AW6" s="751"/>
      <c r="AX6" s="751"/>
      <c r="AY6" s="751"/>
      <c r="AZ6" s="751"/>
      <c r="BA6" s="751"/>
      <c r="BB6" s="752"/>
      <c r="BC6" s="747"/>
      <c r="BD6" s="748"/>
      <c r="BE6" s="748"/>
      <c r="BF6" s="748"/>
      <c r="BG6" s="748"/>
      <c r="BH6" s="748"/>
      <c r="BI6" s="748"/>
      <c r="BJ6" s="748"/>
      <c r="BK6" s="748"/>
      <c r="BL6" s="748"/>
      <c r="BM6" s="749"/>
      <c r="BN6" s="835">
        <f>1184000-26000-30526.28+135000</f>
        <v>1262473.72</v>
      </c>
      <c r="BO6" s="836"/>
      <c r="BP6" s="836"/>
      <c r="BQ6" s="836"/>
      <c r="BR6" s="836"/>
      <c r="BS6" s="836"/>
      <c r="BT6" s="836"/>
      <c r="BU6" s="836"/>
      <c r="BV6" s="836"/>
      <c r="BW6" s="836"/>
      <c r="BX6" s="836"/>
      <c r="BY6" s="836"/>
      <c r="BZ6" s="836"/>
      <c r="CA6" s="836"/>
      <c r="CB6" s="837"/>
      <c r="CC6" s="69">
        <f>1116072.65+135000</f>
        <v>1251072.6499999999</v>
      </c>
      <c r="CD6" s="69">
        <f>1116072.65+135000</f>
        <v>1251072.6499999999</v>
      </c>
      <c r="CE6" s="69">
        <f t="shared" ref="CE6:CE11" si="0">CC6-CD6</f>
        <v>0</v>
      </c>
      <c r="CF6" s="428">
        <f t="shared" ref="CF6:CF11" si="1">BN6-CC6</f>
        <v>11401.070000000065</v>
      </c>
    </row>
    <row r="7" spans="1:84" s="67" customFormat="1" ht="11.25" customHeight="1" x14ac:dyDescent="0.2">
      <c r="A7" s="714">
        <v>2</v>
      </c>
      <c r="B7" s="715"/>
      <c r="C7" s="715"/>
      <c r="D7" s="716"/>
      <c r="E7" s="838" t="s">
        <v>500</v>
      </c>
      <c r="F7" s="839"/>
      <c r="G7" s="839"/>
      <c r="H7" s="839"/>
      <c r="I7" s="839"/>
      <c r="J7" s="839"/>
      <c r="K7" s="839"/>
      <c r="L7" s="839"/>
      <c r="M7" s="839"/>
      <c r="N7" s="839"/>
      <c r="O7" s="839"/>
      <c r="P7" s="839"/>
      <c r="Q7" s="839"/>
      <c r="R7" s="839"/>
      <c r="S7" s="839"/>
      <c r="T7" s="839"/>
      <c r="U7" s="839"/>
      <c r="V7" s="839"/>
      <c r="W7" s="839"/>
      <c r="X7" s="839"/>
      <c r="Y7" s="839"/>
      <c r="Z7" s="839"/>
      <c r="AA7" s="839"/>
      <c r="AB7" s="839"/>
      <c r="AC7" s="839"/>
      <c r="AD7" s="839"/>
      <c r="AE7" s="839"/>
      <c r="AF7" s="839"/>
      <c r="AG7" s="839"/>
      <c r="AH7" s="839"/>
      <c r="AI7" s="839"/>
      <c r="AJ7" s="839"/>
      <c r="AK7" s="839"/>
      <c r="AL7" s="839"/>
      <c r="AM7" s="839"/>
      <c r="AN7" s="839"/>
      <c r="AO7" s="839"/>
      <c r="AP7" s="839"/>
      <c r="AQ7" s="839"/>
      <c r="AR7" s="840"/>
      <c r="AS7" s="750"/>
      <c r="AT7" s="751"/>
      <c r="AU7" s="751"/>
      <c r="AV7" s="751"/>
      <c r="AW7" s="751"/>
      <c r="AX7" s="751"/>
      <c r="AY7" s="751"/>
      <c r="AZ7" s="751"/>
      <c r="BA7" s="751"/>
      <c r="BB7" s="752"/>
      <c r="BC7" s="747"/>
      <c r="BD7" s="748"/>
      <c r="BE7" s="748"/>
      <c r="BF7" s="748"/>
      <c r="BG7" s="748"/>
      <c r="BH7" s="748"/>
      <c r="BI7" s="748"/>
      <c r="BJ7" s="748"/>
      <c r="BK7" s="748"/>
      <c r="BL7" s="748"/>
      <c r="BM7" s="749"/>
      <c r="BN7" s="835">
        <v>26000</v>
      </c>
      <c r="BO7" s="836"/>
      <c r="BP7" s="836"/>
      <c r="BQ7" s="836"/>
      <c r="BR7" s="836"/>
      <c r="BS7" s="836"/>
      <c r="BT7" s="836"/>
      <c r="BU7" s="836"/>
      <c r="BV7" s="836"/>
      <c r="BW7" s="836"/>
      <c r="BX7" s="836"/>
      <c r="BY7" s="836"/>
      <c r="BZ7" s="836"/>
      <c r="CA7" s="836"/>
      <c r="CB7" s="837"/>
      <c r="CC7" s="69">
        <v>26000</v>
      </c>
      <c r="CD7" s="69">
        <v>26000</v>
      </c>
      <c r="CE7" s="69">
        <f t="shared" si="0"/>
        <v>0</v>
      </c>
      <c r="CF7" s="428">
        <f t="shared" si="1"/>
        <v>0</v>
      </c>
    </row>
    <row r="8" spans="1:84" s="14" customFormat="1" x14ac:dyDescent="0.2">
      <c r="A8" s="714">
        <v>3</v>
      </c>
      <c r="B8" s="715"/>
      <c r="C8" s="715"/>
      <c r="D8" s="716"/>
      <c r="E8" s="760" t="s">
        <v>513</v>
      </c>
      <c r="F8" s="761"/>
      <c r="G8" s="761"/>
      <c r="H8" s="761"/>
      <c r="I8" s="761"/>
      <c r="J8" s="761"/>
      <c r="K8" s="761"/>
      <c r="L8" s="761"/>
      <c r="M8" s="761"/>
      <c r="N8" s="761"/>
      <c r="O8" s="761"/>
      <c r="P8" s="761"/>
      <c r="Q8" s="761"/>
      <c r="R8" s="761"/>
      <c r="S8" s="761"/>
      <c r="T8" s="761"/>
      <c r="U8" s="761"/>
      <c r="V8" s="761"/>
      <c r="W8" s="761"/>
      <c r="X8" s="761"/>
      <c r="Y8" s="761"/>
      <c r="Z8" s="761"/>
      <c r="AA8" s="761"/>
      <c r="AB8" s="761"/>
      <c r="AC8" s="761"/>
      <c r="AD8" s="761"/>
      <c r="AE8" s="761"/>
      <c r="AF8" s="761"/>
      <c r="AG8" s="761"/>
      <c r="AH8" s="761"/>
      <c r="AI8" s="761"/>
      <c r="AJ8" s="761"/>
      <c r="AK8" s="761"/>
      <c r="AL8" s="761"/>
      <c r="AM8" s="761"/>
      <c r="AN8" s="761"/>
      <c r="AO8" s="761"/>
      <c r="AP8" s="761"/>
      <c r="AQ8" s="761"/>
      <c r="AR8" s="762"/>
      <c r="AS8" s="99"/>
      <c r="AT8" s="100"/>
      <c r="AU8" s="100"/>
      <c r="AV8" s="100"/>
      <c r="AW8" s="100"/>
      <c r="AX8" s="100"/>
      <c r="AY8" s="100"/>
      <c r="AZ8" s="100"/>
      <c r="BA8" s="100"/>
      <c r="BB8" s="101"/>
      <c r="BC8" s="393"/>
      <c r="BD8" s="394"/>
      <c r="BE8" s="394"/>
      <c r="BF8" s="394"/>
      <c r="BG8" s="394"/>
      <c r="BH8" s="394"/>
      <c r="BI8" s="394"/>
      <c r="BJ8" s="394"/>
      <c r="BK8" s="394"/>
      <c r="BL8" s="394"/>
      <c r="BM8" s="395"/>
      <c r="BN8" s="829">
        <v>14000</v>
      </c>
      <c r="BO8" s="825"/>
      <c r="BP8" s="825"/>
      <c r="BQ8" s="825"/>
      <c r="BR8" s="825"/>
      <c r="BS8" s="825"/>
      <c r="BT8" s="825"/>
      <c r="BU8" s="825"/>
      <c r="BV8" s="825"/>
      <c r="BW8" s="825"/>
      <c r="BX8" s="396"/>
      <c r="BY8" s="396"/>
      <c r="BZ8" s="396"/>
      <c r="CA8" s="396"/>
      <c r="CB8" s="396"/>
      <c r="CC8" s="69"/>
      <c r="CD8" s="69"/>
      <c r="CE8" s="69">
        <f t="shared" si="0"/>
        <v>0</v>
      </c>
      <c r="CF8" s="428">
        <f t="shared" si="1"/>
        <v>14000</v>
      </c>
    </row>
    <row r="9" spans="1:84" s="14" customFormat="1" x14ac:dyDescent="0.2">
      <c r="A9" s="714">
        <v>4</v>
      </c>
      <c r="B9" s="715"/>
      <c r="C9" s="715"/>
      <c r="D9" s="716"/>
      <c r="E9" s="760" t="s">
        <v>507</v>
      </c>
      <c r="F9" s="761"/>
      <c r="G9" s="761"/>
      <c r="H9" s="761"/>
      <c r="I9" s="761"/>
      <c r="J9" s="761"/>
      <c r="K9" s="761"/>
      <c r="L9" s="761"/>
      <c r="M9" s="761"/>
      <c r="N9" s="761"/>
      <c r="O9" s="761"/>
      <c r="P9" s="761"/>
      <c r="Q9" s="761"/>
      <c r="R9" s="761"/>
      <c r="S9" s="761"/>
      <c r="T9" s="761"/>
      <c r="U9" s="761"/>
      <c r="V9" s="761"/>
      <c r="W9" s="761"/>
      <c r="X9" s="761"/>
      <c r="Y9" s="761"/>
      <c r="Z9" s="761"/>
      <c r="AA9" s="761"/>
      <c r="AB9" s="761"/>
      <c r="AC9" s="761"/>
      <c r="AD9" s="761"/>
      <c r="AE9" s="761"/>
      <c r="AF9" s="761"/>
      <c r="AG9" s="761"/>
      <c r="AH9" s="761"/>
      <c r="AI9" s="761"/>
      <c r="AJ9" s="761"/>
      <c r="AK9" s="761"/>
      <c r="AL9" s="761"/>
      <c r="AM9" s="761"/>
      <c r="AN9" s="761"/>
      <c r="AO9" s="761"/>
      <c r="AP9" s="761"/>
      <c r="AQ9" s="761"/>
      <c r="AR9" s="762"/>
      <c r="AS9" s="747"/>
      <c r="AT9" s="748"/>
      <c r="AU9" s="748"/>
      <c r="AV9" s="748"/>
      <c r="AW9" s="748"/>
      <c r="AX9" s="748"/>
      <c r="AY9" s="748"/>
      <c r="AZ9" s="748"/>
      <c r="BA9" s="748"/>
      <c r="BB9" s="749"/>
      <c r="BC9" s="747"/>
      <c r="BD9" s="748"/>
      <c r="BE9" s="748"/>
      <c r="BF9" s="748"/>
      <c r="BG9" s="748"/>
      <c r="BH9" s="748"/>
      <c r="BI9" s="748"/>
      <c r="BJ9" s="748"/>
      <c r="BK9" s="748"/>
      <c r="BL9" s="748"/>
      <c r="BM9" s="749"/>
      <c r="BN9" s="763">
        <v>7000</v>
      </c>
      <c r="BO9" s="764"/>
      <c r="BP9" s="764"/>
      <c r="BQ9" s="764"/>
      <c r="BR9" s="764"/>
      <c r="BS9" s="764"/>
      <c r="BT9" s="764"/>
      <c r="BU9" s="764"/>
      <c r="BV9" s="764"/>
      <c r="BW9" s="764"/>
      <c r="BX9" s="764"/>
      <c r="BY9" s="764"/>
      <c r="BZ9" s="764"/>
      <c r="CA9" s="764"/>
      <c r="CB9" s="765"/>
      <c r="CC9" s="69">
        <f>7000</f>
        <v>7000</v>
      </c>
      <c r="CD9" s="69">
        <f>7000</f>
        <v>7000</v>
      </c>
      <c r="CE9" s="69">
        <f t="shared" si="0"/>
        <v>0</v>
      </c>
      <c r="CF9" s="428">
        <f t="shared" si="1"/>
        <v>0</v>
      </c>
    </row>
    <row r="10" spans="1:84" s="14" customFormat="1" x14ac:dyDescent="0.2">
      <c r="A10" s="714">
        <v>5</v>
      </c>
      <c r="B10" s="715"/>
      <c r="C10" s="715"/>
      <c r="D10" s="716"/>
      <c r="E10" s="760" t="s">
        <v>487</v>
      </c>
      <c r="F10" s="761"/>
      <c r="G10" s="761"/>
      <c r="H10" s="761"/>
      <c r="I10" s="761"/>
      <c r="J10" s="761"/>
      <c r="K10" s="761"/>
      <c r="L10" s="761"/>
      <c r="M10" s="761"/>
      <c r="N10" s="761"/>
      <c r="O10" s="761"/>
      <c r="P10" s="761"/>
      <c r="Q10" s="761"/>
      <c r="R10" s="761"/>
      <c r="S10" s="761"/>
      <c r="T10" s="761"/>
      <c r="U10" s="761"/>
      <c r="V10" s="761"/>
      <c r="W10" s="761"/>
      <c r="X10" s="761"/>
      <c r="Y10" s="761"/>
      <c r="Z10" s="761"/>
      <c r="AA10" s="761"/>
      <c r="AB10" s="761"/>
      <c r="AC10" s="761"/>
      <c r="AD10" s="761"/>
      <c r="AE10" s="761"/>
      <c r="AF10" s="761"/>
      <c r="AG10" s="761"/>
      <c r="AH10" s="761"/>
      <c r="AI10" s="761"/>
      <c r="AJ10" s="761"/>
      <c r="AK10" s="761"/>
      <c r="AL10" s="761"/>
      <c r="AM10" s="761"/>
      <c r="AN10" s="761"/>
      <c r="AO10" s="761"/>
      <c r="AP10" s="761"/>
      <c r="AQ10" s="761"/>
      <c r="AR10" s="762"/>
      <c r="AS10" s="747"/>
      <c r="AT10" s="748"/>
      <c r="AU10" s="748"/>
      <c r="AV10" s="748"/>
      <c r="AW10" s="748"/>
      <c r="AX10" s="748"/>
      <c r="AY10" s="748"/>
      <c r="AZ10" s="748"/>
      <c r="BA10" s="748"/>
      <c r="BB10" s="749"/>
      <c r="BC10" s="747"/>
      <c r="BD10" s="748"/>
      <c r="BE10" s="748"/>
      <c r="BF10" s="748"/>
      <c r="BG10" s="748"/>
      <c r="BH10" s="748"/>
      <c r="BI10" s="748"/>
      <c r="BJ10" s="748"/>
      <c r="BK10" s="748"/>
      <c r="BL10" s="748"/>
      <c r="BM10" s="749"/>
      <c r="BN10" s="763">
        <f>30000-30000</f>
        <v>0</v>
      </c>
      <c r="BO10" s="764"/>
      <c r="BP10" s="764"/>
      <c r="BQ10" s="764"/>
      <c r="BR10" s="764"/>
      <c r="BS10" s="764"/>
      <c r="BT10" s="764"/>
      <c r="BU10" s="764"/>
      <c r="BV10" s="764"/>
      <c r="BW10" s="764"/>
      <c r="BX10" s="764"/>
      <c r="BY10" s="764"/>
      <c r="BZ10" s="764"/>
      <c r="CA10" s="764"/>
      <c r="CB10" s="765"/>
      <c r="CC10" s="69"/>
      <c r="CD10" s="69"/>
      <c r="CE10" s="69">
        <f t="shared" si="0"/>
        <v>0</v>
      </c>
      <c r="CF10" s="428">
        <f t="shared" si="1"/>
        <v>0</v>
      </c>
    </row>
    <row r="11" spans="1:84" s="14" customFormat="1" x14ac:dyDescent="0.2">
      <c r="A11" s="714">
        <v>6</v>
      </c>
      <c r="B11" s="715"/>
      <c r="C11" s="715"/>
      <c r="D11" s="716"/>
      <c r="E11" s="760" t="s">
        <v>502</v>
      </c>
      <c r="F11" s="761"/>
      <c r="G11" s="761"/>
      <c r="H11" s="761"/>
      <c r="I11" s="761"/>
      <c r="J11" s="761"/>
      <c r="K11" s="761"/>
      <c r="L11" s="761"/>
      <c r="M11" s="761"/>
      <c r="N11" s="761"/>
      <c r="O11" s="761"/>
      <c r="P11" s="761"/>
      <c r="Q11" s="761"/>
      <c r="R11" s="761"/>
      <c r="S11" s="761"/>
      <c r="T11" s="761"/>
      <c r="U11" s="761"/>
      <c r="V11" s="761"/>
      <c r="W11" s="761"/>
      <c r="X11" s="761"/>
      <c r="Y11" s="761"/>
      <c r="Z11" s="761"/>
      <c r="AA11" s="761"/>
      <c r="AB11" s="761"/>
      <c r="AC11" s="761"/>
      <c r="AD11" s="761"/>
      <c r="AE11" s="761"/>
      <c r="AF11" s="761"/>
      <c r="AG11" s="761"/>
      <c r="AH11" s="761"/>
      <c r="AI11" s="761"/>
      <c r="AJ11" s="761"/>
      <c r="AK11" s="761"/>
      <c r="AL11" s="761"/>
      <c r="AM11" s="761"/>
      <c r="AN11" s="761"/>
      <c r="AO11" s="761"/>
      <c r="AP11" s="761"/>
      <c r="AQ11" s="761"/>
      <c r="AR11" s="762"/>
      <c r="AS11" s="747"/>
      <c r="AT11" s="748"/>
      <c r="AU11" s="748"/>
      <c r="AV11" s="748"/>
      <c r="AW11" s="748"/>
      <c r="AX11" s="748"/>
      <c r="AY11" s="748"/>
      <c r="AZ11" s="748"/>
      <c r="BA11" s="748"/>
      <c r="BB11" s="749"/>
      <c r="BC11" s="747"/>
      <c r="BD11" s="748"/>
      <c r="BE11" s="748"/>
      <c r="BF11" s="748"/>
      <c r="BG11" s="748"/>
      <c r="BH11" s="748"/>
      <c r="BI11" s="748"/>
      <c r="BJ11" s="748"/>
      <c r="BK11" s="748"/>
      <c r="BL11" s="748"/>
      <c r="BM11" s="749"/>
      <c r="BN11" s="763">
        <f>8500</f>
        <v>8500</v>
      </c>
      <c r="BO11" s="764"/>
      <c r="BP11" s="764"/>
      <c r="BQ11" s="764"/>
      <c r="BR11" s="764"/>
      <c r="BS11" s="764"/>
      <c r="BT11" s="764"/>
      <c r="BU11" s="764"/>
      <c r="BV11" s="764"/>
      <c r="BW11" s="764"/>
      <c r="BX11" s="764"/>
      <c r="BY11" s="764"/>
      <c r="BZ11" s="764"/>
      <c r="CA11" s="764"/>
      <c r="CB11" s="765"/>
      <c r="CC11" s="69"/>
      <c r="CD11" s="69"/>
      <c r="CE11" s="69">
        <f t="shared" si="0"/>
        <v>0</v>
      </c>
      <c r="CF11" s="428">
        <f t="shared" si="1"/>
        <v>8500</v>
      </c>
    </row>
    <row r="12" spans="1:84" s="157" customFormat="1" x14ac:dyDescent="0.2">
      <c r="A12" s="390"/>
      <c r="B12" s="391"/>
      <c r="C12" s="391"/>
      <c r="D12" s="392"/>
      <c r="E12" s="698" t="s">
        <v>206</v>
      </c>
      <c r="F12" s="699"/>
      <c r="G12" s="699"/>
      <c r="H12" s="699"/>
      <c r="I12" s="699"/>
      <c r="J12" s="699"/>
      <c r="K12" s="699"/>
      <c r="L12" s="699"/>
      <c r="M12" s="699"/>
      <c r="N12" s="699"/>
      <c r="O12" s="699"/>
      <c r="P12" s="699"/>
      <c r="Q12" s="699"/>
      <c r="R12" s="699"/>
      <c r="S12" s="699"/>
      <c r="T12" s="699"/>
      <c r="U12" s="699"/>
      <c r="V12" s="699"/>
      <c r="W12" s="699"/>
      <c r="X12" s="699"/>
      <c r="Y12" s="699"/>
      <c r="Z12" s="699"/>
      <c r="AA12" s="699"/>
      <c r="AB12" s="699"/>
      <c r="AC12" s="699"/>
      <c r="AD12" s="699"/>
      <c r="AE12" s="699"/>
      <c r="AF12" s="699"/>
      <c r="AG12" s="699"/>
      <c r="AH12" s="699"/>
      <c r="AI12" s="699"/>
      <c r="AJ12" s="699"/>
      <c r="AK12" s="699"/>
      <c r="AL12" s="699"/>
      <c r="AM12" s="699"/>
      <c r="AN12" s="699"/>
      <c r="AO12" s="699"/>
      <c r="AP12" s="699"/>
      <c r="AQ12" s="699"/>
      <c r="AR12" s="700"/>
      <c r="AS12" s="161"/>
      <c r="AT12" s="162"/>
      <c r="AU12" s="162"/>
      <c r="AV12" s="162"/>
      <c r="AW12" s="162"/>
      <c r="AX12" s="162"/>
      <c r="AY12" s="162"/>
      <c r="AZ12" s="162"/>
      <c r="BA12" s="162"/>
      <c r="BB12" s="163"/>
      <c r="BC12" s="161"/>
      <c r="BD12" s="162"/>
      <c r="BE12" s="162"/>
      <c r="BF12" s="162"/>
      <c r="BG12" s="162"/>
      <c r="BH12" s="162"/>
      <c r="BI12" s="162"/>
      <c r="BJ12" s="162"/>
      <c r="BK12" s="162"/>
      <c r="BL12" s="162"/>
      <c r="BM12" s="163"/>
      <c r="BN12" s="830">
        <f>SUM(BN6:CB7)</f>
        <v>1288473.72</v>
      </c>
      <c r="BO12" s="831"/>
      <c r="BP12" s="831"/>
      <c r="BQ12" s="831"/>
      <c r="BR12" s="831"/>
      <c r="BS12" s="831"/>
      <c r="BT12" s="831"/>
      <c r="BU12" s="831"/>
      <c r="BV12" s="831"/>
      <c r="BW12" s="831"/>
      <c r="BX12" s="164"/>
      <c r="BY12" s="164"/>
      <c r="BZ12" s="164"/>
      <c r="CA12" s="164"/>
      <c r="CB12" s="164"/>
      <c r="CC12" s="154"/>
      <c r="CD12" s="154"/>
      <c r="CE12" s="154"/>
      <c r="CF12" s="420"/>
    </row>
    <row r="13" spans="1:84" s="155" customFormat="1" ht="15" customHeight="1" x14ac:dyDescent="0.2">
      <c r="A13" s="698"/>
      <c r="B13" s="699"/>
      <c r="C13" s="699"/>
      <c r="D13" s="700"/>
      <c r="E13" s="698" t="s">
        <v>205</v>
      </c>
      <c r="F13" s="699"/>
      <c r="G13" s="699"/>
      <c r="H13" s="699"/>
      <c r="I13" s="699"/>
      <c r="J13" s="699"/>
      <c r="K13" s="699"/>
      <c r="L13" s="699"/>
      <c r="M13" s="699"/>
      <c r="N13" s="699"/>
      <c r="O13" s="699"/>
      <c r="P13" s="699"/>
      <c r="Q13" s="699"/>
      <c r="R13" s="699"/>
      <c r="S13" s="699"/>
      <c r="T13" s="699"/>
      <c r="U13" s="699"/>
      <c r="V13" s="699"/>
      <c r="W13" s="699"/>
      <c r="X13" s="699"/>
      <c r="Y13" s="699"/>
      <c r="Z13" s="699"/>
      <c r="AA13" s="699"/>
      <c r="AB13" s="699"/>
      <c r="AC13" s="699"/>
      <c r="AD13" s="699"/>
      <c r="AE13" s="699"/>
      <c r="AF13" s="699"/>
      <c r="AG13" s="699"/>
      <c r="AH13" s="699"/>
      <c r="AI13" s="699"/>
      <c r="AJ13" s="699"/>
      <c r="AK13" s="699"/>
      <c r="AL13" s="699"/>
      <c r="AM13" s="699"/>
      <c r="AN13" s="699"/>
      <c r="AO13" s="699"/>
      <c r="AP13" s="699"/>
      <c r="AQ13" s="699"/>
      <c r="AR13" s="700"/>
      <c r="AS13" s="590" t="s">
        <v>11</v>
      </c>
      <c r="AT13" s="591"/>
      <c r="AU13" s="591"/>
      <c r="AV13" s="591"/>
      <c r="AW13" s="591"/>
      <c r="AX13" s="591"/>
      <c r="AY13" s="591"/>
      <c r="AZ13" s="591"/>
      <c r="BA13" s="591"/>
      <c r="BB13" s="592"/>
      <c r="BC13" s="590" t="s">
        <v>11</v>
      </c>
      <c r="BD13" s="591"/>
      <c r="BE13" s="591"/>
      <c r="BF13" s="591"/>
      <c r="BG13" s="591"/>
      <c r="BH13" s="591"/>
      <c r="BI13" s="591"/>
      <c r="BJ13" s="591"/>
      <c r="BK13" s="591"/>
      <c r="BL13" s="591"/>
      <c r="BM13" s="592"/>
      <c r="BN13" s="605">
        <f>SUM(BN8:CB11)</f>
        <v>29500</v>
      </c>
      <c r="BO13" s="606"/>
      <c r="BP13" s="606"/>
      <c r="BQ13" s="606"/>
      <c r="BR13" s="606"/>
      <c r="BS13" s="606"/>
      <c r="BT13" s="606"/>
      <c r="BU13" s="606"/>
      <c r="BV13" s="606"/>
      <c r="BW13" s="606"/>
      <c r="BX13" s="606"/>
      <c r="BY13" s="606"/>
      <c r="BZ13" s="606"/>
      <c r="CA13" s="606"/>
      <c r="CB13" s="606"/>
      <c r="CC13" s="158"/>
      <c r="CD13" s="158"/>
      <c r="CE13" s="158"/>
      <c r="CF13" s="421"/>
    </row>
    <row r="14" spans="1:84" s="3" customFormat="1" ht="15.75" x14ac:dyDescent="0.25">
      <c r="A14" s="518" t="s">
        <v>344</v>
      </c>
      <c r="B14" s="518"/>
      <c r="C14" s="518"/>
      <c r="D14" s="518"/>
      <c r="E14" s="518"/>
      <c r="F14" s="518"/>
      <c r="G14" s="518"/>
      <c r="H14" s="518"/>
      <c r="I14" s="518"/>
      <c r="J14" s="518"/>
      <c r="K14" s="518"/>
      <c r="L14" s="518"/>
      <c r="M14" s="518"/>
      <c r="N14" s="518"/>
      <c r="O14" s="518"/>
      <c r="P14" s="518"/>
      <c r="Q14" s="518"/>
      <c r="R14" s="518"/>
      <c r="S14" s="518"/>
      <c r="T14" s="518"/>
      <c r="U14" s="518"/>
      <c r="V14" s="518"/>
      <c r="W14" s="518"/>
      <c r="X14" s="518"/>
      <c r="Y14" s="518"/>
      <c r="Z14" s="518"/>
      <c r="AA14" s="518"/>
      <c r="AB14" s="518"/>
      <c r="AC14" s="518"/>
      <c r="AD14" s="518"/>
      <c r="AE14" s="518"/>
      <c r="AF14" s="518"/>
      <c r="AG14" s="518"/>
      <c r="AH14" s="518"/>
      <c r="AI14" s="518"/>
      <c r="AJ14" s="518"/>
      <c r="AK14" s="518"/>
      <c r="AL14" s="518"/>
      <c r="AM14" s="518"/>
      <c r="AN14" s="518"/>
      <c r="AO14" s="518"/>
      <c r="AP14" s="518"/>
      <c r="AQ14" s="518"/>
      <c r="AR14" s="518"/>
      <c r="AS14" s="518"/>
      <c r="AT14" s="518"/>
      <c r="AU14" s="518"/>
      <c r="AV14" s="518"/>
      <c r="AW14" s="518"/>
      <c r="AX14" s="518"/>
      <c r="AY14" s="518"/>
      <c r="AZ14" s="518"/>
      <c r="BA14" s="518"/>
      <c r="BB14" s="518"/>
      <c r="BC14" s="518"/>
      <c r="BD14" s="518"/>
      <c r="BE14" s="518"/>
      <c r="BF14" s="518"/>
      <c r="BG14" s="518"/>
      <c r="BH14" s="518"/>
      <c r="BI14" s="518"/>
      <c r="BJ14" s="518"/>
      <c r="BK14" s="518"/>
      <c r="BL14" s="518"/>
      <c r="BM14" s="518"/>
      <c r="BN14" s="518"/>
      <c r="BO14" s="518"/>
      <c r="BP14" s="518"/>
      <c r="BQ14" s="518"/>
      <c r="BR14" s="518"/>
      <c r="BS14" s="518"/>
      <c r="BT14" s="518"/>
      <c r="BU14" s="518"/>
      <c r="BV14" s="518"/>
      <c r="BW14" s="518"/>
      <c r="BX14" s="518"/>
      <c r="BY14" s="518"/>
      <c r="BZ14" s="518"/>
      <c r="CA14" s="518"/>
      <c r="CB14" s="628"/>
      <c r="CC14" s="135"/>
      <c r="CD14" s="135"/>
      <c r="CE14" s="135"/>
      <c r="CF14" s="422"/>
    </row>
    <row r="15" spans="1:84" s="3" customFormat="1" ht="15.75" x14ac:dyDescent="0.25">
      <c r="A15" s="518" t="s">
        <v>343</v>
      </c>
      <c r="B15" s="518"/>
      <c r="C15" s="518"/>
      <c r="D15" s="518"/>
      <c r="E15" s="518"/>
      <c r="F15" s="518"/>
      <c r="G15" s="518"/>
      <c r="H15" s="518"/>
      <c r="I15" s="518"/>
      <c r="J15" s="518"/>
      <c r="K15" s="518"/>
      <c r="L15" s="518"/>
      <c r="M15" s="518"/>
      <c r="N15" s="518"/>
      <c r="O15" s="518"/>
      <c r="P15" s="518"/>
      <c r="Q15" s="518"/>
      <c r="R15" s="518"/>
      <c r="S15" s="518"/>
      <c r="T15" s="518"/>
      <c r="U15" s="518"/>
      <c r="V15" s="518"/>
      <c r="W15" s="518"/>
      <c r="X15" s="518"/>
      <c r="Y15" s="518"/>
      <c r="Z15" s="518"/>
      <c r="AA15" s="518"/>
      <c r="AB15" s="518"/>
      <c r="AC15" s="518"/>
      <c r="AD15" s="518"/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  <c r="AW15" s="518"/>
      <c r="AX15" s="518"/>
      <c r="AY15" s="518"/>
      <c r="AZ15" s="518"/>
      <c r="BA15" s="518"/>
      <c r="BB15" s="518"/>
      <c r="BC15" s="518"/>
      <c r="BD15" s="518"/>
      <c r="BE15" s="518"/>
      <c r="BF15" s="518"/>
      <c r="BG15" s="518"/>
      <c r="BH15" s="518"/>
      <c r="BI15" s="518"/>
      <c r="BJ15" s="518"/>
      <c r="BK15" s="518"/>
      <c r="BL15" s="518"/>
      <c r="BM15" s="518"/>
      <c r="BN15" s="518"/>
      <c r="BO15" s="518"/>
      <c r="BP15" s="518"/>
      <c r="BQ15" s="518"/>
      <c r="BR15" s="518"/>
      <c r="BS15" s="518"/>
      <c r="BT15" s="518"/>
      <c r="BU15" s="518"/>
      <c r="BV15" s="518"/>
      <c r="BW15" s="518"/>
      <c r="BX15" s="518"/>
      <c r="BY15" s="518"/>
      <c r="BZ15" s="518"/>
      <c r="CA15" s="518"/>
      <c r="CB15" s="628"/>
      <c r="CC15" s="135"/>
      <c r="CD15" s="135"/>
      <c r="CE15" s="135"/>
      <c r="CF15" s="422"/>
    </row>
    <row r="16" spans="1:84" s="6" customFormat="1" ht="3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136"/>
      <c r="CD16" s="136"/>
      <c r="CE16" s="136"/>
      <c r="CF16" s="423"/>
    </row>
    <row r="17" spans="1:98" x14ac:dyDescent="0.2">
      <c r="A17" s="519" t="s">
        <v>5</v>
      </c>
      <c r="B17" s="520"/>
      <c r="C17" s="520"/>
      <c r="D17" s="523"/>
      <c r="E17" s="519" t="s">
        <v>13</v>
      </c>
      <c r="F17" s="520"/>
      <c r="G17" s="520"/>
      <c r="H17" s="520"/>
      <c r="I17" s="520"/>
      <c r="J17" s="520"/>
      <c r="K17" s="520"/>
      <c r="L17" s="520"/>
      <c r="M17" s="520"/>
      <c r="N17" s="520"/>
      <c r="O17" s="520"/>
      <c r="P17" s="520"/>
      <c r="Q17" s="520"/>
      <c r="R17" s="520"/>
      <c r="S17" s="520"/>
      <c r="T17" s="520"/>
      <c r="U17" s="520"/>
      <c r="V17" s="520"/>
      <c r="W17" s="520"/>
      <c r="X17" s="520"/>
      <c r="Y17" s="520"/>
      <c r="Z17" s="520"/>
      <c r="AA17" s="520"/>
      <c r="AB17" s="520"/>
      <c r="AC17" s="520"/>
      <c r="AD17" s="520"/>
      <c r="AE17" s="520"/>
      <c r="AF17" s="520"/>
      <c r="AG17" s="520"/>
      <c r="AH17" s="520"/>
      <c r="AI17" s="520"/>
      <c r="AJ17" s="520"/>
      <c r="AK17" s="520"/>
      <c r="AL17" s="520"/>
      <c r="AM17" s="520"/>
      <c r="AN17" s="520"/>
      <c r="AO17" s="520"/>
      <c r="AP17" s="520"/>
      <c r="AQ17" s="520"/>
      <c r="AR17" s="523"/>
      <c r="AS17" s="519" t="s">
        <v>18</v>
      </c>
      <c r="AT17" s="520"/>
      <c r="AU17" s="520"/>
      <c r="AV17" s="520"/>
      <c r="AW17" s="520"/>
      <c r="AX17" s="520"/>
      <c r="AY17" s="520"/>
      <c r="AZ17" s="520"/>
      <c r="BA17" s="520"/>
      <c r="BB17" s="523"/>
      <c r="BC17" s="519" t="s">
        <v>106</v>
      </c>
      <c r="BD17" s="520"/>
      <c r="BE17" s="520"/>
      <c r="BF17" s="520"/>
      <c r="BG17" s="520"/>
      <c r="BH17" s="520"/>
      <c r="BI17" s="520"/>
      <c r="BJ17" s="520"/>
      <c r="BK17" s="520"/>
      <c r="BL17" s="520"/>
      <c r="BM17" s="523"/>
      <c r="BN17" s="519" t="s">
        <v>22</v>
      </c>
      <c r="BO17" s="520"/>
      <c r="BP17" s="520"/>
      <c r="BQ17" s="520"/>
      <c r="BR17" s="520"/>
      <c r="BS17" s="520"/>
      <c r="BT17" s="520"/>
      <c r="BU17" s="520"/>
      <c r="BV17" s="520"/>
      <c r="BW17" s="520"/>
      <c r="BX17" s="520"/>
      <c r="BY17" s="520"/>
      <c r="BZ17" s="520"/>
      <c r="CA17" s="520"/>
      <c r="CB17" s="520"/>
      <c r="CC17" s="137"/>
      <c r="CD17" s="137"/>
      <c r="CE17" s="137"/>
      <c r="CF17" s="424"/>
    </row>
    <row r="18" spans="1:98" x14ac:dyDescent="0.2">
      <c r="A18" s="521" t="s">
        <v>6</v>
      </c>
      <c r="B18" s="522"/>
      <c r="C18" s="522"/>
      <c r="D18" s="537"/>
      <c r="E18" s="521"/>
      <c r="F18" s="522"/>
      <c r="G18" s="522"/>
      <c r="H18" s="522"/>
      <c r="I18" s="522"/>
      <c r="J18" s="522"/>
      <c r="K18" s="522"/>
      <c r="L18" s="522"/>
      <c r="M18" s="522"/>
      <c r="N18" s="522"/>
      <c r="O18" s="522"/>
      <c r="P18" s="522"/>
      <c r="Q18" s="522"/>
      <c r="R18" s="522"/>
      <c r="S18" s="522"/>
      <c r="T18" s="522"/>
      <c r="U18" s="522"/>
      <c r="V18" s="522"/>
      <c r="W18" s="522"/>
      <c r="X18" s="522"/>
      <c r="Y18" s="522"/>
      <c r="Z18" s="522"/>
      <c r="AA18" s="522"/>
      <c r="AB18" s="522"/>
      <c r="AC18" s="522"/>
      <c r="AD18" s="522"/>
      <c r="AE18" s="522"/>
      <c r="AF18" s="522"/>
      <c r="AG18" s="522"/>
      <c r="AH18" s="522"/>
      <c r="AI18" s="522"/>
      <c r="AJ18" s="522"/>
      <c r="AK18" s="522"/>
      <c r="AL18" s="522"/>
      <c r="AM18" s="522"/>
      <c r="AN18" s="522"/>
      <c r="AO18" s="522"/>
      <c r="AP18" s="522"/>
      <c r="AQ18" s="522"/>
      <c r="AR18" s="537"/>
      <c r="AS18" s="521"/>
      <c r="AT18" s="522"/>
      <c r="AU18" s="522"/>
      <c r="AV18" s="522"/>
      <c r="AW18" s="522"/>
      <c r="AX18" s="522"/>
      <c r="AY18" s="522"/>
      <c r="AZ18" s="522"/>
      <c r="BA18" s="522"/>
      <c r="BB18" s="537"/>
      <c r="BC18" s="521" t="s">
        <v>107</v>
      </c>
      <c r="BD18" s="522"/>
      <c r="BE18" s="522"/>
      <c r="BF18" s="522"/>
      <c r="BG18" s="522"/>
      <c r="BH18" s="522"/>
      <c r="BI18" s="522"/>
      <c r="BJ18" s="522"/>
      <c r="BK18" s="522"/>
      <c r="BL18" s="522"/>
      <c r="BM18" s="537"/>
      <c r="BN18" s="521" t="s">
        <v>116</v>
      </c>
      <c r="BO18" s="522"/>
      <c r="BP18" s="522"/>
      <c r="BQ18" s="522"/>
      <c r="BR18" s="522"/>
      <c r="BS18" s="522"/>
      <c r="BT18" s="522"/>
      <c r="BU18" s="522"/>
      <c r="BV18" s="522"/>
      <c r="BW18" s="522"/>
      <c r="BX18" s="522"/>
      <c r="BY18" s="522"/>
      <c r="BZ18" s="522"/>
      <c r="CA18" s="522"/>
      <c r="CB18" s="522"/>
      <c r="CC18" s="137"/>
      <c r="CD18" s="137"/>
      <c r="CE18" s="137"/>
      <c r="CF18" s="424"/>
    </row>
    <row r="19" spans="1:98" x14ac:dyDescent="0.2">
      <c r="A19" s="531"/>
      <c r="B19" s="532"/>
      <c r="C19" s="532"/>
      <c r="D19" s="533"/>
      <c r="E19" s="531"/>
      <c r="F19" s="532"/>
      <c r="G19" s="532"/>
      <c r="H19" s="532"/>
      <c r="I19" s="532"/>
      <c r="J19" s="532"/>
      <c r="K19" s="532"/>
      <c r="L19" s="532"/>
      <c r="M19" s="532"/>
      <c r="N19" s="532"/>
      <c r="O19" s="532"/>
      <c r="P19" s="532"/>
      <c r="Q19" s="532"/>
      <c r="R19" s="532"/>
      <c r="S19" s="532"/>
      <c r="T19" s="532"/>
      <c r="U19" s="532"/>
      <c r="V19" s="532"/>
      <c r="W19" s="532"/>
      <c r="X19" s="532"/>
      <c r="Y19" s="532"/>
      <c r="Z19" s="532"/>
      <c r="AA19" s="532"/>
      <c r="AB19" s="532"/>
      <c r="AC19" s="532"/>
      <c r="AD19" s="532"/>
      <c r="AE19" s="532"/>
      <c r="AF19" s="532"/>
      <c r="AG19" s="532"/>
      <c r="AH19" s="532"/>
      <c r="AI19" s="532"/>
      <c r="AJ19" s="532"/>
      <c r="AK19" s="532"/>
      <c r="AL19" s="532"/>
      <c r="AM19" s="532"/>
      <c r="AN19" s="532"/>
      <c r="AO19" s="532"/>
      <c r="AP19" s="532"/>
      <c r="AQ19" s="532"/>
      <c r="AR19" s="533"/>
      <c r="AS19" s="531"/>
      <c r="AT19" s="532"/>
      <c r="AU19" s="532"/>
      <c r="AV19" s="532"/>
      <c r="AW19" s="532"/>
      <c r="AX19" s="532"/>
      <c r="AY19" s="532"/>
      <c r="AZ19" s="532"/>
      <c r="BA19" s="532"/>
      <c r="BB19" s="533"/>
      <c r="BC19" s="531" t="s">
        <v>17</v>
      </c>
      <c r="BD19" s="532"/>
      <c r="BE19" s="532"/>
      <c r="BF19" s="532"/>
      <c r="BG19" s="532"/>
      <c r="BH19" s="532"/>
      <c r="BI19" s="532"/>
      <c r="BJ19" s="532"/>
      <c r="BK19" s="532"/>
      <c r="BL19" s="532"/>
      <c r="BM19" s="533"/>
      <c r="BN19" s="531"/>
      <c r="BO19" s="532"/>
      <c r="BP19" s="532"/>
      <c r="BQ19" s="532"/>
      <c r="BR19" s="532"/>
      <c r="BS19" s="532"/>
      <c r="BT19" s="532"/>
      <c r="BU19" s="532"/>
      <c r="BV19" s="532"/>
      <c r="BW19" s="532"/>
      <c r="BX19" s="532"/>
      <c r="BY19" s="532"/>
      <c r="BZ19" s="532"/>
      <c r="CA19" s="532"/>
      <c r="CB19" s="532"/>
      <c r="CF19" s="425"/>
    </row>
    <row r="20" spans="1:98" ht="14.25" customHeight="1" x14ac:dyDescent="0.25">
      <c r="A20" s="554"/>
      <c r="B20" s="555"/>
      <c r="C20" s="555"/>
      <c r="D20" s="556"/>
      <c r="E20" s="554">
        <v>1</v>
      </c>
      <c r="F20" s="555"/>
      <c r="G20" s="555"/>
      <c r="H20" s="555"/>
      <c r="I20" s="555"/>
      <c r="J20" s="555"/>
      <c r="K20" s="555"/>
      <c r="L20" s="555"/>
      <c r="M20" s="555"/>
      <c r="N20" s="555"/>
      <c r="O20" s="555"/>
      <c r="P20" s="555"/>
      <c r="Q20" s="555"/>
      <c r="R20" s="555"/>
      <c r="S20" s="555"/>
      <c r="T20" s="555"/>
      <c r="U20" s="555"/>
      <c r="V20" s="555"/>
      <c r="W20" s="555"/>
      <c r="X20" s="555"/>
      <c r="Y20" s="555"/>
      <c r="Z20" s="555"/>
      <c r="AA20" s="555"/>
      <c r="AB20" s="555"/>
      <c r="AC20" s="555"/>
      <c r="AD20" s="555"/>
      <c r="AE20" s="555"/>
      <c r="AF20" s="555"/>
      <c r="AG20" s="555"/>
      <c r="AH20" s="555"/>
      <c r="AI20" s="555"/>
      <c r="AJ20" s="555"/>
      <c r="AK20" s="555"/>
      <c r="AL20" s="555"/>
      <c r="AM20" s="555"/>
      <c r="AN20" s="555"/>
      <c r="AO20" s="555"/>
      <c r="AP20" s="555"/>
      <c r="AQ20" s="555"/>
      <c r="AR20" s="556"/>
      <c r="AS20" s="554">
        <v>2</v>
      </c>
      <c r="AT20" s="555"/>
      <c r="AU20" s="555"/>
      <c r="AV20" s="555"/>
      <c r="AW20" s="555"/>
      <c r="AX20" s="555"/>
      <c r="AY20" s="555"/>
      <c r="AZ20" s="555"/>
      <c r="BA20" s="555"/>
      <c r="BB20" s="556"/>
      <c r="BC20" s="554">
        <v>3</v>
      </c>
      <c r="BD20" s="555"/>
      <c r="BE20" s="555"/>
      <c r="BF20" s="555"/>
      <c r="BG20" s="555"/>
      <c r="BH20" s="555"/>
      <c r="BI20" s="555"/>
      <c r="BJ20" s="555"/>
      <c r="BK20" s="555"/>
      <c r="BL20" s="555"/>
      <c r="BM20" s="556"/>
      <c r="BN20" s="554">
        <v>4</v>
      </c>
      <c r="BO20" s="555"/>
      <c r="BP20" s="555"/>
      <c r="BQ20" s="555"/>
      <c r="BR20" s="555"/>
      <c r="BS20" s="555"/>
      <c r="BT20" s="555"/>
      <c r="BU20" s="555"/>
      <c r="BV20" s="555"/>
      <c r="BW20" s="555"/>
      <c r="BX20" s="555"/>
      <c r="BY20" s="555"/>
      <c r="BZ20" s="555"/>
      <c r="CA20" s="555"/>
      <c r="CB20" s="555"/>
      <c r="CC20" s="68" t="s">
        <v>193</v>
      </c>
      <c r="CD20" s="68" t="s">
        <v>194</v>
      </c>
      <c r="CE20" s="68" t="s">
        <v>298</v>
      </c>
      <c r="CF20" s="418" t="s">
        <v>296</v>
      </c>
    </row>
    <row r="21" spans="1:98" s="14" customFormat="1" x14ac:dyDescent="0.2">
      <c r="A21" s="822">
        <v>1</v>
      </c>
      <c r="B21" s="823"/>
      <c r="C21" s="823"/>
      <c r="D21" s="824"/>
      <c r="E21" s="760" t="s">
        <v>433</v>
      </c>
      <c r="F21" s="761"/>
      <c r="G21" s="761"/>
      <c r="H21" s="761"/>
      <c r="I21" s="761"/>
      <c r="J21" s="761"/>
      <c r="K21" s="761"/>
      <c r="L21" s="761"/>
      <c r="M21" s="761"/>
      <c r="N21" s="761"/>
      <c r="O21" s="761"/>
      <c r="P21" s="761"/>
      <c r="Q21" s="761"/>
      <c r="R21" s="761"/>
      <c r="S21" s="761"/>
      <c r="T21" s="761"/>
      <c r="U21" s="761"/>
      <c r="V21" s="761"/>
      <c r="W21" s="761"/>
      <c r="X21" s="761"/>
      <c r="Y21" s="761"/>
      <c r="Z21" s="761"/>
      <c r="AA21" s="761"/>
      <c r="AB21" s="761"/>
      <c r="AC21" s="761"/>
      <c r="AD21" s="761"/>
      <c r="AE21" s="761"/>
      <c r="AF21" s="761"/>
      <c r="AG21" s="761"/>
      <c r="AH21" s="761"/>
      <c r="AI21" s="761"/>
      <c r="AJ21" s="761"/>
      <c r="AK21" s="761"/>
      <c r="AL21" s="761"/>
      <c r="AM21" s="761"/>
      <c r="AN21" s="761"/>
      <c r="AO21" s="761"/>
      <c r="AP21" s="761"/>
      <c r="AQ21" s="761"/>
      <c r="AR21" s="762"/>
      <c r="AS21" s="747"/>
      <c r="AT21" s="748"/>
      <c r="AU21" s="748"/>
      <c r="AV21" s="748"/>
      <c r="AW21" s="748"/>
      <c r="AX21" s="748"/>
      <c r="AY21" s="748"/>
      <c r="AZ21" s="748"/>
      <c r="BA21" s="748"/>
      <c r="BB21" s="749"/>
      <c r="BC21" s="747"/>
      <c r="BD21" s="748"/>
      <c r="BE21" s="748"/>
      <c r="BF21" s="748"/>
      <c r="BG21" s="748"/>
      <c r="BH21" s="748"/>
      <c r="BI21" s="748"/>
      <c r="BJ21" s="748"/>
      <c r="BK21" s="748"/>
      <c r="BL21" s="748"/>
      <c r="BM21" s="749"/>
      <c r="BN21" s="763">
        <f>5000-5000</f>
        <v>0</v>
      </c>
      <c r="BO21" s="764"/>
      <c r="BP21" s="764"/>
      <c r="BQ21" s="764"/>
      <c r="BR21" s="764"/>
      <c r="BS21" s="764"/>
      <c r="BT21" s="764"/>
      <c r="BU21" s="764"/>
      <c r="BV21" s="764"/>
      <c r="BW21" s="764"/>
      <c r="BX21" s="764"/>
      <c r="BY21" s="764"/>
      <c r="BZ21" s="764"/>
      <c r="CA21" s="764"/>
      <c r="CB21" s="764"/>
      <c r="CC21" s="69"/>
      <c r="CD21" s="69"/>
      <c r="CE21" s="69">
        <f>BN21-CC21</f>
        <v>0</v>
      </c>
      <c r="CF21" s="427">
        <f>BN21-CC21</f>
        <v>0</v>
      </c>
    </row>
    <row r="22" spans="1:98" s="14" customFormat="1" hidden="1" x14ac:dyDescent="0.2">
      <c r="A22" s="822">
        <v>2</v>
      </c>
      <c r="B22" s="823"/>
      <c r="C22" s="823"/>
      <c r="D22" s="824"/>
      <c r="E22" s="760"/>
      <c r="F22" s="761"/>
      <c r="G22" s="761"/>
      <c r="H22" s="761"/>
      <c r="I22" s="761"/>
      <c r="J22" s="761"/>
      <c r="K22" s="761"/>
      <c r="L22" s="761"/>
      <c r="M22" s="761"/>
      <c r="N22" s="761"/>
      <c r="O22" s="761"/>
      <c r="P22" s="761"/>
      <c r="Q22" s="761"/>
      <c r="R22" s="761"/>
      <c r="S22" s="761"/>
      <c r="T22" s="761"/>
      <c r="U22" s="761"/>
      <c r="V22" s="761"/>
      <c r="W22" s="761"/>
      <c r="X22" s="761"/>
      <c r="Y22" s="761"/>
      <c r="Z22" s="761"/>
      <c r="AA22" s="761"/>
      <c r="AB22" s="761"/>
      <c r="AC22" s="761"/>
      <c r="AD22" s="761"/>
      <c r="AE22" s="761"/>
      <c r="AF22" s="761"/>
      <c r="AG22" s="761"/>
      <c r="AH22" s="761"/>
      <c r="AI22" s="761"/>
      <c r="AJ22" s="761"/>
      <c r="AK22" s="761"/>
      <c r="AL22" s="761"/>
      <c r="AM22" s="761"/>
      <c r="AN22" s="761"/>
      <c r="AO22" s="761"/>
      <c r="AP22" s="761"/>
      <c r="AQ22" s="761"/>
      <c r="AR22" s="762"/>
      <c r="AS22" s="747"/>
      <c r="AT22" s="748"/>
      <c r="AU22" s="748"/>
      <c r="AV22" s="748"/>
      <c r="AW22" s="748"/>
      <c r="AX22" s="748"/>
      <c r="AY22" s="748"/>
      <c r="AZ22" s="748"/>
      <c r="BA22" s="748"/>
      <c r="BB22" s="749"/>
      <c r="BC22" s="747"/>
      <c r="BD22" s="748"/>
      <c r="BE22" s="748"/>
      <c r="BF22" s="748"/>
      <c r="BG22" s="748"/>
      <c r="BH22" s="748"/>
      <c r="BI22" s="748"/>
      <c r="BJ22" s="748"/>
      <c r="BK22" s="748"/>
      <c r="BL22" s="748"/>
      <c r="BM22" s="749"/>
      <c r="BN22" s="763"/>
      <c r="BO22" s="764"/>
      <c r="BP22" s="764"/>
      <c r="BQ22" s="764"/>
      <c r="BR22" s="764"/>
      <c r="BS22" s="764"/>
      <c r="BT22" s="764"/>
      <c r="BU22" s="764"/>
      <c r="BV22" s="764"/>
      <c r="BW22" s="764"/>
      <c r="BX22" s="764"/>
      <c r="BY22" s="764"/>
      <c r="BZ22" s="764"/>
      <c r="CA22" s="764"/>
      <c r="CB22" s="765"/>
      <c r="CC22" s="69"/>
      <c r="CD22" s="69"/>
      <c r="CE22" s="69">
        <f>CC22-CD22</f>
        <v>0</v>
      </c>
      <c r="CF22" s="419">
        <f>BN22-CC22</f>
        <v>0</v>
      </c>
    </row>
    <row r="23" spans="1:98" s="155" customFormat="1" ht="13.5" thickBot="1" x14ac:dyDescent="0.25">
      <c r="A23" s="811"/>
      <c r="B23" s="812"/>
      <c r="C23" s="812"/>
      <c r="D23" s="813"/>
      <c r="E23" s="811" t="s">
        <v>10</v>
      </c>
      <c r="F23" s="812"/>
      <c r="G23" s="812"/>
      <c r="H23" s="812"/>
      <c r="I23" s="812"/>
      <c r="J23" s="812"/>
      <c r="K23" s="812"/>
      <c r="L23" s="812"/>
      <c r="M23" s="812"/>
      <c r="N23" s="812"/>
      <c r="O23" s="812"/>
      <c r="P23" s="812"/>
      <c r="Q23" s="812"/>
      <c r="R23" s="812"/>
      <c r="S23" s="812"/>
      <c r="T23" s="812"/>
      <c r="U23" s="812"/>
      <c r="V23" s="812"/>
      <c r="W23" s="812"/>
      <c r="X23" s="812"/>
      <c r="Y23" s="812"/>
      <c r="Z23" s="812"/>
      <c r="AA23" s="812"/>
      <c r="AB23" s="812"/>
      <c r="AC23" s="812"/>
      <c r="AD23" s="812"/>
      <c r="AE23" s="812"/>
      <c r="AF23" s="812"/>
      <c r="AG23" s="812"/>
      <c r="AH23" s="812"/>
      <c r="AI23" s="812"/>
      <c r="AJ23" s="812"/>
      <c r="AK23" s="812"/>
      <c r="AL23" s="812"/>
      <c r="AM23" s="812"/>
      <c r="AN23" s="812"/>
      <c r="AO23" s="812"/>
      <c r="AP23" s="812"/>
      <c r="AQ23" s="812"/>
      <c r="AR23" s="813"/>
      <c r="AS23" s="814"/>
      <c r="AT23" s="815"/>
      <c r="AU23" s="815"/>
      <c r="AV23" s="815"/>
      <c r="AW23" s="815"/>
      <c r="AX23" s="815"/>
      <c r="AY23" s="815"/>
      <c r="AZ23" s="815"/>
      <c r="BA23" s="815"/>
      <c r="BB23" s="816"/>
      <c r="BC23" s="817"/>
      <c r="BD23" s="818"/>
      <c r="BE23" s="818"/>
      <c r="BF23" s="818"/>
      <c r="BG23" s="818"/>
      <c r="BH23" s="818"/>
      <c r="BI23" s="818"/>
      <c r="BJ23" s="818"/>
      <c r="BK23" s="818"/>
      <c r="BL23" s="818"/>
      <c r="BM23" s="819"/>
      <c r="BN23" s="820">
        <f>SUM(BN21:BW22)</f>
        <v>0</v>
      </c>
      <c r="BO23" s="821"/>
      <c r="BP23" s="821"/>
      <c r="BQ23" s="821"/>
      <c r="BR23" s="821"/>
      <c r="BS23" s="821"/>
      <c r="BT23" s="821"/>
      <c r="BU23" s="821"/>
      <c r="BV23" s="821"/>
      <c r="BW23" s="821"/>
      <c r="BX23" s="70"/>
      <c r="BY23" s="70"/>
      <c r="BZ23" s="70"/>
      <c r="CA23" s="70"/>
      <c r="CB23" s="389"/>
      <c r="CC23" s="158"/>
      <c r="CD23" s="158"/>
      <c r="CE23" s="158"/>
      <c r="CF23" s="421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</row>
    <row r="24" spans="1:98" s="6" customFormat="1" ht="6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136"/>
      <c r="CD24" s="136"/>
      <c r="CE24" s="136"/>
      <c r="CF24" s="423"/>
    </row>
    <row r="25" spans="1:98" s="3" customFormat="1" ht="15.75" x14ac:dyDescent="0.25">
      <c r="A25" s="518" t="s">
        <v>451</v>
      </c>
      <c r="B25" s="518"/>
      <c r="C25" s="518"/>
      <c r="D25" s="518"/>
      <c r="E25" s="518"/>
      <c r="F25" s="518"/>
      <c r="G25" s="518"/>
      <c r="H25" s="518"/>
      <c r="I25" s="518"/>
      <c r="J25" s="518"/>
      <c r="K25" s="518"/>
      <c r="L25" s="518"/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518"/>
      <c r="AC25" s="518"/>
      <c r="AD25" s="518"/>
      <c r="AE25" s="518"/>
      <c r="AF25" s="518"/>
      <c r="AG25" s="518"/>
      <c r="AH25" s="518"/>
      <c r="AI25" s="518"/>
      <c r="AJ25" s="518"/>
      <c r="AK25" s="518"/>
      <c r="AL25" s="518"/>
      <c r="AM25" s="518"/>
      <c r="AN25" s="518"/>
      <c r="AO25" s="518"/>
      <c r="AP25" s="518"/>
      <c r="AQ25" s="518"/>
      <c r="AR25" s="518"/>
      <c r="AS25" s="518"/>
      <c r="AT25" s="518"/>
      <c r="AU25" s="518"/>
      <c r="AV25" s="518"/>
      <c r="AW25" s="518"/>
      <c r="AX25" s="518"/>
      <c r="AY25" s="518"/>
      <c r="AZ25" s="518"/>
      <c r="BA25" s="518"/>
      <c r="BB25" s="518"/>
      <c r="BC25" s="518"/>
      <c r="BD25" s="518"/>
      <c r="BE25" s="518"/>
      <c r="BF25" s="518"/>
      <c r="BG25" s="518"/>
      <c r="BH25" s="518"/>
      <c r="BI25" s="518"/>
      <c r="BJ25" s="518"/>
      <c r="BK25" s="518"/>
      <c r="BL25" s="518"/>
      <c r="BM25" s="518"/>
      <c r="BN25" s="518"/>
      <c r="BO25" s="518"/>
      <c r="BP25" s="518"/>
      <c r="BQ25" s="518"/>
      <c r="BR25" s="518"/>
      <c r="BS25" s="518"/>
      <c r="BT25" s="518"/>
      <c r="BU25" s="518"/>
      <c r="BV25" s="518"/>
      <c r="BW25" s="518"/>
      <c r="BX25" s="518"/>
      <c r="BY25" s="518"/>
      <c r="BZ25" s="518"/>
      <c r="CA25" s="518"/>
      <c r="CB25" s="628"/>
      <c r="CC25" s="135"/>
      <c r="CD25" s="135"/>
      <c r="CE25" s="135"/>
      <c r="CF25" s="422"/>
    </row>
    <row r="26" spans="1:98" s="3" customFormat="1" ht="7.5" customHeight="1" x14ac:dyDescent="0.25">
      <c r="A26" s="518"/>
      <c r="B26" s="518"/>
      <c r="C26" s="518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8"/>
      <c r="Q26" s="518"/>
      <c r="R26" s="518"/>
      <c r="S26" s="518"/>
      <c r="T26" s="518"/>
      <c r="U26" s="518"/>
      <c r="V26" s="518"/>
      <c r="W26" s="518"/>
      <c r="X26" s="518"/>
      <c r="Y26" s="518"/>
      <c r="Z26" s="518"/>
      <c r="AA26" s="518"/>
      <c r="AB26" s="518"/>
      <c r="AC26" s="518"/>
      <c r="AD26" s="518"/>
      <c r="AE26" s="518"/>
      <c r="AF26" s="518"/>
      <c r="AG26" s="518"/>
      <c r="AH26" s="518"/>
      <c r="AI26" s="518"/>
      <c r="AJ26" s="518"/>
      <c r="AK26" s="518"/>
      <c r="AL26" s="518"/>
      <c r="AM26" s="518"/>
      <c r="AN26" s="518"/>
      <c r="AO26" s="518"/>
      <c r="AP26" s="518"/>
      <c r="AQ26" s="518"/>
      <c r="AR26" s="518"/>
      <c r="AS26" s="518"/>
      <c r="AT26" s="518"/>
      <c r="AU26" s="518"/>
      <c r="AV26" s="518"/>
      <c r="AW26" s="518"/>
      <c r="AX26" s="518"/>
      <c r="AY26" s="518"/>
      <c r="AZ26" s="518"/>
      <c r="BA26" s="518"/>
      <c r="BB26" s="518"/>
      <c r="BC26" s="518"/>
      <c r="BD26" s="518"/>
      <c r="BE26" s="518"/>
      <c r="BF26" s="518"/>
      <c r="BG26" s="518"/>
      <c r="BH26" s="518"/>
      <c r="BI26" s="518"/>
      <c r="BJ26" s="518"/>
      <c r="BK26" s="518"/>
      <c r="BL26" s="518"/>
      <c r="BM26" s="518"/>
      <c r="BN26" s="518"/>
      <c r="BO26" s="518"/>
      <c r="BP26" s="518"/>
      <c r="BQ26" s="518"/>
      <c r="BR26" s="518"/>
      <c r="BS26" s="518"/>
      <c r="BT26" s="518"/>
      <c r="BU26" s="518"/>
      <c r="BV26" s="518"/>
      <c r="BW26" s="518"/>
      <c r="BX26" s="518"/>
      <c r="BY26" s="518"/>
      <c r="BZ26" s="518"/>
      <c r="CA26" s="518"/>
      <c r="CB26" s="628"/>
      <c r="CC26" s="135"/>
      <c r="CD26" s="135"/>
      <c r="CE26" s="135"/>
      <c r="CF26" s="422"/>
    </row>
    <row r="27" spans="1:98" s="6" customFormat="1" ht="2.25" customHeigh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136"/>
      <c r="CD27" s="136"/>
      <c r="CE27" s="136"/>
      <c r="CF27" s="423"/>
    </row>
    <row r="28" spans="1:98" x14ac:dyDescent="0.2">
      <c r="A28" s="519" t="s">
        <v>5</v>
      </c>
      <c r="B28" s="520"/>
      <c r="C28" s="520"/>
      <c r="D28" s="523"/>
      <c r="E28" s="519" t="s">
        <v>13</v>
      </c>
      <c r="F28" s="520"/>
      <c r="G28" s="520"/>
      <c r="H28" s="520"/>
      <c r="I28" s="520"/>
      <c r="J28" s="520"/>
      <c r="K28" s="520"/>
      <c r="L28" s="520"/>
      <c r="M28" s="520"/>
      <c r="N28" s="520"/>
      <c r="O28" s="520"/>
      <c r="P28" s="520"/>
      <c r="Q28" s="520"/>
      <c r="R28" s="520"/>
      <c r="S28" s="520"/>
      <c r="T28" s="520"/>
      <c r="U28" s="520"/>
      <c r="V28" s="520"/>
      <c r="W28" s="520"/>
      <c r="X28" s="520"/>
      <c r="Y28" s="520"/>
      <c r="Z28" s="520"/>
      <c r="AA28" s="520"/>
      <c r="AB28" s="520"/>
      <c r="AC28" s="520"/>
      <c r="AD28" s="520"/>
      <c r="AE28" s="520"/>
      <c r="AF28" s="520"/>
      <c r="AG28" s="520"/>
      <c r="AH28" s="520"/>
      <c r="AI28" s="520"/>
      <c r="AJ28" s="520"/>
      <c r="AK28" s="520"/>
      <c r="AL28" s="520"/>
      <c r="AM28" s="520"/>
      <c r="AN28" s="520"/>
      <c r="AO28" s="520"/>
      <c r="AP28" s="520"/>
      <c r="AQ28" s="520"/>
      <c r="AR28" s="523"/>
      <c r="AS28" s="519" t="s">
        <v>18</v>
      </c>
      <c r="AT28" s="520"/>
      <c r="AU28" s="520"/>
      <c r="AV28" s="520"/>
      <c r="AW28" s="520"/>
      <c r="AX28" s="520"/>
      <c r="AY28" s="520"/>
      <c r="AZ28" s="520"/>
      <c r="BA28" s="520"/>
      <c r="BB28" s="523"/>
      <c r="BC28" s="519" t="s">
        <v>106</v>
      </c>
      <c r="BD28" s="520"/>
      <c r="BE28" s="520"/>
      <c r="BF28" s="520"/>
      <c r="BG28" s="520"/>
      <c r="BH28" s="520"/>
      <c r="BI28" s="520"/>
      <c r="BJ28" s="520"/>
      <c r="BK28" s="520"/>
      <c r="BL28" s="520"/>
      <c r="BM28" s="523"/>
      <c r="BN28" s="519" t="s">
        <v>22</v>
      </c>
      <c r="BO28" s="520"/>
      <c r="BP28" s="520"/>
      <c r="BQ28" s="520"/>
      <c r="BR28" s="520"/>
      <c r="BS28" s="520"/>
      <c r="BT28" s="520"/>
      <c r="BU28" s="520"/>
      <c r="BV28" s="520"/>
      <c r="BW28" s="520"/>
      <c r="BX28" s="520"/>
      <c r="BY28" s="520"/>
      <c r="BZ28" s="520"/>
      <c r="CA28" s="520"/>
      <c r="CB28" s="520"/>
      <c r="CC28" s="137"/>
      <c r="CD28" s="137"/>
      <c r="CE28" s="137"/>
      <c r="CF28" s="424"/>
    </row>
    <row r="29" spans="1:98" x14ac:dyDescent="0.2">
      <c r="A29" s="521" t="s">
        <v>6</v>
      </c>
      <c r="B29" s="522"/>
      <c r="C29" s="522"/>
      <c r="D29" s="537"/>
      <c r="E29" s="521"/>
      <c r="F29" s="522"/>
      <c r="G29" s="522"/>
      <c r="H29" s="522"/>
      <c r="I29" s="522"/>
      <c r="J29" s="522"/>
      <c r="K29" s="522"/>
      <c r="L29" s="522"/>
      <c r="M29" s="522"/>
      <c r="N29" s="522"/>
      <c r="O29" s="522"/>
      <c r="P29" s="522"/>
      <c r="Q29" s="522"/>
      <c r="R29" s="522"/>
      <c r="S29" s="522"/>
      <c r="T29" s="522"/>
      <c r="U29" s="522"/>
      <c r="V29" s="522"/>
      <c r="W29" s="522"/>
      <c r="X29" s="522"/>
      <c r="Y29" s="522"/>
      <c r="Z29" s="522"/>
      <c r="AA29" s="522"/>
      <c r="AB29" s="522"/>
      <c r="AC29" s="522"/>
      <c r="AD29" s="522"/>
      <c r="AE29" s="522"/>
      <c r="AF29" s="522"/>
      <c r="AG29" s="522"/>
      <c r="AH29" s="522"/>
      <c r="AI29" s="522"/>
      <c r="AJ29" s="522"/>
      <c r="AK29" s="522"/>
      <c r="AL29" s="522"/>
      <c r="AM29" s="522"/>
      <c r="AN29" s="522"/>
      <c r="AO29" s="522"/>
      <c r="AP29" s="522"/>
      <c r="AQ29" s="522"/>
      <c r="AR29" s="537"/>
      <c r="AS29" s="521"/>
      <c r="AT29" s="522"/>
      <c r="AU29" s="522"/>
      <c r="AV29" s="522"/>
      <c r="AW29" s="522"/>
      <c r="AX29" s="522"/>
      <c r="AY29" s="522"/>
      <c r="AZ29" s="522"/>
      <c r="BA29" s="522"/>
      <c r="BB29" s="537"/>
      <c r="BC29" s="521" t="s">
        <v>107</v>
      </c>
      <c r="BD29" s="522"/>
      <c r="BE29" s="522"/>
      <c r="BF29" s="522"/>
      <c r="BG29" s="522"/>
      <c r="BH29" s="522"/>
      <c r="BI29" s="522"/>
      <c r="BJ29" s="522"/>
      <c r="BK29" s="522"/>
      <c r="BL29" s="522"/>
      <c r="BM29" s="537"/>
      <c r="BN29" s="521" t="s">
        <v>116</v>
      </c>
      <c r="BO29" s="522"/>
      <c r="BP29" s="522"/>
      <c r="BQ29" s="522"/>
      <c r="BR29" s="522"/>
      <c r="BS29" s="522"/>
      <c r="BT29" s="522"/>
      <c r="BU29" s="522"/>
      <c r="BV29" s="522"/>
      <c r="BW29" s="522"/>
      <c r="BX29" s="522"/>
      <c r="BY29" s="522"/>
      <c r="BZ29" s="522"/>
      <c r="CA29" s="522"/>
      <c r="CB29" s="522"/>
      <c r="CC29" s="137"/>
      <c r="CD29" s="137"/>
      <c r="CE29" s="137"/>
      <c r="CF29" s="424"/>
    </row>
    <row r="30" spans="1:98" x14ac:dyDescent="0.2">
      <c r="A30" s="531"/>
      <c r="B30" s="532"/>
      <c r="C30" s="532"/>
      <c r="D30" s="533"/>
      <c r="E30" s="531"/>
      <c r="F30" s="532"/>
      <c r="G30" s="532"/>
      <c r="H30" s="532"/>
      <c r="I30" s="532"/>
      <c r="J30" s="532"/>
      <c r="K30" s="532"/>
      <c r="L30" s="532"/>
      <c r="M30" s="532"/>
      <c r="N30" s="532"/>
      <c r="O30" s="532"/>
      <c r="P30" s="532"/>
      <c r="Q30" s="532"/>
      <c r="R30" s="532"/>
      <c r="S30" s="532"/>
      <c r="T30" s="532"/>
      <c r="U30" s="532"/>
      <c r="V30" s="532"/>
      <c r="W30" s="532"/>
      <c r="X30" s="532"/>
      <c r="Y30" s="532"/>
      <c r="Z30" s="532"/>
      <c r="AA30" s="532"/>
      <c r="AB30" s="532"/>
      <c r="AC30" s="532"/>
      <c r="AD30" s="532"/>
      <c r="AE30" s="532"/>
      <c r="AF30" s="532"/>
      <c r="AG30" s="532"/>
      <c r="AH30" s="532"/>
      <c r="AI30" s="532"/>
      <c r="AJ30" s="532"/>
      <c r="AK30" s="532"/>
      <c r="AL30" s="532"/>
      <c r="AM30" s="532"/>
      <c r="AN30" s="532"/>
      <c r="AO30" s="532"/>
      <c r="AP30" s="532"/>
      <c r="AQ30" s="532"/>
      <c r="AR30" s="533"/>
      <c r="AS30" s="531"/>
      <c r="AT30" s="532"/>
      <c r="AU30" s="532"/>
      <c r="AV30" s="532"/>
      <c r="AW30" s="532"/>
      <c r="AX30" s="532"/>
      <c r="AY30" s="532"/>
      <c r="AZ30" s="532"/>
      <c r="BA30" s="532"/>
      <c r="BB30" s="533"/>
      <c r="BC30" s="531" t="s">
        <v>17</v>
      </c>
      <c r="BD30" s="532"/>
      <c r="BE30" s="532"/>
      <c r="BF30" s="532"/>
      <c r="BG30" s="532"/>
      <c r="BH30" s="532"/>
      <c r="BI30" s="532"/>
      <c r="BJ30" s="532"/>
      <c r="BK30" s="532"/>
      <c r="BL30" s="532"/>
      <c r="BM30" s="533"/>
      <c r="BN30" s="531"/>
      <c r="BO30" s="532"/>
      <c r="BP30" s="532"/>
      <c r="BQ30" s="532"/>
      <c r="BR30" s="532"/>
      <c r="BS30" s="532"/>
      <c r="BT30" s="532"/>
      <c r="BU30" s="532"/>
      <c r="BV30" s="532"/>
      <c r="BW30" s="532"/>
      <c r="BX30" s="532"/>
      <c r="BY30" s="532"/>
      <c r="BZ30" s="532"/>
      <c r="CA30" s="532"/>
      <c r="CB30" s="532"/>
      <c r="CF30" s="425"/>
    </row>
    <row r="31" spans="1:98" ht="9.75" customHeight="1" x14ac:dyDescent="0.25">
      <c r="A31" s="554"/>
      <c r="B31" s="555"/>
      <c r="C31" s="555"/>
      <c r="D31" s="556"/>
      <c r="E31" s="554">
        <v>1</v>
      </c>
      <c r="F31" s="555"/>
      <c r="G31" s="555"/>
      <c r="H31" s="555"/>
      <c r="I31" s="555"/>
      <c r="J31" s="555"/>
      <c r="K31" s="555"/>
      <c r="L31" s="555"/>
      <c r="M31" s="555"/>
      <c r="N31" s="555"/>
      <c r="O31" s="555"/>
      <c r="P31" s="555"/>
      <c r="Q31" s="555"/>
      <c r="R31" s="555"/>
      <c r="S31" s="555"/>
      <c r="T31" s="555"/>
      <c r="U31" s="555"/>
      <c r="V31" s="555"/>
      <c r="W31" s="555"/>
      <c r="X31" s="555"/>
      <c r="Y31" s="555"/>
      <c r="Z31" s="555"/>
      <c r="AA31" s="555"/>
      <c r="AB31" s="555"/>
      <c r="AC31" s="555"/>
      <c r="AD31" s="555"/>
      <c r="AE31" s="555"/>
      <c r="AF31" s="555"/>
      <c r="AG31" s="555"/>
      <c r="AH31" s="555"/>
      <c r="AI31" s="555"/>
      <c r="AJ31" s="555"/>
      <c r="AK31" s="555"/>
      <c r="AL31" s="555"/>
      <c r="AM31" s="555"/>
      <c r="AN31" s="555"/>
      <c r="AO31" s="555"/>
      <c r="AP31" s="555"/>
      <c r="AQ31" s="555"/>
      <c r="AR31" s="556"/>
      <c r="AS31" s="554">
        <v>2</v>
      </c>
      <c r="AT31" s="555"/>
      <c r="AU31" s="555"/>
      <c r="AV31" s="555"/>
      <c r="AW31" s="555"/>
      <c r="AX31" s="555"/>
      <c r="AY31" s="555"/>
      <c r="AZ31" s="555"/>
      <c r="BA31" s="555"/>
      <c r="BB31" s="556"/>
      <c r="BC31" s="554">
        <v>3</v>
      </c>
      <c r="BD31" s="555"/>
      <c r="BE31" s="555"/>
      <c r="BF31" s="555"/>
      <c r="BG31" s="555"/>
      <c r="BH31" s="555"/>
      <c r="BI31" s="555"/>
      <c r="BJ31" s="555"/>
      <c r="BK31" s="555"/>
      <c r="BL31" s="555"/>
      <c r="BM31" s="556"/>
      <c r="BN31" s="554">
        <v>4</v>
      </c>
      <c r="BO31" s="555"/>
      <c r="BP31" s="555"/>
      <c r="BQ31" s="555"/>
      <c r="BR31" s="555"/>
      <c r="BS31" s="555"/>
      <c r="BT31" s="555"/>
      <c r="BU31" s="555"/>
      <c r="BV31" s="555"/>
      <c r="BW31" s="555"/>
      <c r="BX31" s="555"/>
      <c r="BY31" s="555"/>
      <c r="BZ31" s="555"/>
      <c r="CA31" s="555"/>
      <c r="CB31" s="555"/>
      <c r="CC31" s="68" t="s">
        <v>193</v>
      </c>
      <c r="CD31" s="68" t="s">
        <v>194</v>
      </c>
      <c r="CE31" s="68" t="s">
        <v>298</v>
      </c>
      <c r="CF31" s="418" t="s">
        <v>296</v>
      </c>
    </row>
    <row r="32" spans="1:98" s="14" customFormat="1" x14ac:dyDescent="0.2">
      <c r="A32" s="822">
        <v>1</v>
      </c>
      <c r="B32" s="823"/>
      <c r="C32" s="823"/>
      <c r="D32" s="824"/>
      <c r="E32" s="760" t="s">
        <v>432</v>
      </c>
      <c r="F32" s="761"/>
      <c r="G32" s="761"/>
      <c r="H32" s="761"/>
      <c r="I32" s="761"/>
      <c r="J32" s="761"/>
      <c r="K32" s="761"/>
      <c r="L32" s="761"/>
      <c r="M32" s="761"/>
      <c r="N32" s="761"/>
      <c r="O32" s="761"/>
      <c r="P32" s="761"/>
      <c r="Q32" s="761"/>
      <c r="R32" s="761"/>
      <c r="S32" s="761"/>
      <c r="T32" s="761"/>
      <c r="U32" s="761"/>
      <c r="V32" s="761"/>
      <c r="W32" s="761"/>
      <c r="X32" s="761"/>
      <c r="Y32" s="761"/>
      <c r="Z32" s="761"/>
      <c r="AA32" s="761"/>
      <c r="AB32" s="761"/>
      <c r="AC32" s="761"/>
      <c r="AD32" s="761"/>
      <c r="AE32" s="761"/>
      <c r="AF32" s="761"/>
      <c r="AG32" s="761"/>
      <c r="AH32" s="761"/>
      <c r="AI32" s="761"/>
      <c r="AJ32" s="761"/>
      <c r="AK32" s="761"/>
      <c r="AL32" s="761"/>
      <c r="AM32" s="761"/>
      <c r="AN32" s="761"/>
      <c r="AO32" s="761"/>
      <c r="AP32" s="761"/>
      <c r="AQ32" s="761"/>
      <c r="AR32" s="762"/>
      <c r="AS32" s="747"/>
      <c r="AT32" s="748"/>
      <c r="AU32" s="748"/>
      <c r="AV32" s="748"/>
      <c r="AW32" s="748"/>
      <c r="AX32" s="748"/>
      <c r="AY32" s="748"/>
      <c r="AZ32" s="748"/>
      <c r="BA32" s="748"/>
      <c r="BB32" s="749"/>
      <c r="BC32" s="747"/>
      <c r="BD32" s="748"/>
      <c r="BE32" s="748"/>
      <c r="BF32" s="748"/>
      <c r="BG32" s="748"/>
      <c r="BH32" s="748"/>
      <c r="BI32" s="748"/>
      <c r="BJ32" s="748"/>
      <c r="BK32" s="748"/>
      <c r="BL32" s="748"/>
      <c r="BM32" s="749"/>
      <c r="BN32" s="763">
        <f>7000-7000</f>
        <v>0</v>
      </c>
      <c r="BO32" s="764"/>
      <c r="BP32" s="764"/>
      <c r="BQ32" s="764"/>
      <c r="BR32" s="764"/>
      <c r="BS32" s="764"/>
      <c r="BT32" s="764"/>
      <c r="BU32" s="764"/>
      <c r="BV32" s="764"/>
      <c r="BW32" s="764"/>
      <c r="BX32" s="764"/>
      <c r="BY32" s="764"/>
      <c r="BZ32" s="764"/>
      <c r="CA32" s="764"/>
      <c r="CB32" s="764"/>
      <c r="CC32" s="69"/>
      <c r="CD32" s="69"/>
      <c r="CE32" s="69">
        <f>BN32-CC32</f>
        <v>0</v>
      </c>
      <c r="CF32" s="427">
        <f>BN32-CC32</f>
        <v>0</v>
      </c>
    </row>
    <row r="33" spans="1:98" s="14" customFormat="1" hidden="1" x14ac:dyDescent="0.2">
      <c r="A33" s="822">
        <v>2</v>
      </c>
      <c r="B33" s="823"/>
      <c r="C33" s="823"/>
      <c r="D33" s="824"/>
      <c r="E33" s="760"/>
      <c r="F33" s="761"/>
      <c r="G33" s="761"/>
      <c r="H33" s="761"/>
      <c r="I33" s="761"/>
      <c r="J33" s="761"/>
      <c r="K33" s="761"/>
      <c r="L33" s="761"/>
      <c r="M33" s="761"/>
      <c r="N33" s="761"/>
      <c r="O33" s="761"/>
      <c r="P33" s="761"/>
      <c r="Q33" s="761"/>
      <c r="R33" s="761"/>
      <c r="S33" s="761"/>
      <c r="T33" s="761"/>
      <c r="U33" s="761"/>
      <c r="V33" s="761"/>
      <c r="W33" s="761"/>
      <c r="X33" s="761"/>
      <c r="Y33" s="761"/>
      <c r="Z33" s="761"/>
      <c r="AA33" s="761"/>
      <c r="AB33" s="761"/>
      <c r="AC33" s="761"/>
      <c r="AD33" s="761"/>
      <c r="AE33" s="761"/>
      <c r="AF33" s="761"/>
      <c r="AG33" s="761"/>
      <c r="AH33" s="761"/>
      <c r="AI33" s="761"/>
      <c r="AJ33" s="761"/>
      <c r="AK33" s="761"/>
      <c r="AL33" s="761"/>
      <c r="AM33" s="761"/>
      <c r="AN33" s="761"/>
      <c r="AO33" s="761"/>
      <c r="AP33" s="761"/>
      <c r="AQ33" s="761"/>
      <c r="AR33" s="762"/>
      <c r="AS33" s="747"/>
      <c r="AT33" s="748"/>
      <c r="AU33" s="748"/>
      <c r="AV33" s="748"/>
      <c r="AW33" s="748"/>
      <c r="AX33" s="748"/>
      <c r="AY33" s="748"/>
      <c r="AZ33" s="748"/>
      <c r="BA33" s="748"/>
      <c r="BB33" s="749"/>
      <c r="BC33" s="747"/>
      <c r="BD33" s="748"/>
      <c r="BE33" s="748"/>
      <c r="BF33" s="748"/>
      <c r="BG33" s="748"/>
      <c r="BH33" s="748"/>
      <c r="BI33" s="748"/>
      <c r="BJ33" s="748"/>
      <c r="BK33" s="748"/>
      <c r="BL33" s="748"/>
      <c r="BM33" s="749"/>
      <c r="BN33" s="763"/>
      <c r="BO33" s="764"/>
      <c r="BP33" s="764"/>
      <c r="BQ33" s="764"/>
      <c r="BR33" s="764"/>
      <c r="BS33" s="764"/>
      <c r="BT33" s="764"/>
      <c r="BU33" s="764"/>
      <c r="BV33" s="764"/>
      <c r="BW33" s="764"/>
      <c r="BX33" s="764"/>
      <c r="BY33" s="764"/>
      <c r="BZ33" s="764"/>
      <c r="CA33" s="764"/>
      <c r="CB33" s="765"/>
      <c r="CC33" s="69"/>
      <c r="CD33" s="69"/>
      <c r="CE33" s="69">
        <f>CC33-CD33</f>
        <v>0</v>
      </c>
      <c r="CF33" s="419">
        <f>BN33-CC33</f>
        <v>0</v>
      </c>
    </row>
    <row r="34" spans="1:98" s="155" customFormat="1" ht="13.5" thickBot="1" x14ac:dyDescent="0.25">
      <c r="A34" s="811"/>
      <c r="B34" s="812"/>
      <c r="C34" s="812"/>
      <c r="D34" s="813"/>
      <c r="E34" s="811" t="s">
        <v>10</v>
      </c>
      <c r="F34" s="812"/>
      <c r="G34" s="812"/>
      <c r="H34" s="812"/>
      <c r="I34" s="812"/>
      <c r="J34" s="812"/>
      <c r="K34" s="812"/>
      <c r="L34" s="812"/>
      <c r="M34" s="812"/>
      <c r="N34" s="812"/>
      <c r="O34" s="812"/>
      <c r="P34" s="812"/>
      <c r="Q34" s="812"/>
      <c r="R34" s="812"/>
      <c r="S34" s="812"/>
      <c r="T34" s="812"/>
      <c r="U34" s="812"/>
      <c r="V34" s="812"/>
      <c r="W34" s="812"/>
      <c r="X34" s="812"/>
      <c r="Y34" s="812"/>
      <c r="Z34" s="812"/>
      <c r="AA34" s="812"/>
      <c r="AB34" s="812"/>
      <c r="AC34" s="812"/>
      <c r="AD34" s="812"/>
      <c r="AE34" s="812"/>
      <c r="AF34" s="812"/>
      <c r="AG34" s="812"/>
      <c r="AH34" s="812"/>
      <c r="AI34" s="812"/>
      <c r="AJ34" s="812"/>
      <c r="AK34" s="812"/>
      <c r="AL34" s="812"/>
      <c r="AM34" s="812"/>
      <c r="AN34" s="812"/>
      <c r="AO34" s="812"/>
      <c r="AP34" s="812"/>
      <c r="AQ34" s="812"/>
      <c r="AR34" s="813"/>
      <c r="AS34" s="814"/>
      <c r="AT34" s="815"/>
      <c r="AU34" s="815"/>
      <c r="AV34" s="815"/>
      <c r="AW34" s="815"/>
      <c r="AX34" s="815"/>
      <c r="AY34" s="815"/>
      <c r="AZ34" s="815"/>
      <c r="BA34" s="815"/>
      <c r="BB34" s="816"/>
      <c r="BC34" s="817"/>
      <c r="BD34" s="818"/>
      <c r="BE34" s="818"/>
      <c r="BF34" s="818"/>
      <c r="BG34" s="818"/>
      <c r="BH34" s="818"/>
      <c r="BI34" s="818"/>
      <c r="BJ34" s="818"/>
      <c r="BK34" s="818"/>
      <c r="BL34" s="818"/>
      <c r="BM34" s="819"/>
      <c r="BN34" s="820">
        <f>SUM(BN32:BW33)</f>
        <v>0</v>
      </c>
      <c r="BO34" s="821"/>
      <c r="BP34" s="821"/>
      <c r="BQ34" s="821"/>
      <c r="BR34" s="821"/>
      <c r="BS34" s="821"/>
      <c r="BT34" s="821"/>
      <c r="BU34" s="821"/>
      <c r="BV34" s="821"/>
      <c r="BW34" s="821"/>
      <c r="BX34" s="70"/>
      <c r="BY34" s="70"/>
      <c r="BZ34" s="70"/>
      <c r="CA34" s="70"/>
      <c r="CB34" s="389"/>
      <c r="CC34" s="158"/>
      <c r="CD34" s="158"/>
      <c r="CE34" s="158"/>
      <c r="CF34" s="421"/>
      <c r="CG34" s="159"/>
      <c r="CH34" s="159"/>
      <c r="CI34" s="159"/>
      <c r="CJ34" s="159"/>
      <c r="CK34" s="159"/>
      <c r="CL34" s="159"/>
      <c r="CM34" s="159"/>
      <c r="CN34" s="159"/>
      <c r="CO34" s="159"/>
      <c r="CP34" s="159"/>
      <c r="CQ34" s="159"/>
      <c r="CR34" s="159"/>
      <c r="CS34" s="159"/>
      <c r="CT34" s="159"/>
    </row>
    <row r="35" spans="1:98" s="3" customFormat="1" ht="15.75" x14ac:dyDescent="0.25">
      <c r="A35" s="518" t="s">
        <v>454</v>
      </c>
      <c r="B35" s="518"/>
      <c r="C35" s="518"/>
      <c r="D35" s="518"/>
      <c r="E35" s="518"/>
      <c r="F35" s="518"/>
      <c r="G35" s="518"/>
      <c r="H35" s="518"/>
      <c r="I35" s="518"/>
      <c r="J35" s="518"/>
      <c r="K35" s="518"/>
      <c r="L35" s="518"/>
      <c r="M35" s="518"/>
      <c r="N35" s="518"/>
      <c r="O35" s="518"/>
      <c r="P35" s="518"/>
      <c r="Q35" s="518"/>
      <c r="R35" s="518"/>
      <c r="S35" s="518"/>
      <c r="T35" s="518"/>
      <c r="U35" s="518"/>
      <c r="V35" s="518"/>
      <c r="W35" s="518"/>
      <c r="X35" s="518"/>
      <c r="Y35" s="518"/>
      <c r="Z35" s="518"/>
      <c r="AA35" s="518"/>
      <c r="AB35" s="518"/>
      <c r="AC35" s="518"/>
      <c r="AD35" s="518"/>
      <c r="AE35" s="518"/>
      <c r="AF35" s="518"/>
      <c r="AG35" s="518"/>
      <c r="AH35" s="518"/>
      <c r="AI35" s="518"/>
      <c r="AJ35" s="518"/>
      <c r="AK35" s="518"/>
      <c r="AL35" s="518"/>
      <c r="AM35" s="518"/>
      <c r="AN35" s="518"/>
      <c r="AO35" s="518"/>
      <c r="AP35" s="518"/>
      <c r="AQ35" s="518"/>
      <c r="AR35" s="518"/>
      <c r="AS35" s="518"/>
      <c r="AT35" s="518"/>
      <c r="AU35" s="518"/>
      <c r="AV35" s="518"/>
      <c r="AW35" s="518"/>
      <c r="AX35" s="518"/>
      <c r="AY35" s="518"/>
      <c r="AZ35" s="518"/>
      <c r="BA35" s="518"/>
      <c r="BB35" s="518"/>
      <c r="BC35" s="518"/>
      <c r="BD35" s="518"/>
      <c r="BE35" s="518"/>
      <c r="BF35" s="518"/>
      <c r="BG35" s="518"/>
      <c r="BH35" s="518"/>
      <c r="BI35" s="518"/>
      <c r="BJ35" s="518"/>
      <c r="BK35" s="518"/>
      <c r="BL35" s="518"/>
      <c r="BM35" s="518"/>
      <c r="BN35" s="518"/>
      <c r="BO35" s="518"/>
      <c r="BP35" s="518"/>
      <c r="BQ35" s="518"/>
      <c r="BR35" s="518"/>
      <c r="BS35" s="518"/>
      <c r="BT35" s="518"/>
      <c r="BU35" s="518"/>
      <c r="BV35" s="518"/>
      <c r="BW35" s="518"/>
      <c r="BX35" s="518"/>
      <c r="BY35" s="518"/>
      <c r="BZ35" s="518"/>
      <c r="CA35" s="518"/>
      <c r="CB35" s="518"/>
      <c r="CC35" s="135"/>
      <c r="CD35" s="135"/>
      <c r="CE35" s="135"/>
      <c r="CF35" s="422"/>
    </row>
    <row r="36" spans="1:98" s="3" customFormat="1" ht="7.5" customHeight="1" x14ac:dyDescent="0.25">
      <c r="A36" s="518"/>
      <c r="B36" s="518"/>
      <c r="C36" s="518"/>
      <c r="D36" s="518"/>
      <c r="E36" s="518"/>
      <c r="F36" s="518"/>
      <c r="G36" s="518"/>
      <c r="H36" s="518"/>
      <c r="I36" s="518"/>
      <c r="J36" s="518"/>
      <c r="K36" s="518"/>
      <c r="L36" s="518"/>
      <c r="M36" s="518"/>
      <c r="N36" s="518"/>
      <c r="O36" s="518"/>
      <c r="P36" s="518"/>
      <c r="Q36" s="518"/>
      <c r="R36" s="518"/>
      <c r="S36" s="518"/>
      <c r="T36" s="518"/>
      <c r="U36" s="518"/>
      <c r="V36" s="518"/>
      <c r="W36" s="518"/>
      <c r="X36" s="518"/>
      <c r="Y36" s="518"/>
      <c r="Z36" s="518"/>
      <c r="AA36" s="518"/>
      <c r="AB36" s="518"/>
      <c r="AC36" s="518"/>
      <c r="AD36" s="518"/>
      <c r="AE36" s="518"/>
      <c r="AF36" s="518"/>
      <c r="AG36" s="518"/>
      <c r="AH36" s="518"/>
      <c r="AI36" s="518"/>
      <c r="AJ36" s="518"/>
      <c r="AK36" s="518"/>
      <c r="AL36" s="518"/>
      <c r="AM36" s="518"/>
      <c r="AN36" s="518"/>
      <c r="AO36" s="518"/>
      <c r="AP36" s="518"/>
      <c r="AQ36" s="518"/>
      <c r="AR36" s="518"/>
      <c r="AS36" s="518"/>
      <c r="AT36" s="518"/>
      <c r="AU36" s="518"/>
      <c r="AV36" s="518"/>
      <c r="AW36" s="518"/>
      <c r="AX36" s="518"/>
      <c r="AY36" s="518"/>
      <c r="AZ36" s="518"/>
      <c r="BA36" s="518"/>
      <c r="BB36" s="518"/>
      <c r="BC36" s="518"/>
      <c r="BD36" s="518"/>
      <c r="BE36" s="518"/>
      <c r="BF36" s="518"/>
      <c r="BG36" s="518"/>
      <c r="BH36" s="518"/>
      <c r="BI36" s="518"/>
      <c r="BJ36" s="518"/>
      <c r="BK36" s="518"/>
      <c r="BL36" s="518"/>
      <c r="BM36" s="518"/>
      <c r="BN36" s="518"/>
      <c r="BO36" s="518"/>
      <c r="BP36" s="518"/>
      <c r="BQ36" s="518"/>
      <c r="BR36" s="518"/>
      <c r="BS36" s="518"/>
      <c r="BT36" s="518"/>
      <c r="BU36" s="518"/>
      <c r="BV36" s="518"/>
      <c r="BW36" s="518"/>
      <c r="BX36" s="518"/>
      <c r="BY36" s="518"/>
      <c r="BZ36" s="518"/>
      <c r="CA36" s="518"/>
      <c r="CB36" s="518"/>
      <c r="CC36" s="135"/>
      <c r="CD36" s="135"/>
      <c r="CE36" s="135"/>
      <c r="CF36" s="422"/>
    </row>
    <row r="37" spans="1:98" s="6" customFormat="1" ht="2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136"/>
      <c r="CD37" s="136"/>
      <c r="CE37" s="136"/>
      <c r="CF37" s="423"/>
    </row>
    <row r="38" spans="1:98" x14ac:dyDescent="0.2">
      <c r="A38" s="519" t="s">
        <v>5</v>
      </c>
      <c r="B38" s="520"/>
      <c r="C38" s="520"/>
      <c r="D38" s="523"/>
      <c r="E38" s="519" t="s">
        <v>13</v>
      </c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520"/>
      <c r="AL38" s="520"/>
      <c r="AM38" s="520"/>
      <c r="AN38" s="520"/>
      <c r="AO38" s="520"/>
      <c r="AP38" s="520"/>
      <c r="AQ38" s="520"/>
      <c r="AR38" s="523"/>
      <c r="AS38" s="519" t="s">
        <v>18</v>
      </c>
      <c r="AT38" s="520"/>
      <c r="AU38" s="520"/>
      <c r="AV38" s="520"/>
      <c r="AW38" s="520"/>
      <c r="AX38" s="520"/>
      <c r="AY38" s="520"/>
      <c r="AZ38" s="520"/>
      <c r="BA38" s="520"/>
      <c r="BB38" s="523"/>
      <c r="BC38" s="519" t="s">
        <v>106</v>
      </c>
      <c r="BD38" s="520"/>
      <c r="BE38" s="520"/>
      <c r="BF38" s="520"/>
      <c r="BG38" s="520"/>
      <c r="BH38" s="520"/>
      <c r="BI38" s="520"/>
      <c r="BJ38" s="520"/>
      <c r="BK38" s="520"/>
      <c r="BL38" s="520"/>
      <c r="BM38" s="523"/>
      <c r="BN38" s="519" t="s">
        <v>22</v>
      </c>
      <c r="BO38" s="520"/>
      <c r="BP38" s="520"/>
      <c r="BQ38" s="520"/>
      <c r="BR38" s="520"/>
      <c r="BS38" s="520"/>
      <c r="BT38" s="520"/>
      <c r="BU38" s="520"/>
      <c r="BV38" s="520"/>
      <c r="BW38" s="520"/>
      <c r="BX38" s="520"/>
      <c r="BY38" s="520"/>
      <c r="BZ38" s="520"/>
      <c r="CA38" s="520"/>
      <c r="CB38" s="520"/>
      <c r="CC38" s="137"/>
      <c r="CD38" s="137"/>
      <c r="CE38" s="137"/>
      <c r="CF38" s="424"/>
    </row>
    <row r="39" spans="1:98" x14ac:dyDescent="0.2">
      <c r="A39" s="521" t="s">
        <v>6</v>
      </c>
      <c r="B39" s="522"/>
      <c r="C39" s="522"/>
      <c r="D39" s="537"/>
      <c r="E39" s="521"/>
      <c r="F39" s="522"/>
      <c r="G39" s="522"/>
      <c r="H39" s="522"/>
      <c r="I39" s="522"/>
      <c r="J39" s="522"/>
      <c r="K39" s="522"/>
      <c r="L39" s="522"/>
      <c r="M39" s="522"/>
      <c r="N39" s="522"/>
      <c r="O39" s="522"/>
      <c r="P39" s="522"/>
      <c r="Q39" s="522"/>
      <c r="R39" s="522"/>
      <c r="S39" s="522"/>
      <c r="T39" s="522"/>
      <c r="U39" s="522"/>
      <c r="V39" s="522"/>
      <c r="W39" s="522"/>
      <c r="X39" s="522"/>
      <c r="Y39" s="522"/>
      <c r="Z39" s="522"/>
      <c r="AA39" s="522"/>
      <c r="AB39" s="522"/>
      <c r="AC39" s="522"/>
      <c r="AD39" s="522"/>
      <c r="AE39" s="522"/>
      <c r="AF39" s="522"/>
      <c r="AG39" s="522"/>
      <c r="AH39" s="522"/>
      <c r="AI39" s="522"/>
      <c r="AJ39" s="522"/>
      <c r="AK39" s="522"/>
      <c r="AL39" s="522"/>
      <c r="AM39" s="522"/>
      <c r="AN39" s="522"/>
      <c r="AO39" s="522"/>
      <c r="AP39" s="522"/>
      <c r="AQ39" s="522"/>
      <c r="AR39" s="537"/>
      <c r="AS39" s="521"/>
      <c r="AT39" s="522"/>
      <c r="AU39" s="522"/>
      <c r="AV39" s="522"/>
      <c r="AW39" s="522"/>
      <c r="AX39" s="522"/>
      <c r="AY39" s="522"/>
      <c r="AZ39" s="522"/>
      <c r="BA39" s="522"/>
      <c r="BB39" s="537"/>
      <c r="BC39" s="521" t="s">
        <v>107</v>
      </c>
      <c r="BD39" s="522"/>
      <c r="BE39" s="522"/>
      <c r="BF39" s="522"/>
      <c r="BG39" s="522"/>
      <c r="BH39" s="522"/>
      <c r="BI39" s="522"/>
      <c r="BJ39" s="522"/>
      <c r="BK39" s="522"/>
      <c r="BL39" s="522"/>
      <c r="BM39" s="537"/>
      <c r="BN39" s="521" t="s">
        <v>116</v>
      </c>
      <c r="BO39" s="522"/>
      <c r="BP39" s="522"/>
      <c r="BQ39" s="522"/>
      <c r="BR39" s="522"/>
      <c r="BS39" s="522"/>
      <c r="BT39" s="522"/>
      <c r="BU39" s="522"/>
      <c r="BV39" s="522"/>
      <c r="BW39" s="522"/>
      <c r="BX39" s="522"/>
      <c r="BY39" s="522"/>
      <c r="BZ39" s="522"/>
      <c r="CA39" s="522"/>
      <c r="CB39" s="522"/>
      <c r="CC39" s="137"/>
      <c r="CD39" s="137"/>
      <c r="CE39" s="137"/>
      <c r="CF39" s="424"/>
    </row>
    <row r="40" spans="1:98" x14ac:dyDescent="0.2">
      <c r="A40" s="531"/>
      <c r="B40" s="532"/>
      <c r="C40" s="532"/>
      <c r="D40" s="533"/>
      <c r="E40" s="531"/>
      <c r="F40" s="532"/>
      <c r="G40" s="532"/>
      <c r="H40" s="532"/>
      <c r="I40" s="532"/>
      <c r="J40" s="532"/>
      <c r="K40" s="532"/>
      <c r="L40" s="532"/>
      <c r="M40" s="532"/>
      <c r="N40" s="532"/>
      <c r="O40" s="532"/>
      <c r="P40" s="532"/>
      <c r="Q40" s="532"/>
      <c r="R40" s="532"/>
      <c r="S40" s="532"/>
      <c r="T40" s="532"/>
      <c r="U40" s="532"/>
      <c r="V40" s="532"/>
      <c r="W40" s="532"/>
      <c r="X40" s="532"/>
      <c r="Y40" s="532"/>
      <c r="Z40" s="532"/>
      <c r="AA40" s="532"/>
      <c r="AB40" s="532"/>
      <c r="AC40" s="532"/>
      <c r="AD40" s="532"/>
      <c r="AE40" s="532"/>
      <c r="AF40" s="532"/>
      <c r="AG40" s="532"/>
      <c r="AH40" s="532"/>
      <c r="AI40" s="532"/>
      <c r="AJ40" s="532"/>
      <c r="AK40" s="532"/>
      <c r="AL40" s="532"/>
      <c r="AM40" s="532"/>
      <c r="AN40" s="532"/>
      <c r="AO40" s="532"/>
      <c r="AP40" s="532"/>
      <c r="AQ40" s="532"/>
      <c r="AR40" s="533"/>
      <c r="AS40" s="531"/>
      <c r="AT40" s="532"/>
      <c r="AU40" s="532"/>
      <c r="AV40" s="532"/>
      <c r="AW40" s="532"/>
      <c r="AX40" s="532"/>
      <c r="AY40" s="532"/>
      <c r="AZ40" s="532"/>
      <c r="BA40" s="532"/>
      <c r="BB40" s="533"/>
      <c r="BC40" s="531" t="s">
        <v>17</v>
      </c>
      <c r="BD40" s="532"/>
      <c r="BE40" s="532"/>
      <c r="BF40" s="532"/>
      <c r="BG40" s="532"/>
      <c r="BH40" s="532"/>
      <c r="BI40" s="532"/>
      <c r="BJ40" s="532"/>
      <c r="BK40" s="532"/>
      <c r="BL40" s="532"/>
      <c r="BM40" s="533"/>
      <c r="BN40" s="531"/>
      <c r="BO40" s="532"/>
      <c r="BP40" s="532"/>
      <c r="BQ40" s="532"/>
      <c r="BR40" s="532"/>
      <c r="BS40" s="532"/>
      <c r="BT40" s="532"/>
      <c r="BU40" s="532"/>
      <c r="BV40" s="532"/>
      <c r="BW40" s="532"/>
      <c r="BX40" s="532"/>
      <c r="BY40" s="532"/>
      <c r="BZ40" s="532"/>
      <c r="CA40" s="532"/>
      <c r="CB40" s="533"/>
      <c r="CF40" s="425"/>
    </row>
    <row r="41" spans="1:98" ht="9.75" customHeight="1" x14ac:dyDescent="0.25">
      <c r="A41" s="554"/>
      <c r="B41" s="555"/>
      <c r="C41" s="555"/>
      <c r="D41" s="556"/>
      <c r="E41" s="554">
        <v>1</v>
      </c>
      <c r="F41" s="555"/>
      <c r="G41" s="555"/>
      <c r="H41" s="555"/>
      <c r="I41" s="555"/>
      <c r="J41" s="555"/>
      <c r="K41" s="555"/>
      <c r="L41" s="555"/>
      <c r="M41" s="555"/>
      <c r="N41" s="555"/>
      <c r="O41" s="555"/>
      <c r="P41" s="555"/>
      <c r="Q41" s="555"/>
      <c r="R41" s="555"/>
      <c r="S41" s="555"/>
      <c r="T41" s="555"/>
      <c r="U41" s="555"/>
      <c r="V41" s="555"/>
      <c r="W41" s="555"/>
      <c r="X41" s="555"/>
      <c r="Y41" s="555"/>
      <c r="Z41" s="555"/>
      <c r="AA41" s="555"/>
      <c r="AB41" s="555"/>
      <c r="AC41" s="555"/>
      <c r="AD41" s="555"/>
      <c r="AE41" s="555"/>
      <c r="AF41" s="555"/>
      <c r="AG41" s="555"/>
      <c r="AH41" s="555"/>
      <c r="AI41" s="555"/>
      <c r="AJ41" s="555"/>
      <c r="AK41" s="555"/>
      <c r="AL41" s="555"/>
      <c r="AM41" s="555"/>
      <c r="AN41" s="555"/>
      <c r="AO41" s="555"/>
      <c r="AP41" s="555"/>
      <c r="AQ41" s="555"/>
      <c r="AR41" s="556"/>
      <c r="AS41" s="554">
        <v>2</v>
      </c>
      <c r="AT41" s="555"/>
      <c r="AU41" s="555"/>
      <c r="AV41" s="555"/>
      <c r="AW41" s="555"/>
      <c r="AX41" s="555"/>
      <c r="AY41" s="555"/>
      <c r="AZ41" s="555"/>
      <c r="BA41" s="555"/>
      <c r="BB41" s="556"/>
      <c r="BC41" s="554">
        <v>3</v>
      </c>
      <c r="BD41" s="555"/>
      <c r="BE41" s="555"/>
      <c r="BF41" s="555"/>
      <c r="BG41" s="555"/>
      <c r="BH41" s="555"/>
      <c r="BI41" s="555"/>
      <c r="BJ41" s="555"/>
      <c r="BK41" s="555"/>
      <c r="BL41" s="555"/>
      <c r="BM41" s="556"/>
      <c r="BN41" s="554">
        <v>4</v>
      </c>
      <c r="BO41" s="555"/>
      <c r="BP41" s="555"/>
      <c r="BQ41" s="555"/>
      <c r="BR41" s="555"/>
      <c r="BS41" s="555"/>
      <c r="BT41" s="555"/>
      <c r="BU41" s="555"/>
      <c r="BV41" s="555"/>
      <c r="BW41" s="555"/>
      <c r="BX41" s="555"/>
      <c r="BY41" s="555"/>
      <c r="BZ41" s="555"/>
      <c r="CA41" s="555"/>
      <c r="CB41" s="556"/>
      <c r="CC41" s="68" t="s">
        <v>193</v>
      </c>
      <c r="CD41" s="68" t="s">
        <v>194</v>
      </c>
      <c r="CE41" s="68" t="s">
        <v>298</v>
      </c>
      <c r="CF41" s="418" t="s">
        <v>296</v>
      </c>
    </row>
    <row r="42" spans="1:98" s="14" customFormat="1" x14ac:dyDescent="0.2">
      <c r="A42" s="822">
        <v>1</v>
      </c>
      <c r="B42" s="823"/>
      <c r="C42" s="823"/>
      <c r="D42" s="824"/>
      <c r="E42" s="760" t="s">
        <v>455</v>
      </c>
      <c r="F42" s="761"/>
      <c r="G42" s="761"/>
      <c r="H42" s="761"/>
      <c r="I42" s="761"/>
      <c r="J42" s="761"/>
      <c r="K42" s="761"/>
      <c r="L42" s="761"/>
      <c r="M42" s="761"/>
      <c r="N42" s="761"/>
      <c r="O42" s="761"/>
      <c r="P42" s="761"/>
      <c r="Q42" s="761"/>
      <c r="R42" s="761"/>
      <c r="S42" s="761"/>
      <c r="T42" s="761"/>
      <c r="U42" s="761"/>
      <c r="V42" s="761"/>
      <c r="W42" s="761"/>
      <c r="X42" s="761"/>
      <c r="Y42" s="761"/>
      <c r="Z42" s="761"/>
      <c r="AA42" s="761"/>
      <c r="AB42" s="761"/>
      <c r="AC42" s="761"/>
      <c r="AD42" s="761"/>
      <c r="AE42" s="761"/>
      <c r="AF42" s="761"/>
      <c r="AG42" s="761"/>
      <c r="AH42" s="761"/>
      <c r="AI42" s="761"/>
      <c r="AJ42" s="761"/>
      <c r="AK42" s="761"/>
      <c r="AL42" s="761"/>
      <c r="AM42" s="761"/>
      <c r="AN42" s="761"/>
      <c r="AO42" s="761"/>
      <c r="AP42" s="761"/>
      <c r="AQ42" s="761"/>
      <c r="AR42" s="762"/>
      <c r="AS42" s="747"/>
      <c r="AT42" s="748"/>
      <c r="AU42" s="748"/>
      <c r="AV42" s="748"/>
      <c r="AW42" s="748"/>
      <c r="AX42" s="748"/>
      <c r="AY42" s="748"/>
      <c r="AZ42" s="748"/>
      <c r="BA42" s="748"/>
      <c r="BB42" s="749"/>
      <c r="BC42" s="747"/>
      <c r="BD42" s="748"/>
      <c r="BE42" s="748"/>
      <c r="BF42" s="748"/>
      <c r="BG42" s="748"/>
      <c r="BH42" s="748"/>
      <c r="BI42" s="748"/>
      <c r="BJ42" s="748"/>
      <c r="BK42" s="748"/>
      <c r="BL42" s="748"/>
      <c r="BM42" s="749"/>
      <c r="BN42" s="763"/>
      <c r="BO42" s="764"/>
      <c r="BP42" s="764"/>
      <c r="BQ42" s="764"/>
      <c r="BR42" s="764"/>
      <c r="BS42" s="764"/>
      <c r="BT42" s="764"/>
      <c r="BU42" s="764"/>
      <c r="BV42" s="764"/>
      <c r="BW42" s="764"/>
      <c r="BX42" s="764"/>
      <c r="BY42" s="764"/>
      <c r="BZ42" s="764"/>
      <c r="CA42" s="764"/>
      <c r="CB42" s="765"/>
      <c r="CC42" s="69"/>
      <c r="CD42" s="69"/>
      <c r="CE42" s="69">
        <f>BN42-CC42</f>
        <v>0</v>
      </c>
      <c r="CF42" s="427">
        <f>BN42-CC42</f>
        <v>0</v>
      </c>
    </row>
    <row r="43" spans="1:98" s="14" customFormat="1" ht="12.75" hidden="1" customHeight="1" x14ac:dyDescent="0.2">
      <c r="A43" s="822">
        <v>2</v>
      </c>
      <c r="B43" s="823"/>
      <c r="C43" s="823"/>
      <c r="D43" s="824"/>
      <c r="E43" s="760"/>
      <c r="F43" s="761"/>
      <c r="G43" s="761"/>
      <c r="H43" s="761"/>
      <c r="I43" s="761"/>
      <c r="J43" s="761"/>
      <c r="K43" s="761"/>
      <c r="L43" s="761"/>
      <c r="M43" s="761"/>
      <c r="N43" s="761"/>
      <c r="O43" s="761"/>
      <c r="P43" s="761"/>
      <c r="Q43" s="761"/>
      <c r="R43" s="761"/>
      <c r="S43" s="761"/>
      <c r="T43" s="761"/>
      <c r="U43" s="761"/>
      <c r="V43" s="761"/>
      <c r="W43" s="761"/>
      <c r="X43" s="761"/>
      <c r="Y43" s="761"/>
      <c r="Z43" s="761"/>
      <c r="AA43" s="761"/>
      <c r="AB43" s="761"/>
      <c r="AC43" s="761"/>
      <c r="AD43" s="761"/>
      <c r="AE43" s="761"/>
      <c r="AF43" s="761"/>
      <c r="AG43" s="761"/>
      <c r="AH43" s="761"/>
      <c r="AI43" s="761"/>
      <c r="AJ43" s="761"/>
      <c r="AK43" s="761"/>
      <c r="AL43" s="761"/>
      <c r="AM43" s="761"/>
      <c r="AN43" s="761"/>
      <c r="AO43" s="761"/>
      <c r="AP43" s="761"/>
      <c r="AQ43" s="761"/>
      <c r="AR43" s="762"/>
      <c r="AS43" s="747"/>
      <c r="AT43" s="748"/>
      <c r="AU43" s="748"/>
      <c r="AV43" s="748"/>
      <c r="AW43" s="748"/>
      <c r="AX43" s="748"/>
      <c r="AY43" s="748"/>
      <c r="AZ43" s="748"/>
      <c r="BA43" s="748"/>
      <c r="BB43" s="749"/>
      <c r="BC43" s="747"/>
      <c r="BD43" s="748"/>
      <c r="BE43" s="748"/>
      <c r="BF43" s="748"/>
      <c r="BG43" s="748"/>
      <c r="BH43" s="748"/>
      <c r="BI43" s="748"/>
      <c r="BJ43" s="748"/>
      <c r="BK43" s="748"/>
      <c r="BL43" s="748"/>
      <c r="BM43" s="749"/>
      <c r="BN43" s="763"/>
      <c r="BO43" s="764"/>
      <c r="BP43" s="764"/>
      <c r="BQ43" s="764"/>
      <c r="BR43" s="764"/>
      <c r="BS43" s="764"/>
      <c r="BT43" s="764"/>
      <c r="BU43" s="764"/>
      <c r="BV43" s="764"/>
      <c r="BW43" s="764"/>
      <c r="BX43" s="764"/>
      <c r="BY43" s="764"/>
      <c r="BZ43" s="764"/>
      <c r="CA43" s="764"/>
      <c r="CB43" s="765"/>
      <c r="CC43" s="69"/>
      <c r="CD43" s="69"/>
      <c r="CE43" s="69">
        <f>CC43-CD43</f>
        <v>0</v>
      </c>
      <c r="CF43" s="419">
        <f>BN43-CC43</f>
        <v>0</v>
      </c>
    </row>
    <row r="44" spans="1:98" s="155" customFormat="1" ht="13.5" thickBot="1" x14ac:dyDescent="0.25">
      <c r="A44" s="811"/>
      <c r="B44" s="812"/>
      <c r="C44" s="812"/>
      <c r="D44" s="813"/>
      <c r="E44" s="811" t="s">
        <v>10</v>
      </c>
      <c r="F44" s="812"/>
      <c r="G44" s="812"/>
      <c r="H44" s="812"/>
      <c r="I44" s="812"/>
      <c r="J44" s="812"/>
      <c r="K44" s="812"/>
      <c r="L44" s="812"/>
      <c r="M44" s="812"/>
      <c r="N44" s="812"/>
      <c r="O44" s="812"/>
      <c r="P44" s="812"/>
      <c r="Q44" s="812"/>
      <c r="R44" s="812"/>
      <c r="S44" s="812"/>
      <c r="T44" s="812"/>
      <c r="U44" s="812"/>
      <c r="V44" s="812"/>
      <c r="W44" s="812"/>
      <c r="X44" s="812"/>
      <c r="Y44" s="812"/>
      <c r="Z44" s="812"/>
      <c r="AA44" s="812"/>
      <c r="AB44" s="812"/>
      <c r="AC44" s="812"/>
      <c r="AD44" s="812"/>
      <c r="AE44" s="812"/>
      <c r="AF44" s="812"/>
      <c r="AG44" s="812"/>
      <c r="AH44" s="812"/>
      <c r="AI44" s="812"/>
      <c r="AJ44" s="812"/>
      <c r="AK44" s="812"/>
      <c r="AL44" s="812"/>
      <c r="AM44" s="812"/>
      <c r="AN44" s="812"/>
      <c r="AO44" s="812"/>
      <c r="AP44" s="812"/>
      <c r="AQ44" s="812"/>
      <c r="AR44" s="813"/>
      <c r="AS44" s="814"/>
      <c r="AT44" s="815"/>
      <c r="AU44" s="815"/>
      <c r="AV44" s="815"/>
      <c r="AW44" s="815"/>
      <c r="AX44" s="815"/>
      <c r="AY44" s="815"/>
      <c r="AZ44" s="815"/>
      <c r="BA44" s="815"/>
      <c r="BB44" s="816"/>
      <c r="BC44" s="817"/>
      <c r="BD44" s="818"/>
      <c r="BE44" s="818"/>
      <c r="BF44" s="818"/>
      <c r="BG44" s="818"/>
      <c r="BH44" s="818"/>
      <c r="BI44" s="818"/>
      <c r="BJ44" s="818"/>
      <c r="BK44" s="818"/>
      <c r="BL44" s="818"/>
      <c r="BM44" s="819"/>
      <c r="BN44" s="820">
        <f>SUM(BN42:BW43)</f>
        <v>0</v>
      </c>
      <c r="BO44" s="821"/>
      <c r="BP44" s="821"/>
      <c r="BQ44" s="821"/>
      <c r="BR44" s="821"/>
      <c r="BS44" s="821"/>
      <c r="BT44" s="821"/>
      <c r="BU44" s="821"/>
      <c r="BV44" s="821"/>
      <c r="BW44" s="821"/>
      <c r="BX44" s="70"/>
      <c r="BY44" s="70"/>
      <c r="BZ44" s="70"/>
      <c r="CA44" s="70"/>
      <c r="CB44" s="426"/>
      <c r="CC44" s="158"/>
      <c r="CD44" s="158"/>
      <c r="CE44" s="158"/>
      <c r="CF44" s="421"/>
      <c r="CG44" s="159"/>
      <c r="CH44" s="159"/>
      <c r="CI44" s="159"/>
      <c r="CJ44" s="159"/>
      <c r="CK44" s="159"/>
      <c r="CL44" s="159"/>
      <c r="CM44" s="159"/>
      <c r="CN44" s="159"/>
      <c r="CO44" s="159"/>
      <c r="CP44" s="159"/>
      <c r="CQ44" s="159"/>
      <c r="CR44" s="159"/>
      <c r="CS44" s="159"/>
      <c r="CT44" s="159"/>
    </row>
    <row r="45" spans="1:98" s="3" customFormat="1" ht="15.75" x14ac:dyDescent="0.25">
      <c r="A45" s="518" t="s">
        <v>452</v>
      </c>
      <c r="B45" s="518"/>
      <c r="C45" s="518"/>
      <c r="D45" s="518"/>
      <c r="E45" s="518"/>
      <c r="F45" s="518"/>
      <c r="G45" s="518"/>
      <c r="H45" s="518"/>
      <c r="I45" s="518"/>
      <c r="J45" s="518"/>
      <c r="K45" s="518"/>
      <c r="L45" s="518"/>
      <c r="M45" s="518"/>
      <c r="N45" s="518"/>
      <c r="O45" s="518"/>
      <c r="P45" s="518"/>
      <c r="Q45" s="518"/>
      <c r="R45" s="518"/>
      <c r="S45" s="518"/>
      <c r="T45" s="518"/>
      <c r="U45" s="518"/>
      <c r="V45" s="518"/>
      <c r="W45" s="518"/>
      <c r="X45" s="518"/>
      <c r="Y45" s="518"/>
      <c r="Z45" s="518"/>
      <c r="AA45" s="518"/>
      <c r="AB45" s="518"/>
      <c r="AC45" s="518"/>
      <c r="AD45" s="518"/>
      <c r="AE45" s="518"/>
      <c r="AF45" s="518"/>
      <c r="AG45" s="518"/>
      <c r="AH45" s="518"/>
      <c r="AI45" s="518"/>
      <c r="AJ45" s="518"/>
      <c r="AK45" s="518"/>
      <c r="AL45" s="518"/>
      <c r="AM45" s="518"/>
      <c r="AN45" s="518"/>
      <c r="AO45" s="518"/>
      <c r="AP45" s="518"/>
      <c r="AQ45" s="518"/>
      <c r="AR45" s="518"/>
      <c r="AS45" s="518"/>
      <c r="AT45" s="518"/>
      <c r="AU45" s="518"/>
      <c r="AV45" s="518"/>
      <c r="AW45" s="518"/>
      <c r="AX45" s="518"/>
      <c r="AY45" s="518"/>
      <c r="AZ45" s="518"/>
      <c r="BA45" s="518"/>
      <c r="BB45" s="518"/>
      <c r="BC45" s="518"/>
      <c r="BD45" s="518"/>
      <c r="BE45" s="518"/>
      <c r="BF45" s="518"/>
      <c r="BG45" s="518"/>
      <c r="BH45" s="518"/>
      <c r="BI45" s="518"/>
      <c r="BJ45" s="518"/>
      <c r="BK45" s="518"/>
      <c r="BL45" s="518"/>
      <c r="BM45" s="518"/>
      <c r="BN45" s="518"/>
      <c r="BO45" s="518"/>
      <c r="BP45" s="518"/>
      <c r="BQ45" s="518"/>
      <c r="BR45" s="518"/>
      <c r="BS45" s="518"/>
      <c r="BT45" s="518"/>
      <c r="BU45" s="518"/>
      <c r="BV45" s="518"/>
      <c r="BW45" s="518"/>
      <c r="BX45" s="518"/>
      <c r="BY45" s="518"/>
      <c r="BZ45" s="518"/>
      <c r="CA45" s="518"/>
      <c r="CB45" s="628"/>
      <c r="CC45" s="135"/>
      <c r="CD45" s="135"/>
      <c r="CE45" s="135"/>
      <c r="CF45" s="422"/>
    </row>
    <row r="46" spans="1:98" s="3" customFormat="1" ht="15.75" x14ac:dyDescent="0.25">
      <c r="A46" s="518" t="s">
        <v>290</v>
      </c>
      <c r="B46" s="518"/>
      <c r="C46" s="518"/>
      <c r="D46" s="518"/>
      <c r="E46" s="518"/>
      <c r="F46" s="518"/>
      <c r="G46" s="518"/>
      <c r="H46" s="518"/>
      <c r="I46" s="518"/>
      <c r="J46" s="518"/>
      <c r="K46" s="518"/>
      <c r="L46" s="518"/>
      <c r="M46" s="518"/>
      <c r="N46" s="518"/>
      <c r="O46" s="518"/>
      <c r="P46" s="518"/>
      <c r="Q46" s="518"/>
      <c r="R46" s="518"/>
      <c r="S46" s="518"/>
      <c r="T46" s="518"/>
      <c r="U46" s="518"/>
      <c r="V46" s="518"/>
      <c r="W46" s="518"/>
      <c r="X46" s="518"/>
      <c r="Y46" s="518"/>
      <c r="Z46" s="518"/>
      <c r="AA46" s="518"/>
      <c r="AB46" s="518"/>
      <c r="AC46" s="518"/>
      <c r="AD46" s="518"/>
      <c r="AE46" s="518"/>
      <c r="AF46" s="518"/>
      <c r="AG46" s="518"/>
      <c r="AH46" s="518"/>
      <c r="AI46" s="518"/>
      <c r="AJ46" s="518"/>
      <c r="AK46" s="518"/>
      <c r="AL46" s="518"/>
      <c r="AM46" s="518"/>
      <c r="AN46" s="518"/>
      <c r="AO46" s="518"/>
      <c r="AP46" s="518"/>
      <c r="AQ46" s="518"/>
      <c r="AR46" s="518"/>
      <c r="AS46" s="518"/>
      <c r="AT46" s="518"/>
      <c r="AU46" s="518"/>
      <c r="AV46" s="518"/>
      <c r="AW46" s="518"/>
      <c r="AX46" s="518"/>
      <c r="AY46" s="518"/>
      <c r="AZ46" s="518"/>
      <c r="BA46" s="518"/>
      <c r="BB46" s="518"/>
      <c r="BC46" s="518"/>
      <c r="BD46" s="518"/>
      <c r="BE46" s="518"/>
      <c r="BF46" s="518"/>
      <c r="BG46" s="518"/>
      <c r="BH46" s="518"/>
      <c r="BI46" s="518"/>
      <c r="BJ46" s="518"/>
      <c r="BK46" s="518"/>
      <c r="BL46" s="518"/>
      <c r="BM46" s="518"/>
      <c r="BN46" s="518"/>
      <c r="BO46" s="518"/>
      <c r="BP46" s="518"/>
      <c r="BQ46" s="518"/>
      <c r="BR46" s="518"/>
      <c r="BS46" s="518"/>
      <c r="BT46" s="518"/>
      <c r="BU46" s="518"/>
      <c r="BV46" s="518"/>
      <c r="BW46" s="518"/>
      <c r="BX46" s="518"/>
      <c r="BY46" s="518"/>
      <c r="BZ46" s="518"/>
      <c r="CA46" s="518"/>
      <c r="CB46" s="628"/>
      <c r="CC46" s="135"/>
      <c r="CD46" s="135"/>
      <c r="CE46" s="135"/>
      <c r="CF46" s="422"/>
    </row>
    <row r="47" spans="1:98" s="6" customFormat="1" ht="3.7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136"/>
      <c r="CD47" s="136"/>
      <c r="CE47" s="136"/>
      <c r="CF47" s="423"/>
    </row>
    <row r="48" spans="1:98" x14ac:dyDescent="0.2">
      <c r="A48" s="519" t="s">
        <v>5</v>
      </c>
      <c r="B48" s="520"/>
      <c r="C48" s="520"/>
      <c r="D48" s="523"/>
      <c r="E48" s="519" t="s">
        <v>13</v>
      </c>
      <c r="F48" s="520"/>
      <c r="G48" s="520"/>
      <c r="H48" s="520"/>
      <c r="I48" s="520"/>
      <c r="J48" s="520"/>
      <c r="K48" s="520"/>
      <c r="L48" s="520"/>
      <c r="M48" s="520"/>
      <c r="N48" s="520"/>
      <c r="O48" s="520"/>
      <c r="P48" s="520"/>
      <c r="Q48" s="520"/>
      <c r="R48" s="520"/>
      <c r="S48" s="520"/>
      <c r="T48" s="520"/>
      <c r="U48" s="520"/>
      <c r="V48" s="520"/>
      <c r="W48" s="520"/>
      <c r="X48" s="520"/>
      <c r="Y48" s="520"/>
      <c r="Z48" s="520"/>
      <c r="AA48" s="520"/>
      <c r="AB48" s="520"/>
      <c r="AC48" s="520"/>
      <c r="AD48" s="520"/>
      <c r="AE48" s="520"/>
      <c r="AF48" s="520"/>
      <c r="AG48" s="520"/>
      <c r="AH48" s="520"/>
      <c r="AI48" s="520"/>
      <c r="AJ48" s="520"/>
      <c r="AK48" s="520"/>
      <c r="AL48" s="520"/>
      <c r="AM48" s="520"/>
      <c r="AN48" s="520"/>
      <c r="AO48" s="520"/>
      <c r="AP48" s="520"/>
      <c r="AQ48" s="520"/>
      <c r="AR48" s="523"/>
      <c r="AS48" s="519" t="s">
        <v>18</v>
      </c>
      <c r="AT48" s="520"/>
      <c r="AU48" s="520"/>
      <c r="AV48" s="520"/>
      <c r="AW48" s="520"/>
      <c r="AX48" s="520"/>
      <c r="AY48" s="520"/>
      <c r="AZ48" s="520"/>
      <c r="BA48" s="520"/>
      <c r="BB48" s="523"/>
      <c r="BC48" s="519" t="s">
        <v>106</v>
      </c>
      <c r="BD48" s="520"/>
      <c r="BE48" s="520"/>
      <c r="BF48" s="520"/>
      <c r="BG48" s="520"/>
      <c r="BH48" s="520"/>
      <c r="BI48" s="520"/>
      <c r="BJ48" s="520"/>
      <c r="BK48" s="520"/>
      <c r="BL48" s="520"/>
      <c r="BM48" s="523"/>
      <c r="BN48" s="519" t="s">
        <v>22</v>
      </c>
      <c r="BO48" s="520"/>
      <c r="BP48" s="520"/>
      <c r="BQ48" s="520"/>
      <c r="BR48" s="520"/>
      <c r="BS48" s="520"/>
      <c r="BT48" s="520"/>
      <c r="BU48" s="520"/>
      <c r="BV48" s="520"/>
      <c r="BW48" s="520"/>
      <c r="BX48" s="520"/>
      <c r="BY48" s="520"/>
      <c r="BZ48" s="520"/>
      <c r="CA48" s="520"/>
      <c r="CB48" s="520"/>
      <c r="CC48" s="137"/>
      <c r="CD48" s="137"/>
      <c r="CE48" s="137"/>
      <c r="CF48" s="424"/>
    </row>
    <row r="49" spans="1:98" x14ac:dyDescent="0.2">
      <c r="A49" s="521" t="s">
        <v>6</v>
      </c>
      <c r="B49" s="522"/>
      <c r="C49" s="522"/>
      <c r="D49" s="537"/>
      <c r="E49" s="521"/>
      <c r="F49" s="522"/>
      <c r="G49" s="522"/>
      <c r="H49" s="522"/>
      <c r="I49" s="522"/>
      <c r="J49" s="522"/>
      <c r="K49" s="522"/>
      <c r="L49" s="522"/>
      <c r="M49" s="522"/>
      <c r="N49" s="522"/>
      <c r="O49" s="522"/>
      <c r="P49" s="522"/>
      <c r="Q49" s="522"/>
      <c r="R49" s="522"/>
      <c r="S49" s="522"/>
      <c r="T49" s="522"/>
      <c r="U49" s="522"/>
      <c r="V49" s="522"/>
      <c r="W49" s="522"/>
      <c r="X49" s="522"/>
      <c r="Y49" s="522"/>
      <c r="Z49" s="522"/>
      <c r="AA49" s="522"/>
      <c r="AB49" s="522"/>
      <c r="AC49" s="522"/>
      <c r="AD49" s="522"/>
      <c r="AE49" s="522"/>
      <c r="AF49" s="522"/>
      <c r="AG49" s="522"/>
      <c r="AH49" s="522"/>
      <c r="AI49" s="522"/>
      <c r="AJ49" s="522"/>
      <c r="AK49" s="522"/>
      <c r="AL49" s="522"/>
      <c r="AM49" s="522"/>
      <c r="AN49" s="522"/>
      <c r="AO49" s="522"/>
      <c r="AP49" s="522"/>
      <c r="AQ49" s="522"/>
      <c r="AR49" s="537"/>
      <c r="AS49" s="521"/>
      <c r="AT49" s="522"/>
      <c r="AU49" s="522"/>
      <c r="AV49" s="522"/>
      <c r="AW49" s="522"/>
      <c r="AX49" s="522"/>
      <c r="AY49" s="522"/>
      <c r="AZ49" s="522"/>
      <c r="BA49" s="522"/>
      <c r="BB49" s="537"/>
      <c r="BC49" s="521" t="s">
        <v>107</v>
      </c>
      <c r="BD49" s="522"/>
      <c r="BE49" s="522"/>
      <c r="BF49" s="522"/>
      <c r="BG49" s="522"/>
      <c r="BH49" s="522"/>
      <c r="BI49" s="522"/>
      <c r="BJ49" s="522"/>
      <c r="BK49" s="522"/>
      <c r="BL49" s="522"/>
      <c r="BM49" s="537"/>
      <c r="BN49" s="521" t="s">
        <v>116</v>
      </c>
      <c r="BO49" s="522"/>
      <c r="BP49" s="522"/>
      <c r="BQ49" s="522"/>
      <c r="BR49" s="522"/>
      <c r="BS49" s="522"/>
      <c r="BT49" s="522"/>
      <c r="BU49" s="522"/>
      <c r="BV49" s="522"/>
      <c r="BW49" s="522"/>
      <c r="BX49" s="522"/>
      <c r="BY49" s="522"/>
      <c r="BZ49" s="522"/>
      <c r="CA49" s="522"/>
      <c r="CB49" s="522"/>
      <c r="CC49" s="137"/>
      <c r="CD49" s="137"/>
      <c r="CE49" s="137"/>
      <c r="CF49" s="424"/>
    </row>
    <row r="50" spans="1:98" x14ac:dyDescent="0.2">
      <c r="A50" s="531"/>
      <c r="B50" s="532"/>
      <c r="C50" s="532"/>
      <c r="D50" s="533"/>
      <c r="E50" s="531"/>
      <c r="F50" s="532"/>
      <c r="G50" s="532"/>
      <c r="H50" s="532"/>
      <c r="I50" s="532"/>
      <c r="J50" s="532"/>
      <c r="K50" s="532"/>
      <c r="L50" s="532"/>
      <c r="M50" s="532"/>
      <c r="N50" s="532"/>
      <c r="O50" s="532"/>
      <c r="P50" s="532"/>
      <c r="Q50" s="532"/>
      <c r="R50" s="532"/>
      <c r="S50" s="532"/>
      <c r="T50" s="532"/>
      <c r="U50" s="532"/>
      <c r="V50" s="532"/>
      <c r="W50" s="532"/>
      <c r="X50" s="532"/>
      <c r="Y50" s="532"/>
      <c r="Z50" s="532"/>
      <c r="AA50" s="532"/>
      <c r="AB50" s="532"/>
      <c r="AC50" s="532"/>
      <c r="AD50" s="532"/>
      <c r="AE50" s="532"/>
      <c r="AF50" s="532"/>
      <c r="AG50" s="532"/>
      <c r="AH50" s="532"/>
      <c r="AI50" s="532"/>
      <c r="AJ50" s="532"/>
      <c r="AK50" s="532"/>
      <c r="AL50" s="532"/>
      <c r="AM50" s="532"/>
      <c r="AN50" s="532"/>
      <c r="AO50" s="532"/>
      <c r="AP50" s="532"/>
      <c r="AQ50" s="532"/>
      <c r="AR50" s="533"/>
      <c r="AS50" s="531"/>
      <c r="AT50" s="532"/>
      <c r="AU50" s="532"/>
      <c r="AV50" s="532"/>
      <c r="AW50" s="532"/>
      <c r="AX50" s="532"/>
      <c r="AY50" s="532"/>
      <c r="AZ50" s="532"/>
      <c r="BA50" s="532"/>
      <c r="BB50" s="533"/>
      <c r="BC50" s="531" t="s">
        <v>17</v>
      </c>
      <c r="BD50" s="532"/>
      <c r="BE50" s="532"/>
      <c r="BF50" s="532"/>
      <c r="BG50" s="532"/>
      <c r="BH50" s="532"/>
      <c r="BI50" s="532"/>
      <c r="BJ50" s="532"/>
      <c r="BK50" s="532"/>
      <c r="BL50" s="532"/>
      <c r="BM50" s="533"/>
      <c r="BN50" s="531"/>
      <c r="BO50" s="532"/>
      <c r="BP50" s="532"/>
      <c r="BQ50" s="532"/>
      <c r="BR50" s="532"/>
      <c r="BS50" s="532"/>
      <c r="BT50" s="532"/>
      <c r="BU50" s="532"/>
      <c r="BV50" s="532"/>
      <c r="BW50" s="532"/>
      <c r="BX50" s="532"/>
      <c r="BY50" s="532"/>
      <c r="BZ50" s="532"/>
      <c r="CA50" s="532"/>
      <c r="CB50" s="532"/>
      <c r="CF50" s="425"/>
    </row>
    <row r="51" spans="1:98" ht="11.25" customHeight="1" x14ac:dyDescent="0.25">
      <c r="A51" s="554"/>
      <c r="B51" s="555"/>
      <c r="C51" s="555"/>
      <c r="D51" s="556"/>
      <c r="E51" s="554">
        <v>1</v>
      </c>
      <c r="F51" s="555"/>
      <c r="G51" s="555"/>
      <c r="H51" s="555"/>
      <c r="I51" s="555"/>
      <c r="J51" s="555"/>
      <c r="K51" s="555"/>
      <c r="L51" s="555"/>
      <c r="M51" s="555"/>
      <c r="N51" s="555"/>
      <c r="O51" s="555"/>
      <c r="P51" s="555"/>
      <c r="Q51" s="555"/>
      <c r="R51" s="555"/>
      <c r="S51" s="555"/>
      <c r="T51" s="555"/>
      <c r="U51" s="555"/>
      <c r="V51" s="555"/>
      <c r="W51" s="555"/>
      <c r="X51" s="555"/>
      <c r="Y51" s="555"/>
      <c r="Z51" s="555"/>
      <c r="AA51" s="555"/>
      <c r="AB51" s="555"/>
      <c r="AC51" s="555"/>
      <c r="AD51" s="555"/>
      <c r="AE51" s="555"/>
      <c r="AF51" s="555"/>
      <c r="AG51" s="555"/>
      <c r="AH51" s="555"/>
      <c r="AI51" s="555"/>
      <c r="AJ51" s="555"/>
      <c r="AK51" s="555"/>
      <c r="AL51" s="555"/>
      <c r="AM51" s="555"/>
      <c r="AN51" s="555"/>
      <c r="AO51" s="555"/>
      <c r="AP51" s="555"/>
      <c r="AQ51" s="555"/>
      <c r="AR51" s="556"/>
      <c r="AS51" s="554">
        <v>2</v>
      </c>
      <c r="AT51" s="555"/>
      <c r="AU51" s="555"/>
      <c r="AV51" s="555"/>
      <c r="AW51" s="555"/>
      <c r="AX51" s="555"/>
      <c r="AY51" s="555"/>
      <c r="AZ51" s="555"/>
      <c r="BA51" s="555"/>
      <c r="BB51" s="556"/>
      <c r="BC51" s="554">
        <v>3</v>
      </c>
      <c r="BD51" s="555"/>
      <c r="BE51" s="555"/>
      <c r="BF51" s="555"/>
      <c r="BG51" s="555"/>
      <c r="BH51" s="555"/>
      <c r="BI51" s="555"/>
      <c r="BJ51" s="555"/>
      <c r="BK51" s="555"/>
      <c r="BL51" s="555"/>
      <c r="BM51" s="556"/>
      <c r="BN51" s="554">
        <v>4</v>
      </c>
      <c r="BO51" s="555"/>
      <c r="BP51" s="555"/>
      <c r="BQ51" s="555"/>
      <c r="BR51" s="555"/>
      <c r="BS51" s="555"/>
      <c r="BT51" s="555"/>
      <c r="BU51" s="555"/>
      <c r="BV51" s="555"/>
      <c r="BW51" s="555"/>
      <c r="BX51" s="555"/>
      <c r="BY51" s="555"/>
      <c r="BZ51" s="555"/>
      <c r="CA51" s="555"/>
      <c r="CB51" s="555"/>
      <c r="CC51" s="68" t="s">
        <v>193</v>
      </c>
      <c r="CD51" s="68" t="s">
        <v>194</v>
      </c>
      <c r="CE51" s="68" t="s">
        <v>298</v>
      </c>
      <c r="CF51" s="418" t="s">
        <v>296</v>
      </c>
    </row>
    <row r="52" spans="1:98" s="14" customFormat="1" x14ac:dyDescent="0.2">
      <c r="A52" s="822">
        <v>1</v>
      </c>
      <c r="B52" s="823"/>
      <c r="C52" s="823"/>
      <c r="D52" s="824"/>
      <c r="E52" s="760" t="s">
        <v>499</v>
      </c>
      <c r="F52" s="761"/>
      <c r="G52" s="761"/>
      <c r="H52" s="761"/>
      <c r="I52" s="761"/>
      <c r="J52" s="761"/>
      <c r="K52" s="761"/>
      <c r="L52" s="761"/>
      <c r="M52" s="761"/>
      <c r="N52" s="761"/>
      <c r="O52" s="761"/>
      <c r="P52" s="761"/>
      <c r="Q52" s="761"/>
      <c r="R52" s="761"/>
      <c r="S52" s="761"/>
      <c r="T52" s="761"/>
      <c r="U52" s="761"/>
      <c r="V52" s="761"/>
      <c r="W52" s="761"/>
      <c r="X52" s="761"/>
      <c r="Y52" s="761"/>
      <c r="Z52" s="761"/>
      <c r="AA52" s="761"/>
      <c r="AB52" s="761"/>
      <c r="AC52" s="761"/>
      <c r="AD52" s="761"/>
      <c r="AE52" s="761"/>
      <c r="AF52" s="761"/>
      <c r="AG52" s="761"/>
      <c r="AH52" s="761"/>
      <c r="AI52" s="761"/>
      <c r="AJ52" s="761"/>
      <c r="AK52" s="761"/>
      <c r="AL52" s="761"/>
      <c r="AM52" s="761"/>
      <c r="AN52" s="761"/>
      <c r="AO52" s="761"/>
      <c r="AP52" s="761"/>
      <c r="AQ52" s="761"/>
      <c r="AR52" s="762"/>
      <c r="AS52" s="747"/>
      <c r="AT52" s="748"/>
      <c r="AU52" s="748"/>
      <c r="AV52" s="748"/>
      <c r="AW52" s="748"/>
      <c r="AX52" s="748"/>
      <c r="AY52" s="748"/>
      <c r="AZ52" s="748"/>
      <c r="BA52" s="748"/>
      <c r="BB52" s="749"/>
      <c r="BC52" s="747"/>
      <c r="BD52" s="748"/>
      <c r="BE52" s="748"/>
      <c r="BF52" s="748"/>
      <c r="BG52" s="748"/>
      <c r="BH52" s="748"/>
      <c r="BI52" s="748"/>
      <c r="BJ52" s="748"/>
      <c r="BK52" s="748"/>
      <c r="BL52" s="748"/>
      <c r="BM52" s="749"/>
      <c r="BN52" s="763">
        <f>3806.61+52282+200000+10816.79+12000</f>
        <v>278905.39999999997</v>
      </c>
      <c r="BO52" s="764"/>
      <c r="BP52" s="764"/>
      <c r="BQ52" s="764"/>
      <c r="BR52" s="764"/>
      <c r="BS52" s="764"/>
      <c r="BT52" s="764"/>
      <c r="BU52" s="764"/>
      <c r="BV52" s="764"/>
      <c r="BW52" s="764"/>
      <c r="BX52" s="764"/>
      <c r="BY52" s="764"/>
      <c r="BZ52" s="764"/>
      <c r="CA52" s="764"/>
      <c r="CB52" s="764"/>
      <c r="CC52" s="69">
        <f>54446+60477.8+151981.6</f>
        <v>266905.40000000002</v>
      </c>
      <c r="CD52" s="69">
        <f>54446+60477.8+151981.6</f>
        <v>266905.40000000002</v>
      </c>
      <c r="CE52" s="69">
        <f>CC52-CD52</f>
        <v>0</v>
      </c>
      <c r="CF52" s="427">
        <f>BN52-CC52</f>
        <v>11999.999999999942</v>
      </c>
    </row>
    <row r="53" spans="1:98" s="14" customFormat="1" x14ac:dyDescent="0.2">
      <c r="A53" s="714">
        <v>6</v>
      </c>
      <c r="B53" s="715"/>
      <c r="C53" s="715"/>
      <c r="D53" s="716"/>
      <c r="E53" s="760" t="s">
        <v>478</v>
      </c>
      <c r="F53" s="761"/>
      <c r="G53" s="761"/>
      <c r="H53" s="761"/>
      <c r="I53" s="761"/>
      <c r="J53" s="761"/>
      <c r="K53" s="761"/>
      <c r="L53" s="761"/>
      <c r="M53" s="761"/>
      <c r="N53" s="761"/>
      <c r="O53" s="761"/>
      <c r="P53" s="761"/>
      <c r="Q53" s="761"/>
      <c r="R53" s="761"/>
      <c r="S53" s="761"/>
      <c r="T53" s="761"/>
      <c r="U53" s="761"/>
      <c r="V53" s="761"/>
      <c r="W53" s="761"/>
      <c r="X53" s="761"/>
      <c r="Y53" s="761"/>
      <c r="Z53" s="761"/>
      <c r="AA53" s="761"/>
      <c r="AB53" s="761"/>
      <c r="AC53" s="761"/>
      <c r="AD53" s="761"/>
      <c r="AE53" s="761"/>
      <c r="AF53" s="761"/>
      <c r="AG53" s="761"/>
      <c r="AH53" s="761"/>
      <c r="AI53" s="761"/>
      <c r="AJ53" s="761"/>
      <c r="AK53" s="761"/>
      <c r="AL53" s="761"/>
      <c r="AM53" s="761"/>
      <c r="AN53" s="761"/>
      <c r="AO53" s="761"/>
      <c r="AP53" s="761"/>
      <c r="AQ53" s="761"/>
      <c r="AR53" s="762"/>
      <c r="AS53" s="747"/>
      <c r="AT53" s="748"/>
      <c r="AU53" s="748"/>
      <c r="AV53" s="748"/>
      <c r="AW53" s="748"/>
      <c r="AX53" s="748"/>
      <c r="AY53" s="748"/>
      <c r="AZ53" s="748"/>
      <c r="BA53" s="748"/>
      <c r="BB53" s="749"/>
      <c r="BC53" s="747"/>
      <c r="BD53" s="748"/>
      <c r="BE53" s="748"/>
      <c r="BF53" s="748"/>
      <c r="BG53" s="748"/>
      <c r="BH53" s="748"/>
      <c r="BI53" s="748"/>
      <c r="BJ53" s="748"/>
      <c r="BK53" s="748"/>
      <c r="BL53" s="748"/>
      <c r="BM53" s="749"/>
      <c r="BN53" s="763">
        <f>19200</f>
        <v>19200</v>
      </c>
      <c r="BO53" s="764"/>
      <c r="BP53" s="764"/>
      <c r="BQ53" s="764"/>
      <c r="BR53" s="764"/>
      <c r="BS53" s="764"/>
      <c r="BT53" s="764"/>
      <c r="BU53" s="764"/>
      <c r="BV53" s="764"/>
      <c r="BW53" s="764"/>
      <c r="BX53" s="764"/>
      <c r="BY53" s="764"/>
      <c r="BZ53" s="764"/>
      <c r="CA53" s="764"/>
      <c r="CB53" s="765"/>
      <c r="CC53" s="69">
        <v>19200</v>
      </c>
      <c r="CD53" s="69">
        <v>19200</v>
      </c>
      <c r="CE53" s="69">
        <f t="shared" ref="CE53" si="2">CC53-CD53</f>
        <v>0</v>
      </c>
      <c r="CF53" s="428">
        <f t="shared" ref="CF53" si="3">BN53-CC53</f>
        <v>0</v>
      </c>
    </row>
    <row r="54" spans="1:98" s="155" customFormat="1" ht="13.5" thickBot="1" x14ac:dyDescent="0.25">
      <c r="A54" s="811"/>
      <c r="B54" s="812"/>
      <c r="C54" s="812"/>
      <c r="D54" s="813"/>
      <c r="E54" s="811" t="s">
        <v>10</v>
      </c>
      <c r="F54" s="812"/>
      <c r="G54" s="812"/>
      <c r="H54" s="812"/>
      <c r="I54" s="812"/>
      <c r="J54" s="812"/>
      <c r="K54" s="812"/>
      <c r="L54" s="812"/>
      <c r="M54" s="812"/>
      <c r="N54" s="812"/>
      <c r="O54" s="812"/>
      <c r="P54" s="812"/>
      <c r="Q54" s="812"/>
      <c r="R54" s="812"/>
      <c r="S54" s="812"/>
      <c r="T54" s="812"/>
      <c r="U54" s="812"/>
      <c r="V54" s="812"/>
      <c r="W54" s="812"/>
      <c r="X54" s="812"/>
      <c r="Y54" s="812"/>
      <c r="Z54" s="812"/>
      <c r="AA54" s="812"/>
      <c r="AB54" s="812"/>
      <c r="AC54" s="812"/>
      <c r="AD54" s="812"/>
      <c r="AE54" s="812"/>
      <c r="AF54" s="812"/>
      <c r="AG54" s="812"/>
      <c r="AH54" s="812"/>
      <c r="AI54" s="812"/>
      <c r="AJ54" s="812"/>
      <c r="AK54" s="812"/>
      <c r="AL54" s="812"/>
      <c r="AM54" s="812"/>
      <c r="AN54" s="812"/>
      <c r="AO54" s="812"/>
      <c r="AP54" s="812"/>
      <c r="AQ54" s="812"/>
      <c r="AR54" s="813"/>
      <c r="AS54" s="814"/>
      <c r="AT54" s="815"/>
      <c r="AU54" s="815"/>
      <c r="AV54" s="815"/>
      <c r="AW54" s="815"/>
      <c r="AX54" s="815"/>
      <c r="AY54" s="815"/>
      <c r="AZ54" s="815"/>
      <c r="BA54" s="815"/>
      <c r="BB54" s="816"/>
      <c r="BC54" s="817"/>
      <c r="BD54" s="818"/>
      <c r="BE54" s="818"/>
      <c r="BF54" s="818"/>
      <c r="BG54" s="818"/>
      <c r="BH54" s="818"/>
      <c r="BI54" s="818"/>
      <c r="BJ54" s="818"/>
      <c r="BK54" s="818"/>
      <c r="BL54" s="818"/>
      <c r="BM54" s="819"/>
      <c r="BN54" s="820">
        <f>SUM(BN52:BU53)</f>
        <v>298105.39999999997</v>
      </c>
      <c r="BO54" s="821"/>
      <c r="BP54" s="821"/>
      <c r="BQ54" s="821"/>
      <c r="BR54" s="821"/>
      <c r="BS54" s="821"/>
      <c r="BT54" s="821"/>
      <c r="BU54" s="821"/>
      <c r="BV54" s="821"/>
      <c r="BW54" s="821"/>
      <c r="BX54" s="70"/>
      <c r="BY54" s="70"/>
      <c r="BZ54" s="70"/>
      <c r="CA54" s="70"/>
      <c r="CB54" s="389"/>
      <c r="CC54" s="158"/>
      <c r="CD54" s="158"/>
      <c r="CE54" s="158"/>
      <c r="CF54" s="421"/>
      <c r="CG54" s="159"/>
      <c r="CH54" s="159"/>
      <c r="CI54" s="159"/>
      <c r="CJ54" s="159"/>
      <c r="CK54" s="159"/>
      <c r="CL54" s="159"/>
      <c r="CM54" s="159"/>
      <c r="CN54" s="159"/>
      <c r="CO54" s="159"/>
      <c r="CP54" s="159"/>
      <c r="CQ54" s="159"/>
      <c r="CR54" s="159"/>
      <c r="CS54" s="159"/>
      <c r="CT54" s="159"/>
    </row>
    <row r="55" spans="1:98" s="3" customFormat="1" ht="15.75" x14ac:dyDescent="0.25">
      <c r="A55" s="518" t="s">
        <v>453</v>
      </c>
      <c r="B55" s="518"/>
      <c r="C55" s="518"/>
      <c r="D55" s="518"/>
      <c r="E55" s="518"/>
      <c r="F55" s="518"/>
      <c r="G55" s="518"/>
      <c r="H55" s="518"/>
      <c r="I55" s="518"/>
      <c r="J55" s="518"/>
      <c r="K55" s="518"/>
      <c r="L55" s="518"/>
      <c r="M55" s="518"/>
      <c r="N55" s="518"/>
      <c r="O55" s="518"/>
      <c r="P55" s="518"/>
      <c r="Q55" s="518"/>
      <c r="R55" s="518"/>
      <c r="S55" s="518"/>
      <c r="T55" s="518"/>
      <c r="U55" s="518"/>
      <c r="V55" s="518"/>
      <c r="W55" s="518"/>
      <c r="X55" s="518"/>
      <c r="Y55" s="518"/>
      <c r="Z55" s="518"/>
      <c r="AA55" s="518"/>
      <c r="AB55" s="518"/>
      <c r="AC55" s="518"/>
      <c r="AD55" s="518"/>
      <c r="AE55" s="518"/>
      <c r="AF55" s="518"/>
      <c r="AG55" s="518"/>
      <c r="AH55" s="518"/>
      <c r="AI55" s="518"/>
      <c r="AJ55" s="518"/>
      <c r="AK55" s="518"/>
      <c r="AL55" s="518"/>
      <c r="AM55" s="518"/>
      <c r="AN55" s="518"/>
      <c r="AO55" s="518"/>
      <c r="AP55" s="518"/>
      <c r="AQ55" s="518"/>
      <c r="AR55" s="518"/>
      <c r="AS55" s="518"/>
      <c r="AT55" s="518"/>
      <c r="AU55" s="518"/>
      <c r="AV55" s="518"/>
      <c r="AW55" s="518"/>
      <c r="AX55" s="518"/>
      <c r="AY55" s="518"/>
      <c r="AZ55" s="518"/>
      <c r="BA55" s="518"/>
      <c r="BB55" s="518"/>
      <c r="BC55" s="518"/>
      <c r="BD55" s="518"/>
      <c r="BE55" s="518"/>
      <c r="BF55" s="518"/>
      <c r="BG55" s="518"/>
      <c r="BH55" s="518"/>
      <c r="BI55" s="518"/>
      <c r="BJ55" s="518"/>
      <c r="BK55" s="518"/>
      <c r="BL55" s="518"/>
      <c r="BM55" s="518"/>
      <c r="BN55" s="518"/>
      <c r="BO55" s="518"/>
      <c r="BP55" s="518"/>
      <c r="BQ55" s="518"/>
      <c r="BR55" s="518"/>
      <c r="BS55" s="518"/>
      <c r="BT55" s="518"/>
      <c r="BU55" s="518"/>
      <c r="BV55" s="518"/>
      <c r="BW55" s="518"/>
      <c r="BX55" s="518"/>
      <c r="BY55" s="518"/>
      <c r="BZ55" s="518"/>
      <c r="CA55" s="518"/>
      <c r="CB55" s="628"/>
      <c r="CC55" s="135"/>
      <c r="CD55" s="135"/>
      <c r="CE55" s="135"/>
      <c r="CF55" s="422"/>
    </row>
    <row r="56" spans="1:98" s="3" customFormat="1" ht="12" customHeight="1" x14ac:dyDescent="0.25">
      <c r="A56" s="518" t="s">
        <v>342</v>
      </c>
      <c r="B56" s="518"/>
      <c r="C56" s="518"/>
      <c r="D56" s="518"/>
      <c r="E56" s="518"/>
      <c r="F56" s="518"/>
      <c r="G56" s="518"/>
      <c r="H56" s="518"/>
      <c r="I56" s="518"/>
      <c r="J56" s="518"/>
      <c r="K56" s="518"/>
      <c r="L56" s="518"/>
      <c r="M56" s="518"/>
      <c r="N56" s="518"/>
      <c r="O56" s="518"/>
      <c r="P56" s="518"/>
      <c r="Q56" s="518"/>
      <c r="R56" s="518"/>
      <c r="S56" s="518"/>
      <c r="T56" s="518"/>
      <c r="U56" s="518"/>
      <c r="V56" s="518"/>
      <c r="W56" s="518"/>
      <c r="X56" s="518"/>
      <c r="Y56" s="518"/>
      <c r="Z56" s="518"/>
      <c r="AA56" s="518"/>
      <c r="AB56" s="518"/>
      <c r="AC56" s="518"/>
      <c r="AD56" s="518"/>
      <c r="AE56" s="518"/>
      <c r="AF56" s="518"/>
      <c r="AG56" s="518"/>
      <c r="AH56" s="518"/>
      <c r="AI56" s="518"/>
      <c r="AJ56" s="518"/>
      <c r="AK56" s="518"/>
      <c r="AL56" s="518"/>
      <c r="AM56" s="518"/>
      <c r="AN56" s="518"/>
      <c r="AO56" s="518"/>
      <c r="AP56" s="518"/>
      <c r="AQ56" s="518"/>
      <c r="AR56" s="518"/>
      <c r="AS56" s="518"/>
      <c r="AT56" s="518"/>
      <c r="AU56" s="518"/>
      <c r="AV56" s="518"/>
      <c r="AW56" s="518"/>
      <c r="AX56" s="518"/>
      <c r="AY56" s="518"/>
      <c r="AZ56" s="518"/>
      <c r="BA56" s="518"/>
      <c r="BB56" s="518"/>
      <c r="BC56" s="518"/>
      <c r="BD56" s="518"/>
      <c r="BE56" s="518"/>
      <c r="BF56" s="518"/>
      <c r="BG56" s="518"/>
      <c r="BH56" s="518"/>
      <c r="BI56" s="518"/>
      <c r="BJ56" s="518"/>
      <c r="BK56" s="518"/>
      <c r="BL56" s="518"/>
      <c r="BM56" s="518"/>
      <c r="BN56" s="518"/>
      <c r="BO56" s="518"/>
      <c r="BP56" s="518"/>
      <c r="BQ56" s="518"/>
      <c r="BR56" s="518"/>
      <c r="BS56" s="518"/>
      <c r="BT56" s="518"/>
      <c r="BU56" s="518"/>
      <c r="BV56" s="518"/>
      <c r="BW56" s="518"/>
      <c r="BX56" s="518"/>
      <c r="BY56" s="518"/>
      <c r="BZ56" s="518"/>
      <c r="CA56" s="518"/>
      <c r="CB56" s="628"/>
      <c r="CC56" s="135"/>
      <c r="CD56" s="135"/>
      <c r="CE56" s="135"/>
      <c r="CF56" s="422"/>
    </row>
    <row r="57" spans="1:98" x14ac:dyDescent="0.2">
      <c r="A57" s="519" t="s">
        <v>5</v>
      </c>
      <c r="B57" s="520"/>
      <c r="C57" s="520"/>
      <c r="D57" s="523"/>
      <c r="E57" s="519" t="s">
        <v>13</v>
      </c>
      <c r="F57" s="520"/>
      <c r="G57" s="520"/>
      <c r="H57" s="520"/>
      <c r="I57" s="520"/>
      <c r="J57" s="520"/>
      <c r="K57" s="520"/>
      <c r="L57" s="520"/>
      <c r="M57" s="520"/>
      <c r="N57" s="520"/>
      <c r="O57" s="520"/>
      <c r="P57" s="520"/>
      <c r="Q57" s="520"/>
      <c r="R57" s="520"/>
      <c r="S57" s="520"/>
      <c r="T57" s="520"/>
      <c r="U57" s="520"/>
      <c r="V57" s="520"/>
      <c r="W57" s="520"/>
      <c r="X57" s="520"/>
      <c r="Y57" s="520"/>
      <c r="Z57" s="520"/>
      <c r="AA57" s="520"/>
      <c r="AB57" s="520"/>
      <c r="AC57" s="520"/>
      <c r="AD57" s="520"/>
      <c r="AE57" s="520"/>
      <c r="AF57" s="520"/>
      <c r="AG57" s="520"/>
      <c r="AH57" s="520"/>
      <c r="AI57" s="520"/>
      <c r="AJ57" s="520"/>
      <c r="AK57" s="520"/>
      <c r="AL57" s="520"/>
      <c r="AM57" s="520"/>
      <c r="AN57" s="520"/>
      <c r="AO57" s="520"/>
      <c r="AP57" s="520"/>
      <c r="AQ57" s="520"/>
      <c r="AR57" s="523"/>
      <c r="AS57" s="519" t="s">
        <v>18</v>
      </c>
      <c r="AT57" s="520"/>
      <c r="AU57" s="520"/>
      <c r="AV57" s="520"/>
      <c r="AW57" s="520"/>
      <c r="AX57" s="520"/>
      <c r="AY57" s="520"/>
      <c r="AZ57" s="520"/>
      <c r="BA57" s="520"/>
      <c r="BB57" s="523"/>
      <c r="BC57" s="519" t="s">
        <v>106</v>
      </c>
      <c r="BD57" s="520"/>
      <c r="BE57" s="520"/>
      <c r="BF57" s="520"/>
      <c r="BG57" s="520"/>
      <c r="BH57" s="520"/>
      <c r="BI57" s="520"/>
      <c r="BJ57" s="520"/>
      <c r="BK57" s="520"/>
      <c r="BL57" s="520"/>
      <c r="BM57" s="523"/>
      <c r="BN57" s="519" t="s">
        <v>22</v>
      </c>
      <c r="BO57" s="520"/>
      <c r="BP57" s="520"/>
      <c r="BQ57" s="520"/>
      <c r="BR57" s="520"/>
      <c r="BS57" s="520"/>
      <c r="BT57" s="520"/>
      <c r="BU57" s="520"/>
      <c r="BV57" s="520"/>
      <c r="BW57" s="520"/>
      <c r="BX57" s="520"/>
      <c r="BY57" s="520"/>
      <c r="BZ57" s="520"/>
      <c r="CA57" s="520"/>
      <c r="CB57" s="520"/>
      <c r="CC57" s="137"/>
      <c r="CD57" s="137"/>
      <c r="CE57" s="137"/>
      <c r="CF57" s="424"/>
    </row>
    <row r="58" spans="1:98" x14ac:dyDescent="0.2">
      <c r="A58" s="521" t="s">
        <v>6</v>
      </c>
      <c r="B58" s="522"/>
      <c r="C58" s="522"/>
      <c r="D58" s="537"/>
      <c r="E58" s="521"/>
      <c r="F58" s="522"/>
      <c r="G58" s="522"/>
      <c r="H58" s="522"/>
      <c r="I58" s="522"/>
      <c r="J58" s="522"/>
      <c r="K58" s="522"/>
      <c r="L58" s="522"/>
      <c r="M58" s="522"/>
      <c r="N58" s="522"/>
      <c r="O58" s="522"/>
      <c r="P58" s="522"/>
      <c r="Q58" s="522"/>
      <c r="R58" s="522"/>
      <c r="S58" s="522"/>
      <c r="T58" s="522"/>
      <c r="U58" s="522"/>
      <c r="V58" s="522"/>
      <c r="W58" s="522"/>
      <c r="X58" s="522"/>
      <c r="Y58" s="522"/>
      <c r="Z58" s="522"/>
      <c r="AA58" s="522"/>
      <c r="AB58" s="522"/>
      <c r="AC58" s="522"/>
      <c r="AD58" s="522"/>
      <c r="AE58" s="522"/>
      <c r="AF58" s="522"/>
      <c r="AG58" s="522"/>
      <c r="AH58" s="522"/>
      <c r="AI58" s="522"/>
      <c r="AJ58" s="522"/>
      <c r="AK58" s="522"/>
      <c r="AL58" s="522"/>
      <c r="AM58" s="522"/>
      <c r="AN58" s="522"/>
      <c r="AO58" s="522"/>
      <c r="AP58" s="522"/>
      <c r="AQ58" s="522"/>
      <c r="AR58" s="537"/>
      <c r="AS58" s="521"/>
      <c r="AT58" s="522"/>
      <c r="AU58" s="522"/>
      <c r="AV58" s="522"/>
      <c r="AW58" s="522"/>
      <c r="AX58" s="522"/>
      <c r="AY58" s="522"/>
      <c r="AZ58" s="522"/>
      <c r="BA58" s="522"/>
      <c r="BB58" s="537"/>
      <c r="BC58" s="521" t="s">
        <v>107</v>
      </c>
      <c r="BD58" s="522"/>
      <c r="BE58" s="522"/>
      <c r="BF58" s="522"/>
      <c r="BG58" s="522"/>
      <c r="BH58" s="522"/>
      <c r="BI58" s="522"/>
      <c r="BJ58" s="522"/>
      <c r="BK58" s="522"/>
      <c r="BL58" s="522"/>
      <c r="BM58" s="537"/>
      <c r="BN58" s="521" t="s">
        <v>116</v>
      </c>
      <c r="BO58" s="522"/>
      <c r="BP58" s="522"/>
      <c r="BQ58" s="522"/>
      <c r="BR58" s="522"/>
      <c r="BS58" s="522"/>
      <c r="BT58" s="522"/>
      <c r="BU58" s="522"/>
      <c r="BV58" s="522"/>
      <c r="BW58" s="522"/>
      <c r="BX58" s="522"/>
      <c r="BY58" s="522"/>
      <c r="BZ58" s="522"/>
      <c r="CA58" s="522"/>
      <c r="CB58" s="522"/>
      <c r="CC58" s="137"/>
      <c r="CD58" s="137"/>
      <c r="CE58" s="137"/>
      <c r="CF58" s="424"/>
    </row>
    <row r="59" spans="1:98" x14ac:dyDescent="0.2">
      <c r="A59" s="531"/>
      <c r="B59" s="532"/>
      <c r="C59" s="532"/>
      <c r="D59" s="533"/>
      <c r="E59" s="531"/>
      <c r="F59" s="532"/>
      <c r="G59" s="532"/>
      <c r="H59" s="532"/>
      <c r="I59" s="532"/>
      <c r="J59" s="532"/>
      <c r="K59" s="532"/>
      <c r="L59" s="532"/>
      <c r="M59" s="532"/>
      <c r="N59" s="532"/>
      <c r="O59" s="532"/>
      <c r="P59" s="532"/>
      <c r="Q59" s="532"/>
      <c r="R59" s="532"/>
      <c r="S59" s="532"/>
      <c r="T59" s="532"/>
      <c r="U59" s="532"/>
      <c r="V59" s="532"/>
      <c r="W59" s="532"/>
      <c r="X59" s="532"/>
      <c r="Y59" s="532"/>
      <c r="Z59" s="532"/>
      <c r="AA59" s="532"/>
      <c r="AB59" s="532"/>
      <c r="AC59" s="532"/>
      <c r="AD59" s="532"/>
      <c r="AE59" s="532"/>
      <c r="AF59" s="532"/>
      <c r="AG59" s="532"/>
      <c r="AH59" s="532"/>
      <c r="AI59" s="532"/>
      <c r="AJ59" s="532"/>
      <c r="AK59" s="532"/>
      <c r="AL59" s="532"/>
      <c r="AM59" s="532"/>
      <c r="AN59" s="532"/>
      <c r="AO59" s="532"/>
      <c r="AP59" s="532"/>
      <c r="AQ59" s="532"/>
      <c r="AR59" s="533"/>
      <c r="AS59" s="531"/>
      <c r="AT59" s="532"/>
      <c r="AU59" s="532"/>
      <c r="AV59" s="532"/>
      <c r="AW59" s="532"/>
      <c r="AX59" s="532"/>
      <c r="AY59" s="532"/>
      <c r="AZ59" s="532"/>
      <c r="BA59" s="532"/>
      <c r="BB59" s="533"/>
      <c r="BC59" s="531" t="s">
        <v>17</v>
      </c>
      <c r="BD59" s="532"/>
      <c r="BE59" s="532"/>
      <c r="BF59" s="532"/>
      <c r="BG59" s="532"/>
      <c r="BH59" s="532"/>
      <c r="BI59" s="532"/>
      <c r="BJ59" s="532"/>
      <c r="BK59" s="532"/>
      <c r="BL59" s="532"/>
      <c r="BM59" s="533"/>
      <c r="BN59" s="531"/>
      <c r="BO59" s="532"/>
      <c r="BP59" s="532"/>
      <c r="BQ59" s="532"/>
      <c r="BR59" s="532"/>
      <c r="BS59" s="532"/>
      <c r="BT59" s="532"/>
      <c r="BU59" s="532"/>
      <c r="BV59" s="532"/>
      <c r="BW59" s="532"/>
      <c r="BX59" s="532"/>
      <c r="BY59" s="532"/>
      <c r="BZ59" s="532"/>
      <c r="CA59" s="532"/>
      <c r="CB59" s="532"/>
      <c r="CF59" s="425"/>
    </row>
    <row r="60" spans="1:98" ht="13.5" customHeight="1" x14ac:dyDescent="0.25">
      <c r="A60" s="554"/>
      <c r="B60" s="555"/>
      <c r="C60" s="555"/>
      <c r="D60" s="556"/>
      <c r="E60" s="554">
        <v>1</v>
      </c>
      <c r="F60" s="555"/>
      <c r="G60" s="555"/>
      <c r="H60" s="555"/>
      <c r="I60" s="555"/>
      <c r="J60" s="555"/>
      <c r="K60" s="555"/>
      <c r="L60" s="555"/>
      <c r="M60" s="555"/>
      <c r="N60" s="555"/>
      <c r="O60" s="555"/>
      <c r="P60" s="555"/>
      <c r="Q60" s="555"/>
      <c r="R60" s="555"/>
      <c r="S60" s="555"/>
      <c r="T60" s="555"/>
      <c r="U60" s="555"/>
      <c r="V60" s="555"/>
      <c r="W60" s="555"/>
      <c r="X60" s="555"/>
      <c r="Y60" s="555"/>
      <c r="Z60" s="555"/>
      <c r="AA60" s="555"/>
      <c r="AB60" s="555"/>
      <c r="AC60" s="555"/>
      <c r="AD60" s="555"/>
      <c r="AE60" s="555"/>
      <c r="AF60" s="555"/>
      <c r="AG60" s="555"/>
      <c r="AH60" s="555"/>
      <c r="AI60" s="555"/>
      <c r="AJ60" s="555"/>
      <c r="AK60" s="555"/>
      <c r="AL60" s="555"/>
      <c r="AM60" s="555"/>
      <c r="AN60" s="555"/>
      <c r="AO60" s="555"/>
      <c r="AP60" s="555"/>
      <c r="AQ60" s="555"/>
      <c r="AR60" s="556"/>
      <c r="AS60" s="554">
        <v>2</v>
      </c>
      <c r="AT60" s="555"/>
      <c r="AU60" s="555"/>
      <c r="AV60" s="555"/>
      <c r="AW60" s="555"/>
      <c r="AX60" s="555"/>
      <c r="AY60" s="555"/>
      <c r="AZ60" s="555"/>
      <c r="BA60" s="555"/>
      <c r="BB60" s="556"/>
      <c r="BC60" s="554">
        <v>3</v>
      </c>
      <c r="BD60" s="555"/>
      <c r="BE60" s="555"/>
      <c r="BF60" s="555"/>
      <c r="BG60" s="555"/>
      <c r="BH60" s="555"/>
      <c r="BI60" s="555"/>
      <c r="BJ60" s="555"/>
      <c r="BK60" s="555"/>
      <c r="BL60" s="555"/>
      <c r="BM60" s="556"/>
      <c r="BN60" s="554">
        <v>4</v>
      </c>
      <c r="BO60" s="555"/>
      <c r="BP60" s="555"/>
      <c r="BQ60" s="555"/>
      <c r="BR60" s="555"/>
      <c r="BS60" s="555"/>
      <c r="BT60" s="555"/>
      <c r="BU60" s="555"/>
      <c r="BV60" s="555"/>
      <c r="BW60" s="555"/>
      <c r="BX60" s="555"/>
      <c r="BY60" s="555"/>
      <c r="BZ60" s="555"/>
      <c r="CA60" s="555"/>
      <c r="CB60" s="555"/>
      <c r="CC60" s="68" t="s">
        <v>193</v>
      </c>
      <c r="CD60" s="68" t="s">
        <v>194</v>
      </c>
      <c r="CE60" s="68" t="s">
        <v>298</v>
      </c>
      <c r="CF60" s="418" t="s">
        <v>296</v>
      </c>
    </row>
    <row r="61" spans="1:98" s="14" customFormat="1" x14ac:dyDescent="0.2">
      <c r="A61" s="822">
        <v>1</v>
      </c>
      <c r="B61" s="823"/>
      <c r="C61" s="823"/>
      <c r="D61" s="824"/>
      <c r="E61" s="760" t="s">
        <v>350</v>
      </c>
      <c r="F61" s="761"/>
      <c r="G61" s="761"/>
      <c r="H61" s="761"/>
      <c r="I61" s="761"/>
      <c r="J61" s="761"/>
      <c r="K61" s="761"/>
      <c r="L61" s="761"/>
      <c r="M61" s="761"/>
      <c r="N61" s="761"/>
      <c r="O61" s="761"/>
      <c r="P61" s="761"/>
      <c r="Q61" s="761"/>
      <c r="R61" s="761"/>
      <c r="S61" s="761"/>
      <c r="T61" s="761"/>
      <c r="U61" s="761"/>
      <c r="V61" s="761"/>
      <c r="W61" s="761"/>
      <c r="X61" s="761"/>
      <c r="Y61" s="761"/>
      <c r="Z61" s="761"/>
      <c r="AA61" s="761"/>
      <c r="AB61" s="761"/>
      <c r="AC61" s="761"/>
      <c r="AD61" s="761"/>
      <c r="AE61" s="761"/>
      <c r="AF61" s="761"/>
      <c r="AG61" s="761"/>
      <c r="AH61" s="761"/>
      <c r="AI61" s="761"/>
      <c r="AJ61" s="761"/>
      <c r="AK61" s="761"/>
      <c r="AL61" s="761"/>
      <c r="AM61" s="761"/>
      <c r="AN61" s="761"/>
      <c r="AO61" s="761"/>
      <c r="AP61" s="761"/>
      <c r="AQ61" s="761"/>
      <c r="AR61" s="762"/>
      <c r="AS61" s="747"/>
      <c r="AT61" s="748"/>
      <c r="AU61" s="748"/>
      <c r="AV61" s="748"/>
      <c r="AW61" s="748"/>
      <c r="AX61" s="748"/>
      <c r="AY61" s="748"/>
      <c r="AZ61" s="748"/>
      <c r="BA61" s="748"/>
      <c r="BB61" s="749"/>
      <c r="BC61" s="747"/>
      <c r="BD61" s="748"/>
      <c r="BE61" s="748"/>
      <c r="BF61" s="748"/>
      <c r="BG61" s="748"/>
      <c r="BH61" s="748"/>
      <c r="BI61" s="748"/>
      <c r="BJ61" s="748"/>
      <c r="BK61" s="748"/>
      <c r="BL61" s="748"/>
      <c r="BM61" s="749"/>
      <c r="BN61" s="763"/>
      <c r="BO61" s="764"/>
      <c r="BP61" s="764"/>
      <c r="BQ61" s="764"/>
      <c r="BR61" s="764"/>
      <c r="BS61" s="764"/>
      <c r="BT61" s="764"/>
      <c r="BU61" s="764"/>
      <c r="BV61" s="764"/>
      <c r="BW61" s="764"/>
      <c r="BX61" s="764"/>
      <c r="BY61" s="764"/>
      <c r="BZ61" s="764"/>
      <c r="CA61" s="764"/>
      <c r="CB61" s="764"/>
      <c r="CC61" s="69"/>
      <c r="CD61" s="69"/>
      <c r="CE61" s="69">
        <f>BN61-CC61</f>
        <v>0</v>
      </c>
      <c r="CF61" s="427">
        <f>BN61-CC61</f>
        <v>0</v>
      </c>
    </row>
    <row r="62" spans="1:98" s="155" customFormat="1" ht="13.5" thickBot="1" x14ac:dyDescent="0.25">
      <c r="A62" s="811"/>
      <c r="B62" s="812"/>
      <c r="C62" s="812"/>
      <c r="D62" s="813"/>
      <c r="E62" s="811" t="s">
        <v>10</v>
      </c>
      <c r="F62" s="812"/>
      <c r="G62" s="812"/>
      <c r="H62" s="812"/>
      <c r="I62" s="812"/>
      <c r="J62" s="812"/>
      <c r="K62" s="812"/>
      <c r="L62" s="812"/>
      <c r="M62" s="812"/>
      <c r="N62" s="812"/>
      <c r="O62" s="812"/>
      <c r="P62" s="812"/>
      <c r="Q62" s="812"/>
      <c r="R62" s="812"/>
      <c r="S62" s="812"/>
      <c r="T62" s="812"/>
      <c r="U62" s="812"/>
      <c r="V62" s="812"/>
      <c r="W62" s="812"/>
      <c r="X62" s="812"/>
      <c r="Y62" s="812"/>
      <c r="Z62" s="812"/>
      <c r="AA62" s="812"/>
      <c r="AB62" s="812"/>
      <c r="AC62" s="812"/>
      <c r="AD62" s="812"/>
      <c r="AE62" s="812"/>
      <c r="AF62" s="812"/>
      <c r="AG62" s="812"/>
      <c r="AH62" s="812"/>
      <c r="AI62" s="812"/>
      <c r="AJ62" s="812"/>
      <c r="AK62" s="812"/>
      <c r="AL62" s="812"/>
      <c r="AM62" s="812"/>
      <c r="AN62" s="812"/>
      <c r="AO62" s="812"/>
      <c r="AP62" s="812"/>
      <c r="AQ62" s="812"/>
      <c r="AR62" s="813"/>
      <c r="AS62" s="814"/>
      <c r="AT62" s="815"/>
      <c r="AU62" s="815"/>
      <c r="AV62" s="815"/>
      <c r="AW62" s="815"/>
      <c r="AX62" s="815"/>
      <c r="AY62" s="815"/>
      <c r="AZ62" s="815"/>
      <c r="BA62" s="815"/>
      <c r="BB62" s="816"/>
      <c r="BC62" s="817"/>
      <c r="BD62" s="818"/>
      <c r="BE62" s="818"/>
      <c r="BF62" s="818"/>
      <c r="BG62" s="818"/>
      <c r="BH62" s="818"/>
      <c r="BI62" s="818"/>
      <c r="BJ62" s="818"/>
      <c r="BK62" s="818"/>
      <c r="BL62" s="818"/>
      <c r="BM62" s="819"/>
      <c r="BN62" s="820">
        <f>SUM(BN61:BW61)</f>
        <v>0</v>
      </c>
      <c r="BO62" s="821"/>
      <c r="BP62" s="821"/>
      <c r="BQ62" s="821"/>
      <c r="BR62" s="821"/>
      <c r="BS62" s="821"/>
      <c r="BT62" s="821"/>
      <c r="BU62" s="821"/>
      <c r="BV62" s="821"/>
      <c r="BW62" s="821"/>
      <c r="BX62" s="70"/>
      <c r="BY62" s="70"/>
      <c r="BZ62" s="70"/>
      <c r="CA62" s="70"/>
      <c r="CB62" s="389"/>
      <c r="CC62" s="158"/>
      <c r="CD62" s="158"/>
      <c r="CE62" s="158"/>
      <c r="CF62" s="421"/>
      <c r="CG62" s="159"/>
      <c r="CH62" s="159"/>
      <c r="CI62" s="159"/>
      <c r="CJ62" s="159"/>
      <c r="CK62" s="159"/>
      <c r="CL62" s="159"/>
      <c r="CM62" s="159"/>
      <c r="CN62" s="159"/>
      <c r="CO62" s="159"/>
      <c r="CP62" s="159"/>
      <c r="CQ62" s="159"/>
      <c r="CR62" s="159"/>
      <c r="CS62" s="159"/>
      <c r="CT62" s="159"/>
    </row>
    <row r="63" spans="1:98" s="3" customFormat="1" ht="15.75" x14ac:dyDescent="0.25">
      <c r="A63" s="518" t="s">
        <v>431</v>
      </c>
      <c r="B63" s="518"/>
      <c r="C63" s="518"/>
      <c r="D63" s="518"/>
      <c r="E63" s="518"/>
      <c r="F63" s="518"/>
      <c r="G63" s="518"/>
      <c r="H63" s="518"/>
      <c r="I63" s="518"/>
      <c r="J63" s="518"/>
      <c r="K63" s="518"/>
      <c r="L63" s="518"/>
      <c r="M63" s="518"/>
      <c r="N63" s="518"/>
      <c r="O63" s="518"/>
      <c r="P63" s="518"/>
      <c r="Q63" s="518"/>
      <c r="R63" s="518"/>
      <c r="S63" s="518"/>
      <c r="T63" s="518"/>
      <c r="U63" s="518"/>
      <c r="V63" s="518"/>
      <c r="W63" s="518"/>
      <c r="X63" s="518"/>
      <c r="Y63" s="518"/>
      <c r="Z63" s="518"/>
      <c r="AA63" s="518"/>
      <c r="AB63" s="518"/>
      <c r="AC63" s="518"/>
      <c r="AD63" s="518"/>
      <c r="AE63" s="518"/>
      <c r="AF63" s="518"/>
      <c r="AG63" s="518"/>
      <c r="AH63" s="518"/>
      <c r="AI63" s="518"/>
      <c r="AJ63" s="518"/>
      <c r="AK63" s="518"/>
      <c r="AL63" s="518"/>
      <c r="AM63" s="518"/>
      <c r="AN63" s="518"/>
      <c r="AO63" s="518"/>
      <c r="AP63" s="518"/>
      <c r="AQ63" s="518"/>
      <c r="AR63" s="518"/>
      <c r="AS63" s="518"/>
      <c r="AT63" s="518"/>
      <c r="AU63" s="518"/>
      <c r="AV63" s="518"/>
      <c r="AW63" s="518"/>
      <c r="AX63" s="518"/>
      <c r="AY63" s="518"/>
      <c r="AZ63" s="518"/>
      <c r="BA63" s="518"/>
      <c r="BB63" s="518"/>
      <c r="BC63" s="518"/>
      <c r="BD63" s="518"/>
      <c r="BE63" s="518"/>
      <c r="BF63" s="518"/>
      <c r="BG63" s="518"/>
      <c r="BH63" s="518"/>
      <c r="BI63" s="518"/>
      <c r="BJ63" s="518"/>
      <c r="BK63" s="518"/>
      <c r="BL63" s="518"/>
      <c r="BM63" s="518"/>
      <c r="BN63" s="518"/>
      <c r="BO63" s="518"/>
      <c r="BP63" s="518"/>
      <c r="BQ63" s="518"/>
      <c r="BR63" s="518"/>
      <c r="BS63" s="518"/>
      <c r="BT63" s="518"/>
      <c r="BU63" s="518"/>
      <c r="BV63" s="518"/>
      <c r="BW63" s="518"/>
      <c r="BX63" s="518"/>
      <c r="BY63" s="518"/>
      <c r="BZ63" s="518"/>
      <c r="CA63" s="518"/>
      <c r="CB63" s="628"/>
      <c r="CC63" s="135"/>
      <c r="CD63" s="135"/>
      <c r="CE63" s="135"/>
      <c r="CF63" s="422"/>
    </row>
    <row r="64" spans="1:98" s="3" customFormat="1" ht="15.75" x14ac:dyDescent="0.25">
      <c r="A64" s="518" t="s">
        <v>291</v>
      </c>
      <c r="B64" s="518"/>
      <c r="C64" s="518"/>
      <c r="D64" s="518"/>
      <c r="E64" s="518"/>
      <c r="F64" s="518"/>
      <c r="G64" s="518"/>
      <c r="H64" s="518"/>
      <c r="I64" s="518"/>
      <c r="J64" s="518"/>
      <c r="K64" s="518"/>
      <c r="L64" s="518"/>
      <c r="M64" s="518"/>
      <c r="N64" s="518"/>
      <c r="O64" s="518"/>
      <c r="P64" s="518"/>
      <c r="Q64" s="518"/>
      <c r="R64" s="518"/>
      <c r="S64" s="518"/>
      <c r="T64" s="518"/>
      <c r="U64" s="518"/>
      <c r="V64" s="518"/>
      <c r="W64" s="518"/>
      <c r="X64" s="518"/>
      <c r="Y64" s="518"/>
      <c r="Z64" s="518"/>
      <c r="AA64" s="518"/>
      <c r="AB64" s="518"/>
      <c r="AC64" s="518"/>
      <c r="AD64" s="518"/>
      <c r="AE64" s="518"/>
      <c r="AF64" s="518"/>
      <c r="AG64" s="518"/>
      <c r="AH64" s="518"/>
      <c r="AI64" s="518"/>
      <c r="AJ64" s="518"/>
      <c r="AK64" s="518"/>
      <c r="AL64" s="518"/>
      <c r="AM64" s="518"/>
      <c r="AN64" s="518"/>
      <c r="AO64" s="518"/>
      <c r="AP64" s="518"/>
      <c r="AQ64" s="518"/>
      <c r="AR64" s="518"/>
      <c r="AS64" s="518"/>
      <c r="AT64" s="518"/>
      <c r="AU64" s="518"/>
      <c r="AV64" s="518"/>
      <c r="AW64" s="518"/>
      <c r="AX64" s="518"/>
      <c r="AY64" s="518"/>
      <c r="AZ64" s="518"/>
      <c r="BA64" s="518"/>
      <c r="BB64" s="518"/>
      <c r="BC64" s="518"/>
      <c r="BD64" s="518"/>
      <c r="BE64" s="518"/>
      <c r="BF64" s="518"/>
      <c r="BG64" s="518"/>
      <c r="BH64" s="518"/>
      <c r="BI64" s="518"/>
      <c r="BJ64" s="518"/>
      <c r="BK64" s="518"/>
      <c r="BL64" s="518"/>
      <c r="BM64" s="518"/>
      <c r="BN64" s="518"/>
      <c r="BO64" s="518"/>
      <c r="BP64" s="518"/>
      <c r="BQ64" s="518"/>
      <c r="BR64" s="518"/>
      <c r="BS64" s="518"/>
      <c r="BT64" s="518"/>
      <c r="BU64" s="518"/>
      <c r="BV64" s="518"/>
      <c r="BW64" s="518"/>
      <c r="BX64" s="518"/>
      <c r="BY64" s="518"/>
      <c r="BZ64" s="518"/>
      <c r="CA64" s="518"/>
      <c r="CB64" s="628"/>
      <c r="CC64" s="135"/>
      <c r="CD64" s="135"/>
      <c r="CE64" s="135"/>
      <c r="CF64" s="422"/>
    </row>
    <row r="65" spans="1:98" x14ac:dyDescent="0.2">
      <c r="A65" s="519" t="s">
        <v>5</v>
      </c>
      <c r="B65" s="520"/>
      <c r="C65" s="520"/>
      <c r="D65" s="523"/>
      <c r="E65" s="519" t="s">
        <v>13</v>
      </c>
      <c r="F65" s="520"/>
      <c r="G65" s="520"/>
      <c r="H65" s="520"/>
      <c r="I65" s="520"/>
      <c r="J65" s="520"/>
      <c r="K65" s="520"/>
      <c r="L65" s="520"/>
      <c r="M65" s="520"/>
      <c r="N65" s="520"/>
      <c r="O65" s="520"/>
      <c r="P65" s="520"/>
      <c r="Q65" s="520"/>
      <c r="R65" s="520"/>
      <c r="S65" s="520"/>
      <c r="T65" s="520"/>
      <c r="U65" s="520"/>
      <c r="V65" s="520"/>
      <c r="W65" s="520"/>
      <c r="X65" s="520"/>
      <c r="Y65" s="520"/>
      <c r="Z65" s="520"/>
      <c r="AA65" s="520"/>
      <c r="AB65" s="520"/>
      <c r="AC65" s="520"/>
      <c r="AD65" s="520"/>
      <c r="AE65" s="520"/>
      <c r="AF65" s="520"/>
      <c r="AG65" s="520"/>
      <c r="AH65" s="520"/>
      <c r="AI65" s="520"/>
      <c r="AJ65" s="520"/>
      <c r="AK65" s="520"/>
      <c r="AL65" s="520"/>
      <c r="AM65" s="520"/>
      <c r="AN65" s="520"/>
      <c r="AO65" s="520"/>
      <c r="AP65" s="520"/>
      <c r="AQ65" s="520"/>
      <c r="AR65" s="523"/>
      <c r="AS65" s="519" t="s">
        <v>18</v>
      </c>
      <c r="AT65" s="520"/>
      <c r="AU65" s="520"/>
      <c r="AV65" s="520"/>
      <c r="AW65" s="520"/>
      <c r="AX65" s="520"/>
      <c r="AY65" s="520"/>
      <c r="AZ65" s="520"/>
      <c r="BA65" s="520"/>
      <c r="BB65" s="523"/>
      <c r="BC65" s="519" t="s">
        <v>106</v>
      </c>
      <c r="BD65" s="520"/>
      <c r="BE65" s="520"/>
      <c r="BF65" s="520"/>
      <c r="BG65" s="520"/>
      <c r="BH65" s="520"/>
      <c r="BI65" s="520"/>
      <c r="BJ65" s="520"/>
      <c r="BK65" s="520"/>
      <c r="BL65" s="520"/>
      <c r="BM65" s="523"/>
      <c r="BN65" s="519" t="s">
        <v>22</v>
      </c>
      <c r="BO65" s="520"/>
      <c r="BP65" s="520"/>
      <c r="BQ65" s="520"/>
      <c r="BR65" s="520"/>
      <c r="BS65" s="520"/>
      <c r="BT65" s="520"/>
      <c r="BU65" s="520"/>
      <c r="BV65" s="520"/>
      <c r="BW65" s="520"/>
      <c r="BX65" s="520"/>
      <c r="BY65" s="520"/>
      <c r="BZ65" s="520"/>
      <c r="CA65" s="520"/>
      <c r="CB65" s="520"/>
      <c r="CC65" s="137"/>
      <c r="CD65" s="137"/>
      <c r="CE65" s="137"/>
      <c r="CF65" s="424"/>
    </row>
    <row r="66" spans="1:98" x14ac:dyDescent="0.2">
      <c r="A66" s="521" t="s">
        <v>6</v>
      </c>
      <c r="B66" s="522"/>
      <c r="C66" s="522"/>
      <c r="D66" s="537"/>
      <c r="E66" s="521"/>
      <c r="F66" s="522"/>
      <c r="G66" s="522"/>
      <c r="H66" s="522"/>
      <c r="I66" s="522"/>
      <c r="J66" s="522"/>
      <c r="K66" s="522"/>
      <c r="L66" s="522"/>
      <c r="M66" s="522"/>
      <c r="N66" s="522"/>
      <c r="O66" s="522"/>
      <c r="P66" s="522"/>
      <c r="Q66" s="522"/>
      <c r="R66" s="522"/>
      <c r="S66" s="522"/>
      <c r="T66" s="522"/>
      <c r="U66" s="522"/>
      <c r="V66" s="522"/>
      <c r="W66" s="522"/>
      <c r="X66" s="522"/>
      <c r="Y66" s="522"/>
      <c r="Z66" s="522"/>
      <c r="AA66" s="522"/>
      <c r="AB66" s="522"/>
      <c r="AC66" s="522"/>
      <c r="AD66" s="522"/>
      <c r="AE66" s="522"/>
      <c r="AF66" s="522"/>
      <c r="AG66" s="522"/>
      <c r="AH66" s="522"/>
      <c r="AI66" s="522"/>
      <c r="AJ66" s="522"/>
      <c r="AK66" s="522"/>
      <c r="AL66" s="522"/>
      <c r="AM66" s="522"/>
      <c r="AN66" s="522"/>
      <c r="AO66" s="522"/>
      <c r="AP66" s="522"/>
      <c r="AQ66" s="522"/>
      <c r="AR66" s="537"/>
      <c r="AS66" s="521"/>
      <c r="AT66" s="522"/>
      <c r="AU66" s="522"/>
      <c r="AV66" s="522"/>
      <c r="AW66" s="522"/>
      <c r="AX66" s="522"/>
      <c r="AY66" s="522"/>
      <c r="AZ66" s="522"/>
      <c r="BA66" s="522"/>
      <c r="BB66" s="537"/>
      <c r="BC66" s="521" t="s">
        <v>107</v>
      </c>
      <c r="BD66" s="522"/>
      <c r="BE66" s="522"/>
      <c r="BF66" s="522"/>
      <c r="BG66" s="522"/>
      <c r="BH66" s="522"/>
      <c r="BI66" s="522"/>
      <c r="BJ66" s="522"/>
      <c r="BK66" s="522"/>
      <c r="BL66" s="522"/>
      <c r="BM66" s="537"/>
      <c r="BN66" s="521" t="s">
        <v>116</v>
      </c>
      <c r="BO66" s="522"/>
      <c r="BP66" s="522"/>
      <c r="BQ66" s="522"/>
      <c r="BR66" s="522"/>
      <c r="BS66" s="522"/>
      <c r="BT66" s="522"/>
      <c r="BU66" s="522"/>
      <c r="BV66" s="522"/>
      <c r="BW66" s="522"/>
      <c r="BX66" s="522"/>
      <c r="BY66" s="522"/>
      <c r="BZ66" s="522"/>
      <c r="CA66" s="522"/>
      <c r="CB66" s="522"/>
      <c r="CC66" s="137"/>
      <c r="CD66" s="137"/>
      <c r="CE66" s="137"/>
      <c r="CF66" s="424"/>
    </row>
    <row r="67" spans="1:98" ht="9.75" customHeight="1" x14ac:dyDescent="0.2">
      <c r="A67" s="531"/>
      <c r="B67" s="532"/>
      <c r="C67" s="532"/>
      <c r="D67" s="533"/>
      <c r="E67" s="531"/>
      <c r="F67" s="532"/>
      <c r="G67" s="532"/>
      <c r="H67" s="532"/>
      <c r="I67" s="532"/>
      <c r="J67" s="532"/>
      <c r="K67" s="532"/>
      <c r="L67" s="532"/>
      <c r="M67" s="532"/>
      <c r="N67" s="532"/>
      <c r="O67" s="532"/>
      <c r="P67" s="532"/>
      <c r="Q67" s="532"/>
      <c r="R67" s="532"/>
      <c r="S67" s="532"/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I67" s="532"/>
      <c r="AJ67" s="532"/>
      <c r="AK67" s="532"/>
      <c r="AL67" s="532"/>
      <c r="AM67" s="532"/>
      <c r="AN67" s="532"/>
      <c r="AO67" s="532"/>
      <c r="AP67" s="532"/>
      <c r="AQ67" s="532"/>
      <c r="AR67" s="533"/>
      <c r="AS67" s="531"/>
      <c r="AT67" s="532"/>
      <c r="AU67" s="532"/>
      <c r="AV67" s="532"/>
      <c r="AW67" s="532"/>
      <c r="AX67" s="532"/>
      <c r="AY67" s="532"/>
      <c r="AZ67" s="532"/>
      <c r="BA67" s="532"/>
      <c r="BB67" s="533"/>
      <c r="BC67" s="531" t="s">
        <v>17</v>
      </c>
      <c r="BD67" s="532"/>
      <c r="BE67" s="532"/>
      <c r="BF67" s="532"/>
      <c r="BG67" s="532"/>
      <c r="BH67" s="532"/>
      <c r="BI67" s="532"/>
      <c r="BJ67" s="532"/>
      <c r="BK67" s="532"/>
      <c r="BL67" s="532"/>
      <c r="BM67" s="533"/>
      <c r="BN67" s="531"/>
      <c r="BO67" s="532"/>
      <c r="BP67" s="532"/>
      <c r="BQ67" s="532"/>
      <c r="BR67" s="532"/>
      <c r="BS67" s="532"/>
      <c r="BT67" s="532"/>
      <c r="BU67" s="532"/>
      <c r="BV67" s="532"/>
      <c r="BW67" s="532"/>
      <c r="BX67" s="532"/>
      <c r="BY67" s="532"/>
      <c r="BZ67" s="532"/>
      <c r="CA67" s="532"/>
      <c r="CB67" s="532"/>
      <c r="CC67" s="137"/>
      <c r="CD67" s="137"/>
      <c r="CE67" s="137"/>
      <c r="CF67" s="424"/>
    </row>
    <row r="68" spans="1:98" ht="14.25" customHeight="1" x14ac:dyDescent="0.25">
      <c r="A68" s="554"/>
      <c r="B68" s="555"/>
      <c r="C68" s="555"/>
      <c r="D68" s="556"/>
      <c r="E68" s="554">
        <v>1</v>
      </c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555"/>
      <c r="U68" s="555"/>
      <c r="V68" s="555"/>
      <c r="W68" s="555"/>
      <c r="X68" s="555"/>
      <c r="Y68" s="555"/>
      <c r="Z68" s="555"/>
      <c r="AA68" s="555"/>
      <c r="AB68" s="555"/>
      <c r="AC68" s="555"/>
      <c r="AD68" s="555"/>
      <c r="AE68" s="555"/>
      <c r="AF68" s="555"/>
      <c r="AG68" s="555"/>
      <c r="AH68" s="555"/>
      <c r="AI68" s="555"/>
      <c r="AJ68" s="555"/>
      <c r="AK68" s="555"/>
      <c r="AL68" s="555"/>
      <c r="AM68" s="555"/>
      <c r="AN68" s="555"/>
      <c r="AO68" s="555"/>
      <c r="AP68" s="555"/>
      <c r="AQ68" s="555"/>
      <c r="AR68" s="556"/>
      <c r="AS68" s="554">
        <v>2</v>
      </c>
      <c r="AT68" s="555"/>
      <c r="AU68" s="555"/>
      <c r="AV68" s="555"/>
      <c r="AW68" s="555"/>
      <c r="AX68" s="555"/>
      <c r="AY68" s="555"/>
      <c r="AZ68" s="555"/>
      <c r="BA68" s="555"/>
      <c r="BB68" s="556"/>
      <c r="BC68" s="554">
        <v>3</v>
      </c>
      <c r="BD68" s="555"/>
      <c r="BE68" s="555"/>
      <c r="BF68" s="555"/>
      <c r="BG68" s="555"/>
      <c r="BH68" s="555"/>
      <c r="BI68" s="555"/>
      <c r="BJ68" s="555"/>
      <c r="BK68" s="555"/>
      <c r="BL68" s="555"/>
      <c r="BM68" s="556"/>
      <c r="BN68" s="554">
        <v>4</v>
      </c>
      <c r="BO68" s="555"/>
      <c r="BP68" s="555"/>
      <c r="BQ68" s="555"/>
      <c r="BR68" s="555"/>
      <c r="BS68" s="555"/>
      <c r="BT68" s="555"/>
      <c r="BU68" s="555"/>
      <c r="BV68" s="555"/>
      <c r="BW68" s="555"/>
      <c r="BX68" s="555"/>
      <c r="BY68" s="555"/>
      <c r="BZ68" s="555"/>
      <c r="CA68" s="555"/>
      <c r="CB68" s="556"/>
      <c r="CC68" s="68" t="s">
        <v>193</v>
      </c>
      <c r="CD68" s="68" t="s">
        <v>194</v>
      </c>
      <c r="CE68" s="68" t="s">
        <v>298</v>
      </c>
      <c r="CF68" s="418" t="s">
        <v>296</v>
      </c>
    </row>
    <row r="69" spans="1:98" s="17" customFormat="1" ht="12" customHeight="1" x14ac:dyDescent="0.2">
      <c r="A69" s="822">
        <v>1</v>
      </c>
      <c r="B69" s="823"/>
      <c r="C69" s="823"/>
      <c r="D69" s="824"/>
      <c r="E69" s="826" t="s">
        <v>437</v>
      </c>
      <c r="F69" s="827"/>
      <c r="G69" s="827"/>
      <c r="H69" s="827"/>
      <c r="I69" s="827"/>
      <c r="J69" s="827"/>
      <c r="K69" s="827"/>
      <c r="L69" s="827"/>
      <c r="M69" s="827"/>
      <c r="N69" s="827"/>
      <c r="O69" s="827"/>
      <c r="P69" s="827"/>
      <c r="Q69" s="827"/>
      <c r="R69" s="827"/>
      <c r="S69" s="827"/>
      <c r="T69" s="827"/>
      <c r="U69" s="827"/>
      <c r="V69" s="827"/>
      <c r="W69" s="827"/>
      <c r="X69" s="827"/>
      <c r="Y69" s="827"/>
      <c r="Z69" s="827"/>
      <c r="AA69" s="827"/>
      <c r="AB69" s="827"/>
      <c r="AC69" s="827"/>
      <c r="AD69" s="827"/>
      <c r="AE69" s="827"/>
      <c r="AF69" s="827"/>
      <c r="AG69" s="827"/>
      <c r="AH69" s="827"/>
      <c r="AI69" s="827"/>
      <c r="AJ69" s="827"/>
      <c r="AK69" s="827"/>
      <c r="AL69" s="827"/>
      <c r="AM69" s="827"/>
      <c r="AN69" s="827"/>
      <c r="AO69" s="827"/>
      <c r="AP69" s="827"/>
      <c r="AQ69" s="827"/>
      <c r="AR69" s="828"/>
      <c r="AS69" s="747"/>
      <c r="AT69" s="748"/>
      <c r="AU69" s="748"/>
      <c r="AV69" s="748"/>
      <c r="AW69" s="748"/>
      <c r="AX69" s="748"/>
      <c r="AY69" s="748"/>
      <c r="AZ69" s="748"/>
      <c r="BA69" s="748"/>
      <c r="BB69" s="749"/>
      <c r="BC69" s="747"/>
      <c r="BD69" s="748"/>
      <c r="BE69" s="748"/>
      <c r="BF69" s="748"/>
      <c r="BG69" s="748"/>
      <c r="BH69" s="748"/>
      <c r="BI69" s="748"/>
      <c r="BJ69" s="748"/>
      <c r="BK69" s="748"/>
      <c r="BL69" s="748"/>
      <c r="BM69" s="749"/>
      <c r="BN69" s="808"/>
      <c r="BO69" s="809"/>
      <c r="BP69" s="809"/>
      <c r="BQ69" s="809"/>
      <c r="BR69" s="809"/>
      <c r="BS69" s="809"/>
      <c r="BT69" s="809"/>
      <c r="BU69" s="809"/>
      <c r="BV69" s="809"/>
      <c r="BW69" s="809"/>
      <c r="BX69" s="809"/>
      <c r="BY69" s="809"/>
      <c r="BZ69" s="809"/>
      <c r="CA69" s="809"/>
      <c r="CB69" s="810"/>
      <c r="CC69" s="69"/>
      <c r="CD69" s="69"/>
      <c r="CE69" s="69">
        <f t="shared" ref="CE69:CE75" si="4">CC69-CD69</f>
        <v>0</v>
      </c>
      <c r="CF69" s="427">
        <f t="shared" ref="CF69:CF75" si="5">BN69-CC69</f>
        <v>0</v>
      </c>
    </row>
    <row r="70" spans="1:98" s="17" customFormat="1" x14ac:dyDescent="0.2">
      <c r="A70" s="397"/>
      <c r="B70" s="398">
        <v>2</v>
      </c>
      <c r="C70" s="398"/>
      <c r="D70" s="399"/>
      <c r="E70" s="760" t="s">
        <v>479</v>
      </c>
      <c r="F70" s="761"/>
      <c r="G70" s="761"/>
      <c r="H70" s="761"/>
      <c r="I70" s="761"/>
      <c r="J70" s="761"/>
      <c r="K70" s="761"/>
      <c r="L70" s="761"/>
      <c r="M70" s="761"/>
      <c r="N70" s="761"/>
      <c r="O70" s="761"/>
      <c r="P70" s="761"/>
      <c r="Q70" s="761"/>
      <c r="R70" s="761"/>
      <c r="S70" s="761"/>
      <c r="T70" s="761"/>
      <c r="U70" s="761"/>
      <c r="V70" s="761"/>
      <c r="W70" s="761"/>
      <c r="X70" s="761"/>
      <c r="Y70" s="761"/>
      <c r="Z70" s="761"/>
      <c r="AA70" s="761"/>
      <c r="AB70" s="761"/>
      <c r="AC70" s="761"/>
      <c r="AD70" s="761"/>
      <c r="AE70" s="761"/>
      <c r="AF70" s="761"/>
      <c r="AG70" s="761"/>
      <c r="AH70" s="761"/>
      <c r="AI70" s="761"/>
      <c r="AJ70" s="761"/>
      <c r="AK70" s="761"/>
      <c r="AL70" s="761"/>
      <c r="AM70" s="761"/>
      <c r="AN70" s="761"/>
      <c r="AO70" s="761"/>
      <c r="AP70" s="761"/>
      <c r="AQ70" s="761"/>
      <c r="AR70" s="762"/>
      <c r="AS70" s="393"/>
      <c r="AT70" s="394"/>
      <c r="AU70" s="394"/>
      <c r="AV70" s="394"/>
      <c r="AW70" s="394"/>
      <c r="AX70" s="394"/>
      <c r="AY70" s="394"/>
      <c r="AZ70" s="394"/>
      <c r="BA70" s="394"/>
      <c r="BB70" s="395"/>
      <c r="BC70" s="393"/>
      <c r="BD70" s="394"/>
      <c r="BE70" s="394"/>
      <c r="BF70" s="394"/>
      <c r="BG70" s="394"/>
      <c r="BH70" s="394"/>
      <c r="BI70" s="394"/>
      <c r="BJ70" s="394"/>
      <c r="BK70" s="394"/>
      <c r="BL70" s="394"/>
      <c r="BM70" s="395"/>
      <c r="BN70" s="108"/>
      <c r="BO70" s="109"/>
      <c r="BP70" s="109"/>
      <c r="BQ70" s="109"/>
      <c r="BR70" s="825">
        <f>25000</f>
        <v>25000</v>
      </c>
      <c r="BS70" s="825"/>
      <c r="BT70" s="825"/>
      <c r="BU70" s="825"/>
      <c r="BV70" s="825"/>
      <c r="BW70" s="825"/>
      <c r="BX70" s="401"/>
      <c r="BY70" s="401"/>
      <c r="BZ70" s="401"/>
      <c r="CA70" s="401"/>
      <c r="CB70" s="402"/>
      <c r="CC70" s="69">
        <v>13225</v>
      </c>
      <c r="CD70" s="69">
        <v>13225</v>
      </c>
      <c r="CE70" s="69">
        <f t="shared" si="4"/>
        <v>0</v>
      </c>
      <c r="CF70" s="427">
        <f>BR70-CC70</f>
        <v>11775</v>
      </c>
    </row>
    <row r="71" spans="1:98" s="14" customFormat="1" x14ac:dyDescent="0.2">
      <c r="A71" s="822">
        <v>3</v>
      </c>
      <c r="B71" s="823"/>
      <c r="C71" s="823"/>
      <c r="D71" s="824"/>
      <c r="E71" s="760" t="s">
        <v>127</v>
      </c>
      <c r="F71" s="761"/>
      <c r="G71" s="761"/>
      <c r="H71" s="761"/>
      <c r="I71" s="761"/>
      <c r="J71" s="761"/>
      <c r="K71" s="761"/>
      <c r="L71" s="761"/>
      <c r="M71" s="761"/>
      <c r="N71" s="761"/>
      <c r="O71" s="761"/>
      <c r="P71" s="761"/>
      <c r="Q71" s="761"/>
      <c r="R71" s="761"/>
      <c r="S71" s="761"/>
      <c r="T71" s="761"/>
      <c r="U71" s="761"/>
      <c r="V71" s="761"/>
      <c r="W71" s="761"/>
      <c r="X71" s="761"/>
      <c r="Y71" s="761"/>
      <c r="Z71" s="761"/>
      <c r="AA71" s="761"/>
      <c r="AB71" s="761"/>
      <c r="AC71" s="761"/>
      <c r="AD71" s="761"/>
      <c r="AE71" s="761"/>
      <c r="AF71" s="761"/>
      <c r="AG71" s="761"/>
      <c r="AH71" s="761"/>
      <c r="AI71" s="761"/>
      <c r="AJ71" s="761"/>
      <c r="AK71" s="761"/>
      <c r="AL71" s="761"/>
      <c r="AM71" s="761"/>
      <c r="AN71" s="761"/>
      <c r="AO71" s="761"/>
      <c r="AP71" s="761"/>
      <c r="AQ71" s="761"/>
      <c r="AR71" s="762"/>
      <c r="AS71" s="747"/>
      <c r="AT71" s="748"/>
      <c r="AU71" s="748"/>
      <c r="AV71" s="748"/>
      <c r="AW71" s="748"/>
      <c r="AX71" s="748"/>
      <c r="AY71" s="748"/>
      <c r="AZ71" s="748"/>
      <c r="BA71" s="748"/>
      <c r="BB71" s="749"/>
      <c r="BC71" s="747"/>
      <c r="BD71" s="748"/>
      <c r="BE71" s="748"/>
      <c r="BF71" s="748"/>
      <c r="BG71" s="748"/>
      <c r="BH71" s="748"/>
      <c r="BI71" s="748"/>
      <c r="BJ71" s="748"/>
      <c r="BK71" s="748"/>
      <c r="BL71" s="748"/>
      <c r="BM71" s="749"/>
      <c r="BN71" s="763">
        <f>48000+39021.98+20480</f>
        <v>107501.98000000001</v>
      </c>
      <c r="BO71" s="764"/>
      <c r="BP71" s="764"/>
      <c r="BQ71" s="764"/>
      <c r="BR71" s="764"/>
      <c r="BS71" s="764"/>
      <c r="BT71" s="764"/>
      <c r="BU71" s="764"/>
      <c r="BV71" s="764"/>
      <c r="BW71" s="764"/>
      <c r="BX71" s="764"/>
      <c r="BY71" s="764"/>
      <c r="BZ71" s="764"/>
      <c r="CA71" s="764"/>
      <c r="CB71" s="765"/>
      <c r="CC71" s="69">
        <f>13188+2800+35310+35723.98</f>
        <v>87021.98000000001</v>
      </c>
      <c r="CD71" s="69">
        <f>13188+2800+35310+35723.98</f>
        <v>87021.98000000001</v>
      </c>
      <c r="CE71" s="69">
        <f t="shared" si="4"/>
        <v>0</v>
      </c>
      <c r="CF71" s="427">
        <f t="shared" si="5"/>
        <v>20480</v>
      </c>
    </row>
    <row r="72" spans="1:98" s="14" customFormat="1" x14ac:dyDescent="0.2">
      <c r="A72" s="822">
        <v>4</v>
      </c>
      <c r="B72" s="823"/>
      <c r="C72" s="823"/>
      <c r="D72" s="824"/>
      <c r="E72" s="691" t="s">
        <v>301</v>
      </c>
      <c r="F72" s="692"/>
      <c r="G72" s="692"/>
      <c r="H72" s="692"/>
      <c r="I72" s="692"/>
      <c r="J72" s="692"/>
      <c r="K72" s="692"/>
      <c r="L72" s="692"/>
      <c r="M72" s="692"/>
      <c r="N72" s="692"/>
      <c r="O72" s="692"/>
      <c r="P72" s="692"/>
      <c r="Q72" s="692"/>
      <c r="R72" s="692"/>
      <c r="S72" s="692"/>
      <c r="T72" s="692"/>
      <c r="U72" s="692"/>
      <c r="V72" s="692"/>
      <c r="W72" s="692"/>
      <c r="X72" s="692"/>
      <c r="Y72" s="692"/>
      <c r="Z72" s="692"/>
      <c r="AA72" s="692"/>
      <c r="AB72" s="692"/>
      <c r="AC72" s="692"/>
      <c r="AD72" s="692"/>
      <c r="AE72" s="692"/>
      <c r="AF72" s="692"/>
      <c r="AG72" s="692"/>
      <c r="AH72" s="692"/>
      <c r="AI72" s="692"/>
      <c r="AJ72" s="692"/>
      <c r="AK72" s="692"/>
      <c r="AL72" s="692"/>
      <c r="AM72" s="692"/>
      <c r="AN72" s="692"/>
      <c r="AO72" s="692"/>
      <c r="AP72" s="692"/>
      <c r="AQ72" s="692"/>
      <c r="AR72" s="693"/>
      <c r="AS72" s="99"/>
      <c r="AT72" s="100"/>
      <c r="AU72" s="100"/>
      <c r="AV72" s="100"/>
      <c r="AW72" s="100"/>
      <c r="AX72" s="100"/>
      <c r="AY72" s="100"/>
      <c r="AZ72" s="100"/>
      <c r="BA72" s="100"/>
      <c r="BB72" s="101"/>
      <c r="BC72" s="393"/>
      <c r="BD72" s="394"/>
      <c r="BE72" s="394"/>
      <c r="BF72" s="394"/>
      <c r="BG72" s="394"/>
      <c r="BH72" s="394"/>
      <c r="BI72" s="394"/>
      <c r="BJ72" s="394"/>
      <c r="BK72" s="394"/>
      <c r="BL72" s="394"/>
      <c r="BM72" s="395"/>
      <c r="BN72" s="829">
        <f>39200-15021.98-10000</f>
        <v>14178.02</v>
      </c>
      <c r="BO72" s="825"/>
      <c r="BP72" s="825"/>
      <c r="BQ72" s="825"/>
      <c r="BR72" s="825"/>
      <c r="BS72" s="825"/>
      <c r="BT72" s="825"/>
      <c r="BU72" s="825"/>
      <c r="BV72" s="825"/>
      <c r="BW72" s="825"/>
      <c r="BX72" s="401"/>
      <c r="BY72" s="401"/>
      <c r="BZ72" s="401"/>
      <c r="CA72" s="401"/>
      <c r="CB72" s="401"/>
      <c r="CC72" s="69">
        <v>3890</v>
      </c>
      <c r="CD72" s="69">
        <v>3890</v>
      </c>
      <c r="CE72" s="69">
        <f>CC72-CD72</f>
        <v>0</v>
      </c>
      <c r="CF72" s="427">
        <f>BN72-CC72</f>
        <v>10288.02</v>
      </c>
    </row>
    <row r="73" spans="1:98" s="14" customFormat="1" x14ac:dyDescent="0.2">
      <c r="A73" s="822">
        <v>5</v>
      </c>
      <c r="B73" s="823"/>
      <c r="C73" s="823"/>
      <c r="D73" s="824"/>
      <c r="E73" s="691" t="s">
        <v>459</v>
      </c>
      <c r="F73" s="692"/>
      <c r="G73" s="692"/>
      <c r="H73" s="692"/>
      <c r="I73" s="692"/>
      <c r="J73" s="692"/>
      <c r="K73" s="692"/>
      <c r="L73" s="692"/>
      <c r="M73" s="692"/>
      <c r="N73" s="692"/>
      <c r="O73" s="692"/>
      <c r="P73" s="692"/>
      <c r="Q73" s="692"/>
      <c r="R73" s="692"/>
      <c r="S73" s="692"/>
      <c r="T73" s="692"/>
      <c r="U73" s="692"/>
      <c r="V73" s="692"/>
      <c r="W73" s="692"/>
      <c r="X73" s="692"/>
      <c r="Y73" s="692"/>
      <c r="Z73" s="692"/>
      <c r="AA73" s="692"/>
      <c r="AB73" s="692"/>
      <c r="AC73" s="692"/>
      <c r="AD73" s="692"/>
      <c r="AE73" s="692"/>
      <c r="AF73" s="692"/>
      <c r="AG73" s="692"/>
      <c r="AH73" s="692"/>
      <c r="AI73" s="692"/>
      <c r="AJ73" s="692"/>
      <c r="AK73" s="692"/>
      <c r="AL73" s="692"/>
      <c r="AM73" s="692"/>
      <c r="AN73" s="692"/>
      <c r="AO73" s="692"/>
      <c r="AP73" s="692"/>
      <c r="AQ73" s="692"/>
      <c r="AR73" s="693"/>
      <c r="AS73" s="99"/>
      <c r="AT73" s="100"/>
      <c r="AU73" s="100"/>
      <c r="AV73" s="100"/>
      <c r="AW73" s="100"/>
      <c r="AX73" s="100"/>
      <c r="AY73" s="100"/>
      <c r="AZ73" s="100"/>
      <c r="BA73" s="100"/>
      <c r="BB73" s="101"/>
      <c r="BC73" s="393"/>
      <c r="BD73" s="394"/>
      <c r="BE73" s="394"/>
      <c r="BF73" s="394"/>
      <c r="BG73" s="394"/>
      <c r="BH73" s="394"/>
      <c r="BI73" s="394"/>
      <c r="BJ73" s="394"/>
      <c r="BK73" s="394"/>
      <c r="BL73" s="394"/>
      <c r="BM73" s="395"/>
      <c r="BN73" s="829"/>
      <c r="BO73" s="825"/>
      <c r="BP73" s="825"/>
      <c r="BQ73" s="825"/>
      <c r="BR73" s="825"/>
      <c r="BS73" s="825"/>
      <c r="BT73" s="825"/>
      <c r="BU73" s="825"/>
      <c r="BV73" s="825"/>
      <c r="BW73" s="825"/>
      <c r="BX73" s="401"/>
      <c r="BY73" s="401"/>
      <c r="BZ73" s="401"/>
      <c r="CA73" s="401"/>
      <c r="CB73" s="401"/>
      <c r="CC73" s="69"/>
      <c r="CD73" s="69"/>
      <c r="CE73" s="69">
        <f t="shared" si="4"/>
        <v>0</v>
      </c>
      <c r="CF73" s="427">
        <f t="shared" si="5"/>
        <v>0</v>
      </c>
    </row>
    <row r="74" spans="1:98" s="14" customFormat="1" x14ac:dyDescent="0.2">
      <c r="A74" s="96"/>
      <c r="B74" s="97">
        <v>6</v>
      </c>
      <c r="C74" s="97"/>
      <c r="D74" s="98"/>
      <c r="E74" s="760" t="s">
        <v>480</v>
      </c>
      <c r="F74" s="761"/>
      <c r="G74" s="761"/>
      <c r="H74" s="761"/>
      <c r="I74" s="761"/>
      <c r="J74" s="761"/>
      <c r="K74" s="761"/>
      <c r="L74" s="761"/>
      <c r="M74" s="761"/>
      <c r="N74" s="761"/>
      <c r="O74" s="761"/>
      <c r="P74" s="761"/>
      <c r="Q74" s="761"/>
      <c r="R74" s="761"/>
      <c r="S74" s="761"/>
      <c r="T74" s="761"/>
      <c r="U74" s="761"/>
      <c r="V74" s="761"/>
      <c r="W74" s="761"/>
      <c r="X74" s="761"/>
      <c r="Y74" s="761"/>
      <c r="Z74" s="761"/>
      <c r="AA74" s="761"/>
      <c r="AB74" s="761"/>
      <c r="AC74" s="761"/>
      <c r="AD74" s="761"/>
      <c r="AE74" s="761"/>
      <c r="AF74" s="761"/>
      <c r="AG74" s="761"/>
      <c r="AH74" s="761"/>
      <c r="AI74" s="761"/>
      <c r="AJ74" s="761"/>
      <c r="AK74" s="761"/>
      <c r="AL74" s="761"/>
      <c r="AM74" s="761"/>
      <c r="AN74" s="761"/>
      <c r="AO74" s="761"/>
      <c r="AP74" s="761"/>
      <c r="AQ74" s="761"/>
      <c r="AR74" s="762"/>
      <c r="AS74" s="99"/>
      <c r="AT74" s="100"/>
      <c r="AU74" s="100"/>
      <c r="AV74" s="100"/>
      <c r="AW74" s="100"/>
      <c r="AX74" s="100"/>
      <c r="AY74" s="100"/>
      <c r="AZ74" s="100"/>
      <c r="BA74" s="100"/>
      <c r="BB74" s="101"/>
      <c r="BC74" s="393"/>
      <c r="BD74" s="394"/>
      <c r="BE74" s="394"/>
      <c r="BF74" s="394"/>
      <c r="BG74" s="394"/>
      <c r="BH74" s="394"/>
      <c r="BI74" s="394"/>
      <c r="BJ74" s="394"/>
      <c r="BK74" s="394"/>
      <c r="BL74" s="394"/>
      <c r="BM74" s="395"/>
      <c r="BN74" s="829">
        <f>46000-400-10480</f>
        <v>35120</v>
      </c>
      <c r="BO74" s="825"/>
      <c r="BP74" s="825"/>
      <c r="BQ74" s="825"/>
      <c r="BR74" s="825"/>
      <c r="BS74" s="825"/>
      <c r="BT74" s="825"/>
      <c r="BU74" s="825"/>
      <c r="BV74" s="825"/>
      <c r="BW74" s="825"/>
      <c r="BX74" s="396"/>
      <c r="BY74" s="396"/>
      <c r="BZ74" s="396"/>
      <c r="CA74" s="396"/>
      <c r="CB74" s="396"/>
      <c r="CC74" s="69">
        <v>35120</v>
      </c>
      <c r="CD74" s="69">
        <v>35120</v>
      </c>
      <c r="CE74" s="69">
        <f t="shared" si="4"/>
        <v>0</v>
      </c>
      <c r="CF74" s="427">
        <f t="shared" si="5"/>
        <v>0</v>
      </c>
    </row>
    <row r="75" spans="1:98" s="14" customFormat="1" x14ac:dyDescent="0.2">
      <c r="A75" s="96"/>
      <c r="B75" s="97">
        <v>7</v>
      </c>
      <c r="C75" s="97"/>
      <c r="D75" s="98"/>
      <c r="E75" s="760"/>
      <c r="F75" s="761"/>
      <c r="G75" s="761"/>
      <c r="H75" s="761"/>
      <c r="I75" s="761"/>
      <c r="J75" s="761"/>
      <c r="K75" s="761"/>
      <c r="L75" s="761"/>
      <c r="M75" s="761"/>
      <c r="N75" s="761"/>
      <c r="O75" s="761"/>
      <c r="P75" s="761"/>
      <c r="Q75" s="761"/>
      <c r="R75" s="761"/>
      <c r="S75" s="761"/>
      <c r="T75" s="761"/>
      <c r="U75" s="761"/>
      <c r="V75" s="761"/>
      <c r="W75" s="761"/>
      <c r="X75" s="761"/>
      <c r="Y75" s="761"/>
      <c r="Z75" s="761"/>
      <c r="AA75" s="761"/>
      <c r="AB75" s="761"/>
      <c r="AC75" s="761"/>
      <c r="AD75" s="761"/>
      <c r="AE75" s="761"/>
      <c r="AF75" s="761"/>
      <c r="AG75" s="761"/>
      <c r="AH75" s="761"/>
      <c r="AI75" s="761"/>
      <c r="AJ75" s="761"/>
      <c r="AK75" s="761"/>
      <c r="AL75" s="761"/>
      <c r="AM75" s="761"/>
      <c r="AN75" s="761"/>
      <c r="AO75" s="761"/>
      <c r="AP75" s="761"/>
      <c r="AQ75" s="761"/>
      <c r="AR75" s="762"/>
      <c r="AS75" s="99"/>
      <c r="AT75" s="100"/>
      <c r="AU75" s="100"/>
      <c r="AV75" s="100"/>
      <c r="AW75" s="100"/>
      <c r="AX75" s="100"/>
      <c r="AY75" s="100"/>
      <c r="AZ75" s="100"/>
      <c r="BA75" s="100"/>
      <c r="BB75" s="101"/>
      <c r="BC75" s="429"/>
      <c r="BD75" s="430"/>
      <c r="BE75" s="430"/>
      <c r="BF75" s="430"/>
      <c r="BG75" s="430"/>
      <c r="BH75" s="430"/>
      <c r="BI75" s="430"/>
      <c r="BJ75" s="430"/>
      <c r="BK75" s="430"/>
      <c r="BL75" s="430"/>
      <c r="BM75" s="431"/>
      <c r="BN75" s="829"/>
      <c r="BO75" s="825"/>
      <c r="BP75" s="825"/>
      <c r="BQ75" s="825"/>
      <c r="BR75" s="825"/>
      <c r="BS75" s="825"/>
      <c r="BT75" s="825"/>
      <c r="BU75" s="825"/>
      <c r="BV75" s="825"/>
      <c r="BW75" s="825"/>
      <c r="BX75" s="432"/>
      <c r="BY75" s="432"/>
      <c r="BZ75" s="432"/>
      <c r="CA75" s="432"/>
      <c r="CB75" s="432"/>
      <c r="CC75" s="69"/>
      <c r="CD75" s="69"/>
      <c r="CE75" s="69">
        <f t="shared" si="4"/>
        <v>0</v>
      </c>
      <c r="CF75" s="427">
        <f t="shared" si="5"/>
        <v>0</v>
      </c>
    </row>
    <row r="76" spans="1:98" s="14" customFormat="1" ht="13.5" thickBot="1" x14ac:dyDescent="0.25">
      <c r="A76" s="182"/>
      <c r="B76" s="181"/>
      <c r="C76" s="181"/>
      <c r="D76" s="183"/>
      <c r="E76" s="811" t="s">
        <v>307</v>
      </c>
      <c r="F76" s="812"/>
      <c r="G76" s="812"/>
      <c r="H76" s="812"/>
      <c r="I76" s="812"/>
      <c r="J76" s="812"/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  <c r="Y76" s="812"/>
      <c r="Z76" s="812"/>
      <c r="AA76" s="812"/>
      <c r="AB76" s="812"/>
      <c r="AC76" s="812"/>
      <c r="AD76" s="812"/>
      <c r="AE76" s="812"/>
      <c r="AF76" s="812"/>
      <c r="AG76" s="812"/>
      <c r="AH76" s="812"/>
      <c r="AI76" s="812"/>
      <c r="AJ76" s="812"/>
      <c r="AK76" s="812"/>
      <c r="AL76" s="812"/>
      <c r="AM76" s="812"/>
      <c r="AN76" s="812"/>
      <c r="AO76" s="812"/>
      <c r="AP76" s="812"/>
      <c r="AQ76" s="812"/>
      <c r="AR76" s="813"/>
      <c r="AS76" s="814"/>
      <c r="AT76" s="815"/>
      <c r="AU76" s="815"/>
      <c r="AV76" s="815"/>
      <c r="AW76" s="815"/>
      <c r="AX76" s="815"/>
      <c r="AY76" s="815"/>
      <c r="AZ76" s="815"/>
      <c r="BA76" s="815"/>
      <c r="BB76" s="816"/>
      <c r="BC76" s="161"/>
      <c r="BD76" s="162"/>
      <c r="BE76" s="162"/>
      <c r="BF76" s="162"/>
      <c r="BG76" s="162"/>
      <c r="BH76" s="162"/>
      <c r="BI76" s="162"/>
      <c r="BJ76" s="162"/>
      <c r="BK76" s="162"/>
      <c r="BL76" s="162"/>
      <c r="BM76" s="163"/>
      <c r="BN76" s="179"/>
      <c r="BO76" s="180"/>
      <c r="BP76" s="180"/>
      <c r="BQ76" s="180"/>
      <c r="BR76" s="180"/>
      <c r="BS76" s="180"/>
      <c r="BT76" s="180"/>
      <c r="BU76" s="400">
        <f>BN69</f>
        <v>0</v>
      </c>
      <c r="BV76" s="180"/>
      <c r="BW76" s="180"/>
      <c r="BX76" s="396"/>
      <c r="BY76" s="396"/>
      <c r="BZ76" s="396"/>
      <c r="CA76" s="396"/>
      <c r="CB76" s="396"/>
      <c r="CC76" s="137"/>
      <c r="CD76" s="137"/>
      <c r="CE76" s="137"/>
      <c r="CF76" s="414"/>
    </row>
    <row r="77" spans="1:98" s="155" customFormat="1" ht="13.5" thickBot="1" x14ac:dyDescent="0.25">
      <c r="A77" s="811"/>
      <c r="B77" s="812"/>
      <c r="C77" s="812"/>
      <c r="D77" s="813"/>
      <c r="E77" s="811" t="s">
        <v>308</v>
      </c>
      <c r="F77" s="812"/>
      <c r="G77" s="812"/>
      <c r="H77" s="812"/>
      <c r="I77" s="812"/>
      <c r="J77" s="812"/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  <c r="Y77" s="812"/>
      <c r="Z77" s="812"/>
      <c r="AA77" s="812"/>
      <c r="AB77" s="812"/>
      <c r="AC77" s="812"/>
      <c r="AD77" s="812"/>
      <c r="AE77" s="812"/>
      <c r="AF77" s="812"/>
      <c r="AG77" s="812"/>
      <c r="AH77" s="812"/>
      <c r="AI77" s="812"/>
      <c r="AJ77" s="812"/>
      <c r="AK77" s="812"/>
      <c r="AL77" s="812"/>
      <c r="AM77" s="812"/>
      <c r="AN77" s="812"/>
      <c r="AO77" s="812"/>
      <c r="AP77" s="812"/>
      <c r="AQ77" s="812"/>
      <c r="AR77" s="813"/>
      <c r="AS77" s="814"/>
      <c r="AT77" s="815"/>
      <c r="AU77" s="815"/>
      <c r="AV77" s="815"/>
      <c r="AW77" s="815"/>
      <c r="AX77" s="815"/>
      <c r="AY77" s="815"/>
      <c r="AZ77" s="815"/>
      <c r="BA77" s="815"/>
      <c r="BB77" s="816"/>
      <c r="BC77" s="817"/>
      <c r="BD77" s="818"/>
      <c r="BE77" s="818"/>
      <c r="BF77" s="818"/>
      <c r="BG77" s="818"/>
      <c r="BH77" s="818"/>
      <c r="BI77" s="818"/>
      <c r="BJ77" s="818"/>
      <c r="BK77" s="818"/>
      <c r="BL77" s="818"/>
      <c r="BM77" s="819"/>
      <c r="BN77" s="820">
        <f>SUM(BN69:CB75)-BN69</f>
        <v>181800</v>
      </c>
      <c r="BO77" s="821"/>
      <c r="BP77" s="821"/>
      <c r="BQ77" s="821"/>
      <c r="BR77" s="821"/>
      <c r="BS77" s="821"/>
      <c r="BT77" s="821"/>
      <c r="BU77" s="821"/>
      <c r="BV77" s="821"/>
      <c r="BW77" s="821"/>
      <c r="BX77" s="70"/>
      <c r="BY77" s="70"/>
      <c r="BZ77" s="70"/>
      <c r="CA77" s="70"/>
      <c r="CB77" s="389"/>
      <c r="CC77" s="158"/>
      <c r="CD77" s="158"/>
      <c r="CE77" s="158"/>
      <c r="CF77" s="413"/>
      <c r="CG77" s="159"/>
      <c r="CH77" s="159"/>
      <c r="CI77" s="159"/>
      <c r="CJ77" s="159"/>
      <c r="CK77" s="159"/>
      <c r="CL77" s="159"/>
      <c r="CM77" s="159"/>
      <c r="CN77" s="159"/>
      <c r="CO77" s="159"/>
      <c r="CP77" s="159"/>
      <c r="CQ77" s="159"/>
      <c r="CR77" s="159"/>
      <c r="CS77" s="159"/>
      <c r="CT77" s="159"/>
    </row>
    <row r="78" spans="1:98" s="3" customFormat="1" ht="15.75" x14ac:dyDescent="0.25">
      <c r="A78" s="518" t="s">
        <v>431</v>
      </c>
      <c r="B78" s="518"/>
      <c r="C78" s="518"/>
      <c r="D78" s="518"/>
      <c r="E78" s="518"/>
      <c r="F78" s="518"/>
      <c r="G78" s="518"/>
      <c r="H78" s="518"/>
      <c r="I78" s="518"/>
      <c r="J78" s="518"/>
      <c r="K78" s="518"/>
      <c r="L78" s="518"/>
      <c r="M78" s="518"/>
      <c r="N78" s="518"/>
      <c r="O78" s="518"/>
      <c r="P78" s="518"/>
      <c r="Q78" s="518"/>
      <c r="R78" s="518"/>
      <c r="S78" s="518"/>
      <c r="T78" s="518"/>
      <c r="U78" s="518"/>
      <c r="V78" s="518"/>
      <c r="W78" s="518"/>
      <c r="X78" s="518"/>
      <c r="Y78" s="518"/>
      <c r="Z78" s="518"/>
      <c r="AA78" s="518"/>
      <c r="AB78" s="518"/>
      <c r="AC78" s="518"/>
      <c r="AD78" s="518"/>
      <c r="AE78" s="518"/>
      <c r="AF78" s="518"/>
      <c r="AG78" s="518"/>
      <c r="AH78" s="518"/>
      <c r="AI78" s="518"/>
      <c r="AJ78" s="518"/>
      <c r="AK78" s="518"/>
      <c r="AL78" s="518"/>
      <c r="AM78" s="518"/>
      <c r="AN78" s="518"/>
      <c r="AO78" s="518"/>
      <c r="AP78" s="518"/>
      <c r="AQ78" s="518"/>
      <c r="AR78" s="518"/>
      <c r="AS78" s="518"/>
      <c r="AT78" s="518"/>
      <c r="AU78" s="518"/>
      <c r="AV78" s="518"/>
      <c r="AW78" s="518"/>
      <c r="AX78" s="518"/>
      <c r="AY78" s="518"/>
      <c r="AZ78" s="518"/>
      <c r="BA78" s="518"/>
      <c r="BB78" s="518"/>
      <c r="BC78" s="518"/>
      <c r="BD78" s="518"/>
      <c r="BE78" s="518"/>
      <c r="BF78" s="518"/>
      <c r="BG78" s="518"/>
      <c r="BH78" s="518"/>
      <c r="BI78" s="518"/>
      <c r="BJ78" s="518"/>
      <c r="BK78" s="518"/>
      <c r="BL78" s="518"/>
      <c r="BM78" s="518"/>
      <c r="BN78" s="518"/>
      <c r="BO78" s="518"/>
      <c r="BP78" s="518"/>
      <c r="BQ78" s="518"/>
      <c r="BR78" s="518"/>
      <c r="BS78" s="518"/>
      <c r="BT78" s="518"/>
      <c r="BU78" s="518"/>
      <c r="BV78" s="518"/>
      <c r="BW78" s="518"/>
      <c r="BX78" s="518"/>
      <c r="BY78" s="518"/>
      <c r="BZ78" s="518"/>
      <c r="CA78" s="518"/>
      <c r="CB78" s="628"/>
      <c r="CC78" s="135"/>
      <c r="CD78" s="135"/>
      <c r="CE78" s="135"/>
      <c r="CF78" s="410"/>
    </row>
    <row r="79" spans="1:98" s="3" customFormat="1" ht="15.75" x14ac:dyDescent="0.25">
      <c r="A79" s="518" t="s">
        <v>292</v>
      </c>
      <c r="B79" s="518"/>
      <c r="C79" s="518"/>
      <c r="D79" s="518"/>
      <c r="E79" s="518"/>
      <c r="F79" s="518"/>
      <c r="G79" s="518"/>
      <c r="H79" s="518"/>
      <c r="I79" s="518"/>
      <c r="J79" s="518"/>
      <c r="K79" s="518"/>
      <c r="L79" s="518"/>
      <c r="M79" s="518"/>
      <c r="N79" s="518"/>
      <c r="O79" s="518"/>
      <c r="P79" s="518"/>
      <c r="Q79" s="518"/>
      <c r="R79" s="518"/>
      <c r="S79" s="518"/>
      <c r="T79" s="518"/>
      <c r="U79" s="518"/>
      <c r="V79" s="518"/>
      <c r="W79" s="518"/>
      <c r="X79" s="518"/>
      <c r="Y79" s="518"/>
      <c r="Z79" s="518"/>
      <c r="AA79" s="518"/>
      <c r="AB79" s="518"/>
      <c r="AC79" s="518"/>
      <c r="AD79" s="518"/>
      <c r="AE79" s="518"/>
      <c r="AF79" s="518"/>
      <c r="AG79" s="518"/>
      <c r="AH79" s="518"/>
      <c r="AI79" s="518"/>
      <c r="AJ79" s="518"/>
      <c r="AK79" s="518"/>
      <c r="AL79" s="518"/>
      <c r="AM79" s="518"/>
      <c r="AN79" s="518"/>
      <c r="AO79" s="518"/>
      <c r="AP79" s="518"/>
      <c r="AQ79" s="518"/>
      <c r="AR79" s="518"/>
      <c r="AS79" s="518"/>
      <c r="AT79" s="518"/>
      <c r="AU79" s="518"/>
      <c r="AV79" s="518"/>
      <c r="AW79" s="518"/>
      <c r="AX79" s="518"/>
      <c r="AY79" s="518"/>
      <c r="AZ79" s="518"/>
      <c r="BA79" s="518"/>
      <c r="BB79" s="518"/>
      <c r="BC79" s="518"/>
      <c r="BD79" s="518"/>
      <c r="BE79" s="518"/>
      <c r="BF79" s="518"/>
      <c r="BG79" s="518"/>
      <c r="BH79" s="518"/>
      <c r="BI79" s="518"/>
      <c r="BJ79" s="518"/>
      <c r="BK79" s="518"/>
      <c r="BL79" s="518"/>
      <c r="BM79" s="518"/>
      <c r="BN79" s="518"/>
      <c r="BO79" s="518"/>
      <c r="BP79" s="518"/>
      <c r="BQ79" s="518"/>
      <c r="BR79" s="518"/>
      <c r="BS79" s="518"/>
      <c r="BT79" s="518"/>
      <c r="BU79" s="518"/>
      <c r="BV79" s="518"/>
      <c r="BW79" s="518"/>
      <c r="BX79" s="518"/>
      <c r="BY79" s="518"/>
      <c r="BZ79" s="518"/>
      <c r="CA79" s="518"/>
      <c r="CB79" s="628"/>
      <c r="CC79" s="135"/>
      <c r="CD79" s="135"/>
      <c r="CE79" s="135"/>
      <c r="CF79" s="410"/>
    </row>
    <row r="80" spans="1:98" s="6" customFormat="1" ht="5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136"/>
      <c r="CD80" s="136"/>
      <c r="CE80" s="136"/>
      <c r="CF80" s="411"/>
    </row>
    <row r="81" spans="1:98" x14ac:dyDescent="0.2">
      <c r="A81" s="519" t="s">
        <v>5</v>
      </c>
      <c r="B81" s="520"/>
      <c r="C81" s="520"/>
      <c r="D81" s="523"/>
      <c r="E81" s="519" t="s">
        <v>13</v>
      </c>
      <c r="F81" s="520"/>
      <c r="G81" s="520"/>
      <c r="H81" s="520"/>
      <c r="I81" s="520"/>
      <c r="J81" s="520"/>
      <c r="K81" s="520"/>
      <c r="L81" s="520"/>
      <c r="M81" s="520"/>
      <c r="N81" s="520"/>
      <c r="O81" s="520"/>
      <c r="P81" s="520"/>
      <c r="Q81" s="520"/>
      <c r="R81" s="520"/>
      <c r="S81" s="520"/>
      <c r="T81" s="520"/>
      <c r="U81" s="520"/>
      <c r="V81" s="520"/>
      <c r="W81" s="520"/>
      <c r="X81" s="520"/>
      <c r="Y81" s="520"/>
      <c r="Z81" s="520"/>
      <c r="AA81" s="520"/>
      <c r="AB81" s="520"/>
      <c r="AC81" s="520"/>
      <c r="AD81" s="520"/>
      <c r="AE81" s="520"/>
      <c r="AF81" s="520"/>
      <c r="AG81" s="520"/>
      <c r="AH81" s="520"/>
      <c r="AI81" s="520"/>
      <c r="AJ81" s="520"/>
      <c r="AK81" s="520"/>
      <c r="AL81" s="520"/>
      <c r="AM81" s="520"/>
      <c r="AN81" s="520"/>
      <c r="AO81" s="520"/>
      <c r="AP81" s="520"/>
      <c r="AQ81" s="520"/>
      <c r="AR81" s="523"/>
      <c r="AS81" s="519" t="s">
        <v>18</v>
      </c>
      <c r="AT81" s="520"/>
      <c r="AU81" s="520"/>
      <c r="AV81" s="520"/>
      <c r="AW81" s="520"/>
      <c r="AX81" s="520"/>
      <c r="AY81" s="520"/>
      <c r="AZ81" s="520"/>
      <c r="BA81" s="520"/>
      <c r="BB81" s="523"/>
      <c r="BC81" s="519" t="s">
        <v>106</v>
      </c>
      <c r="BD81" s="520"/>
      <c r="BE81" s="520"/>
      <c r="BF81" s="520"/>
      <c r="BG81" s="520"/>
      <c r="BH81" s="520"/>
      <c r="BI81" s="520"/>
      <c r="BJ81" s="520"/>
      <c r="BK81" s="520"/>
      <c r="BL81" s="520"/>
      <c r="BM81" s="523"/>
      <c r="BN81" s="519" t="s">
        <v>22</v>
      </c>
      <c r="BO81" s="520"/>
      <c r="BP81" s="520"/>
      <c r="BQ81" s="520"/>
      <c r="BR81" s="520"/>
      <c r="BS81" s="520"/>
      <c r="BT81" s="520"/>
      <c r="BU81" s="520"/>
      <c r="BV81" s="520"/>
      <c r="BW81" s="520"/>
      <c r="BX81" s="520"/>
      <c r="BY81" s="520"/>
      <c r="BZ81" s="520"/>
      <c r="CA81" s="520"/>
      <c r="CB81" s="520"/>
      <c r="CC81" s="137"/>
      <c r="CD81" s="137"/>
      <c r="CE81" s="137"/>
      <c r="CF81" s="412"/>
    </row>
    <row r="82" spans="1:98" x14ac:dyDescent="0.2">
      <c r="A82" s="521" t="s">
        <v>6</v>
      </c>
      <c r="B82" s="522"/>
      <c r="C82" s="522"/>
      <c r="D82" s="537"/>
      <c r="E82" s="521"/>
      <c r="F82" s="522"/>
      <c r="G82" s="522"/>
      <c r="H82" s="522"/>
      <c r="I82" s="522"/>
      <c r="J82" s="522"/>
      <c r="K82" s="522"/>
      <c r="L82" s="522"/>
      <c r="M82" s="522"/>
      <c r="N82" s="522"/>
      <c r="O82" s="522"/>
      <c r="P82" s="522"/>
      <c r="Q82" s="522"/>
      <c r="R82" s="522"/>
      <c r="S82" s="522"/>
      <c r="T82" s="522"/>
      <c r="U82" s="522"/>
      <c r="V82" s="522"/>
      <c r="W82" s="522"/>
      <c r="X82" s="522"/>
      <c r="Y82" s="522"/>
      <c r="Z82" s="522"/>
      <c r="AA82" s="522"/>
      <c r="AB82" s="522"/>
      <c r="AC82" s="522"/>
      <c r="AD82" s="522"/>
      <c r="AE82" s="522"/>
      <c r="AF82" s="522"/>
      <c r="AG82" s="522"/>
      <c r="AH82" s="522"/>
      <c r="AI82" s="522"/>
      <c r="AJ82" s="522"/>
      <c r="AK82" s="522"/>
      <c r="AL82" s="522"/>
      <c r="AM82" s="522"/>
      <c r="AN82" s="522"/>
      <c r="AO82" s="522"/>
      <c r="AP82" s="522"/>
      <c r="AQ82" s="522"/>
      <c r="AR82" s="537"/>
      <c r="AS82" s="521"/>
      <c r="AT82" s="522"/>
      <c r="AU82" s="522"/>
      <c r="AV82" s="522"/>
      <c r="AW82" s="522"/>
      <c r="AX82" s="522"/>
      <c r="AY82" s="522"/>
      <c r="AZ82" s="522"/>
      <c r="BA82" s="522"/>
      <c r="BB82" s="537"/>
      <c r="BC82" s="521" t="s">
        <v>107</v>
      </c>
      <c r="BD82" s="522"/>
      <c r="BE82" s="522"/>
      <c r="BF82" s="522"/>
      <c r="BG82" s="522"/>
      <c r="BH82" s="522"/>
      <c r="BI82" s="522"/>
      <c r="BJ82" s="522"/>
      <c r="BK82" s="522"/>
      <c r="BL82" s="522"/>
      <c r="BM82" s="537"/>
      <c r="BN82" s="521" t="s">
        <v>116</v>
      </c>
      <c r="BO82" s="522"/>
      <c r="BP82" s="522"/>
      <c r="BQ82" s="522"/>
      <c r="BR82" s="522"/>
      <c r="BS82" s="522"/>
      <c r="BT82" s="522"/>
      <c r="BU82" s="522"/>
      <c r="BV82" s="522"/>
      <c r="BW82" s="522"/>
      <c r="BX82" s="522"/>
      <c r="BY82" s="522"/>
      <c r="BZ82" s="522"/>
      <c r="CA82" s="522"/>
      <c r="CB82" s="522"/>
      <c r="CC82" s="137"/>
      <c r="CD82" s="137"/>
      <c r="CE82" s="137"/>
      <c r="CF82" s="412"/>
    </row>
    <row r="83" spans="1:98" ht="12" customHeight="1" x14ac:dyDescent="0.2">
      <c r="A83" s="531"/>
      <c r="B83" s="532"/>
      <c r="C83" s="532"/>
      <c r="D83" s="533"/>
      <c r="E83" s="531"/>
      <c r="F83" s="532"/>
      <c r="G83" s="532"/>
      <c r="H83" s="532"/>
      <c r="I83" s="532"/>
      <c r="J83" s="532"/>
      <c r="K83" s="532"/>
      <c r="L83" s="532"/>
      <c r="M83" s="532"/>
      <c r="N83" s="532"/>
      <c r="O83" s="532"/>
      <c r="P83" s="532"/>
      <c r="Q83" s="532"/>
      <c r="R83" s="532"/>
      <c r="S83" s="532"/>
      <c r="T83" s="532"/>
      <c r="U83" s="532"/>
      <c r="V83" s="532"/>
      <c r="W83" s="532"/>
      <c r="X83" s="532"/>
      <c r="Y83" s="532"/>
      <c r="Z83" s="532"/>
      <c r="AA83" s="532"/>
      <c r="AB83" s="532"/>
      <c r="AC83" s="532"/>
      <c r="AD83" s="532"/>
      <c r="AE83" s="532"/>
      <c r="AF83" s="532"/>
      <c r="AG83" s="532"/>
      <c r="AH83" s="532"/>
      <c r="AI83" s="532"/>
      <c r="AJ83" s="532"/>
      <c r="AK83" s="532"/>
      <c r="AL83" s="532"/>
      <c r="AM83" s="532"/>
      <c r="AN83" s="532"/>
      <c r="AO83" s="532"/>
      <c r="AP83" s="532"/>
      <c r="AQ83" s="532"/>
      <c r="AR83" s="533"/>
      <c r="AS83" s="531"/>
      <c r="AT83" s="532"/>
      <c r="AU83" s="532"/>
      <c r="AV83" s="532"/>
      <c r="AW83" s="532"/>
      <c r="AX83" s="532"/>
      <c r="AY83" s="532"/>
      <c r="AZ83" s="532"/>
      <c r="BA83" s="532"/>
      <c r="BB83" s="533"/>
      <c r="BC83" s="531" t="s">
        <v>17</v>
      </c>
      <c r="BD83" s="532"/>
      <c r="BE83" s="532"/>
      <c r="BF83" s="532"/>
      <c r="BG83" s="532"/>
      <c r="BH83" s="532"/>
      <c r="BI83" s="532"/>
      <c r="BJ83" s="532"/>
      <c r="BK83" s="532"/>
      <c r="BL83" s="532"/>
      <c r="BM83" s="533"/>
      <c r="BN83" s="531"/>
      <c r="BO83" s="532"/>
      <c r="BP83" s="532"/>
      <c r="BQ83" s="532"/>
      <c r="BR83" s="532"/>
      <c r="BS83" s="532"/>
      <c r="BT83" s="532"/>
      <c r="BU83" s="532"/>
      <c r="BV83" s="532"/>
      <c r="BW83" s="532"/>
      <c r="BX83" s="532"/>
      <c r="BY83" s="532"/>
      <c r="BZ83" s="532"/>
      <c r="CA83" s="532"/>
      <c r="CB83" s="532"/>
      <c r="CC83" s="137"/>
      <c r="CD83" s="137"/>
      <c r="CE83" s="137"/>
      <c r="CF83" s="412"/>
    </row>
    <row r="84" spans="1:98" ht="13.5" customHeight="1" x14ac:dyDescent="0.25">
      <c r="A84" s="554"/>
      <c r="B84" s="555"/>
      <c r="C84" s="555"/>
      <c r="D84" s="556"/>
      <c r="E84" s="554">
        <v>1</v>
      </c>
      <c r="F84" s="555"/>
      <c r="G84" s="555"/>
      <c r="H84" s="555"/>
      <c r="I84" s="555"/>
      <c r="J84" s="555"/>
      <c r="K84" s="555"/>
      <c r="L84" s="555"/>
      <c r="M84" s="555"/>
      <c r="N84" s="555"/>
      <c r="O84" s="555"/>
      <c r="P84" s="555"/>
      <c r="Q84" s="555"/>
      <c r="R84" s="555"/>
      <c r="S84" s="555"/>
      <c r="T84" s="555"/>
      <c r="U84" s="555"/>
      <c r="V84" s="555"/>
      <c r="W84" s="555"/>
      <c r="X84" s="555"/>
      <c r="Y84" s="555"/>
      <c r="Z84" s="555"/>
      <c r="AA84" s="555"/>
      <c r="AB84" s="555"/>
      <c r="AC84" s="555"/>
      <c r="AD84" s="555"/>
      <c r="AE84" s="555"/>
      <c r="AF84" s="555"/>
      <c r="AG84" s="555"/>
      <c r="AH84" s="555"/>
      <c r="AI84" s="555"/>
      <c r="AJ84" s="555"/>
      <c r="AK84" s="555"/>
      <c r="AL84" s="555"/>
      <c r="AM84" s="555"/>
      <c r="AN84" s="555"/>
      <c r="AO84" s="555"/>
      <c r="AP84" s="555"/>
      <c r="AQ84" s="555"/>
      <c r="AR84" s="556"/>
      <c r="AS84" s="554">
        <v>2</v>
      </c>
      <c r="AT84" s="555"/>
      <c r="AU84" s="555"/>
      <c r="AV84" s="555"/>
      <c r="AW84" s="555"/>
      <c r="AX84" s="555"/>
      <c r="AY84" s="555"/>
      <c r="AZ84" s="555"/>
      <c r="BA84" s="555"/>
      <c r="BB84" s="556"/>
      <c r="BC84" s="554">
        <v>3</v>
      </c>
      <c r="BD84" s="555"/>
      <c r="BE84" s="555"/>
      <c r="BF84" s="555"/>
      <c r="BG84" s="555"/>
      <c r="BH84" s="555"/>
      <c r="BI84" s="555"/>
      <c r="BJ84" s="555"/>
      <c r="BK84" s="555"/>
      <c r="BL84" s="555"/>
      <c r="BM84" s="556"/>
      <c r="BN84" s="554">
        <v>4</v>
      </c>
      <c r="BO84" s="555"/>
      <c r="BP84" s="555"/>
      <c r="BQ84" s="555"/>
      <c r="BR84" s="555"/>
      <c r="BS84" s="555"/>
      <c r="BT84" s="555"/>
      <c r="BU84" s="555"/>
      <c r="BV84" s="555"/>
      <c r="BW84" s="555"/>
      <c r="BX84" s="555"/>
      <c r="BY84" s="555"/>
      <c r="BZ84" s="555"/>
      <c r="CA84" s="555"/>
      <c r="CB84" s="556"/>
      <c r="CC84" s="68" t="s">
        <v>193</v>
      </c>
      <c r="CD84" s="68" t="s">
        <v>194</v>
      </c>
      <c r="CE84" s="68" t="s">
        <v>298</v>
      </c>
      <c r="CF84" s="418" t="s">
        <v>296</v>
      </c>
    </row>
    <row r="85" spans="1:98" s="14" customFormat="1" x14ac:dyDescent="0.2">
      <c r="A85" s="822">
        <v>1</v>
      </c>
      <c r="B85" s="823"/>
      <c r="C85" s="823"/>
      <c r="D85" s="824"/>
      <c r="E85" s="760" t="s">
        <v>493</v>
      </c>
      <c r="F85" s="761"/>
      <c r="G85" s="761"/>
      <c r="H85" s="761"/>
      <c r="I85" s="761"/>
      <c r="J85" s="761"/>
      <c r="K85" s="761"/>
      <c r="L85" s="761"/>
      <c r="M85" s="761"/>
      <c r="N85" s="761"/>
      <c r="O85" s="761"/>
      <c r="P85" s="761"/>
      <c r="Q85" s="761"/>
      <c r="R85" s="761"/>
      <c r="S85" s="761"/>
      <c r="T85" s="761"/>
      <c r="U85" s="761"/>
      <c r="V85" s="761"/>
      <c r="W85" s="761"/>
      <c r="X85" s="761"/>
      <c r="Y85" s="761"/>
      <c r="Z85" s="761"/>
      <c r="AA85" s="761"/>
      <c r="AB85" s="761"/>
      <c r="AC85" s="761"/>
      <c r="AD85" s="761"/>
      <c r="AE85" s="761"/>
      <c r="AF85" s="761"/>
      <c r="AG85" s="761"/>
      <c r="AH85" s="761"/>
      <c r="AI85" s="761"/>
      <c r="AJ85" s="761"/>
      <c r="AK85" s="761"/>
      <c r="AL85" s="761"/>
      <c r="AM85" s="761"/>
      <c r="AN85" s="761"/>
      <c r="AO85" s="761"/>
      <c r="AP85" s="761"/>
      <c r="AQ85" s="761"/>
      <c r="AR85" s="762"/>
      <c r="AS85" s="747"/>
      <c r="AT85" s="748"/>
      <c r="AU85" s="748"/>
      <c r="AV85" s="748"/>
      <c r="AW85" s="748"/>
      <c r="AX85" s="748"/>
      <c r="AY85" s="748"/>
      <c r="AZ85" s="748"/>
      <c r="BA85" s="748"/>
      <c r="BB85" s="749"/>
      <c r="BC85" s="747"/>
      <c r="BD85" s="748"/>
      <c r="BE85" s="748"/>
      <c r="BF85" s="748"/>
      <c r="BG85" s="748"/>
      <c r="BH85" s="748"/>
      <c r="BI85" s="748"/>
      <c r="BJ85" s="748"/>
      <c r="BK85" s="748"/>
      <c r="BL85" s="748"/>
      <c r="BM85" s="749"/>
      <c r="BN85" s="763">
        <f>5000+3060</f>
        <v>8060</v>
      </c>
      <c r="BO85" s="764"/>
      <c r="BP85" s="764"/>
      <c r="BQ85" s="764"/>
      <c r="BR85" s="764"/>
      <c r="BS85" s="764"/>
      <c r="BT85" s="764"/>
      <c r="BU85" s="764"/>
      <c r="BV85" s="764"/>
      <c r="BW85" s="764"/>
      <c r="BX85" s="764"/>
      <c r="BY85" s="764"/>
      <c r="BZ85" s="764"/>
      <c r="CA85" s="764"/>
      <c r="CB85" s="765"/>
      <c r="CC85" s="69">
        <f>1685+6375</f>
        <v>8060</v>
      </c>
      <c r="CD85" s="69">
        <v>8060</v>
      </c>
      <c r="CE85" s="69">
        <f>CC85-CD85</f>
        <v>0</v>
      </c>
      <c r="CF85" s="427">
        <f>BN85-CC85</f>
        <v>0</v>
      </c>
    </row>
    <row r="86" spans="1:98" s="17" customFormat="1" x14ac:dyDescent="0.2">
      <c r="A86" s="436"/>
      <c r="B86" s="437">
        <v>2</v>
      </c>
      <c r="C86" s="437"/>
      <c r="D86" s="438"/>
      <c r="E86" s="760" t="s">
        <v>494</v>
      </c>
      <c r="F86" s="761"/>
      <c r="G86" s="761"/>
      <c r="H86" s="761"/>
      <c r="I86" s="761"/>
      <c r="J86" s="761"/>
      <c r="K86" s="761"/>
      <c r="L86" s="761"/>
      <c r="M86" s="761"/>
      <c r="N86" s="761"/>
      <c r="O86" s="761"/>
      <c r="P86" s="761"/>
      <c r="Q86" s="761"/>
      <c r="R86" s="761"/>
      <c r="S86" s="761"/>
      <c r="T86" s="761"/>
      <c r="U86" s="761"/>
      <c r="V86" s="761"/>
      <c r="W86" s="761"/>
      <c r="X86" s="761"/>
      <c r="Y86" s="761"/>
      <c r="Z86" s="761"/>
      <c r="AA86" s="761"/>
      <c r="AB86" s="761"/>
      <c r="AC86" s="761"/>
      <c r="AD86" s="761"/>
      <c r="AE86" s="761"/>
      <c r="AF86" s="761"/>
      <c r="AG86" s="761"/>
      <c r="AH86" s="761"/>
      <c r="AI86" s="761"/>
      <c r="AJ86" s="761"/>
      <c r="AK86" s="761"/>
      <c r="AL86" s="761"/>
      <c r="AM86" s="761"/>
      <c r="AN86" s="761"/>
      <c r="AO86" s="761"/>
      <c r="AP86" s="761"/>
      <c r="AQ86" s="761"/>
      <c r="AR86" s="762"/>
      <c r="AS86" s="433"/>
      <c r="AT86" s="434"/>
      <c r="AU86" s="434"/>
      <c r="AV86" s="434"/>
      <c r="AW86" s="434"/>
      <c r="AX86" s="434"/>
      <c r="AY86" s="434"/>
      <c r="AZ86" s="434"/>
      <c r="BA86" s="434"/>
      <c r="BB86" s="435"/>
      <c r="BC86" s="433"/>
      <c r="BD86" s="434"/>
      <c r="BE86" s="434"/>
      <c r="BF86" s="434"/>
      <c r="BG86" s="434"/>
      <c r="BH86" s="434"/>
      <c r="BI86" s="434"/>
      <c r="BJ86" s="434"/>
      <c r="BK86" s="434"/>
      <c r="BL86" s="434"/>
      <c r="BM86" s="435">
        <v>0</v>
      </c>
      <c r="BN86" s="108"/>
      <c r="BO86" s="109"/>
      <c r="BP86" s="109"/>
      <c r="BQ86" s="109"/>
      <c r="BR86" s="825">
        <f>25000-3060</f>
        <v>21940</v>
      </c>
      <c r="BS86" s="825"/>
      <c r="BT86" s="825"/>
      <c r="BU86" s="825"/>
      <c r="BV86" s="825"/>
      <c r="BW86" s="825"/>
      <c r="BX86" s="439"/>
      <c r="BY86" s="439"/>
      <c r="BZ86" s="439"/>
      <c r="CA86" s="439"/>
      <c r="CB86" s="440"/>
      <c r="CC86" s="69"/>
      <c r="CD86" s="69"/>
      <c r="CE86" s="69">
        <f>CC86-CD86</f>
        <v>0</v>
      </c>
      <c r="CF86" s="427">
        <f>BR86-CC86</f>
        <v>21940</v>
      </c>
    </row>
    <row r="87" spans="1:98" s="17" customFormat="1" x14ac:dyDescent="0.2">
      <c r="A87" s="397"/>
      <c r="B87" s="398">
        <v>3</v>
      </c>
      <c r="C87" s="398"/>
      <c r="D87" s="399"/>
      <c r="E87" s="760" t="s">
        <v>465</v>
      </c>
      <c r="F87" s="761"/>
      <c r="G87" s="761"/>
      <c r="H87" s="761"/>
      <c r="I87" s="761"/>
      <c r="J87" s="761"/>
      <c r="K87" s="761"/>
      <c r="L87" s="761"/>
      <c r="M87" s="761"/>
      <c r="N87" s="761"/>
      <c r="O87" s="761"/>
      <c r="P87" s="761"/>
      <c r="Q87" s="761"/>
      <c r="R87" s="761"/>
      <c r="S87" s="761"/>
      <c r="T87" s="761"/>
      <c r="U87" s="761"/>
      <c r="V87" s="761"/>
      <c r="W87" s="761"/>
      <c r="X87" s="761"/>
      <c r="Y87" s="761"/>
      <c r="Z87" s="761"/>
      <c r="AA87" s="761"/>
      <c r="AB87" s="761"/>
      <c r="AC87" s="761"/>
      <c r="AD87" s="761"/>
      <c r="AE87" s="761"/>
      <c r="AF87" s="761"/>
      <c r="AG87" s="761"/>
      <c r="AH87" s="761"/>
      <c r="AI87" s="761"/>
      <c r="AJ87" s="761"/>
      <c r="AK87" s="761"/>
      <c r="AL87" s="761"/>
      <c r="AM87" s="761"/>
      <c r="AN87" s="761"/>
      <c r="AO87" s="761"/>
      <c r="AP87" s="761"/>
      <c r="AQ87" s="761"/>
      <c r="AR87" s="762"/>
      <c r="AS87" s="393"/>
      <c r="AT87" s="394"/>
      <c r="AU87" s="394"/>
      <c r="AV87" s="394"/>
      <c r="AW87" s="394"/>
      <c r="AX87" s="394"/>
      <c r="AY87" s="394"/>
      <c r="AZ87" s="394"/>
      <c r="BA87" s="394"/>
      <c r="BB87" s="395"/>
      <c r="BC87" s="393"/>
      <c r="BD87" s="394"/>
      <c r="BE87" s="394"/>
      <c r="BF87" s="394"/>
      <c r="BG87" s="394"/>
      <c r="BH87" s="394"/>
      <c r="BI87" s="394"/>
      <c r="BJ87" s="394"/>
      <c r="BK87" s="394"/>
      <c r="BL87" s="394"/>
      <c r="BM87" s="395"/>
      <c r="BN87" s="108"/>
      <c r="BO87" s="109"/>
      <c r="BP87" s="109"/>
      <c r="BQ87" s="109"/>
      <c r="BR87" s="825"/>
      <c r="BS87" s="825"/>
      <c r="BT87" s="825"/>
      <c r="BU87" s="825"/>
      <c r="BV87" s="825"/>
      <c r="BW87" s="825"/>
      <c r="BX87" s="401"/>
      <c r="BY87" s="401"/>
      <c r="BZ87" s="401"/>
      <c r="CA87" s="401"/>
      <c r="CB87" s="402"/>
      <c r="CC87" s="69"/>
      <c r="CD87" s="69"/>
      <c r="CE87" s="69">
        <f>CC87-CD87</f>
        <v>0</v>
      </c>
      <c r="CF87" s="427">
        <f>BR87-CC87</f>
        <v>0</v>
      </c>
    </row>
    <row r="88" spans="1:98" s="14" customFormat="1" ht="23.25" customHeight="1" x14ac:dyDescent="0.2">
      <c r="A88" s="822">
        <v>4</v>
      </c>
      <c r="B88" s="823"/>
      <c r="C88" s="823"/>
      <c r="D88" s="824"/>
      <c r="E88" s="826" t="s">
        <v>497</v>
      </c>
      <c r="F88" s="827"/>
      <c r="G88" s="827"/>
      <c r="H88" s="827"/>
      <c r="I88" s="827"/>
      <c r="J88" s="827"/>
      <c r="K88" s="827"/>
      <c r="L88" s="827"/>
      <c r="M88" s="827"/>
      <c r="N88" s="827"/>
      <c r="O88" s="827"/>
      <c r="P88" s="827"/>
      <c r="Q88" s="827"/>
      <c r="R88" s="827"/>
      <c r="S88" s="827"/>
      <c r="T88" s="827"/>
      <c r="U88" s="827"/>
      <c r="V88" s="827"/>
      <c r="W88" s="827"/>
      <c r="X88" s="827"/>
      <c r="Y88" s="827"/>
      <c r="Z88" s="827"/>
      <c r="AA88" s="827"/>
      <c r="AB88" s="827"/>
      <c r="AC88" s="827"/>
      <c r="AD88" s="827"/>
      <c r="AE88" s="827"/>
      <c r="AF88" s="827"/>
      <c r="AG88" s="827"/>
      <c r="AH88" s="827"/>
      <c r="AI88" s="827"/>
      <c r="AJ88" s="827"/>
      <c r="AK88" s="827"/>
      <c r="AL88" s="827"/>
      <c r="AM88" s="827"/>
      <c r="AN88" s="827"/>
      <c r="AO88" s="827"/>
      <c r="AP88" s="827"/>
      <c r="AQ88" s="827"/>
      <c r="AR88" s="828"/>
      <c r="AS88" s="747"/>
      <c r="AT88" s="748"/>
      <c r="AU88" s="748"/>
      <c r="AV88" s="748"/>
      <c r="AW88" s="748"/>
      <c r="AX88" s="748"/>
      <c r="AY88" s="748"/>
      <c r="AZ88" s="748"/>
      <c r="BA88" s="748"/>
      <c r="BB88" s="749"/>
      <c r="BC88" s="747"/>
      <c r="BD88" s="748"/>
      <c r="BE88" s="748"/>
      <c r="BF88" s="748"/>
      <c r="BG88" s="748"/>
      <c r="BH88" s="748"/>
      <c r="BI88" s="748"/>
      <c r="BJ88" s="748"/>
      <c r="BK88" s="748"/>
      <c r="BL88" s="748"/>
      <c r="BM88" s="749"/>
      <c r="BN88" s="808">
        <f>40226.12+18684.28</f>
        <v>58910.400000000001</v>
      </c>
      <c r="BO88" s="809"/>
      <c r="BP88" s="809"/>
      <c r="BQ88" s="809"/>
      <c r="BR88" s="809"/>
      <c r="BS88" s="809"/>
      <c r="BT88" s="809"/>
      <c r="BU88" s="809"/>
      <c r="BV88" s="809"/>
      <c r="BW88" s="809"/>
      <c r="BX88" s="809"/>
      <c r="BY88" s="809"/>
      <c r="BZ88" s="809"/>
      <c r="CA88" s="809"/>
      <c r="CB88" s="810"/>
      <c r="CC88" s="69">
        <v>58910.400000000001</v>
      </c>
      <c r="CD88" s="69">
        <v>58910.400000000001</v>
      </c>
      <c r="CE88" s="69">
        <f>CC88-CD88</f>
        <v>0</v>
      </c>
      <c r="CF88" s="427">
        <f>BN88-CC88</f>
        <v>0</v>
      </c>
    </row>
    <row r="89" spans="1:98" s="14" customFormat="1" x14ac:dyDescent="0.2">
      <c r="A89" s="783">
        <v>5</v>
      </c>
      <c r="B89" s="784"/>
      <c r="C89" s="784"/>
      <c r="D89" s="785"/>
      <c r="E89" s="786" t="s">
        <v>299</v>
      </c>
      <c r="F89" s="787"/>
      <c r="G89" s="787"/>
      <c r="H89" s="787"/>
      <c r="I89" s="787"/>
      <c r="J89" s="787"/>
      <c r="K89" s="787"/>
      <c r="L89" s="787"/>
      <c r="M89" s="787"/>
      <c r="N89" s="787"/>
      <c r="O89" s="787"/>
      <c r="P89" s="787"/>
      <c r="Q89" s="787"/>
      <c r="R89" s="787"/>
      <c r="S89" s="787"/>
      <c r="T89" s="787"/>
      <c r="U89" s="787"/>
      <c r="V89" s="787"/>
      <c r="W89" s="787"/>
      <c r="X89" s="787"/>
      <c r="Y89" s="787"/>
      <c r="Z89" s="787"/>
      <c r="AA89" s="787"/>
      <c r="AB89" s="787"/>
      <c r="AC89" s="787"/>
      <c r="AD89" s="787"/>
      <c r="AE89" s="787"/>
      <c r="AF89" s="787"/>
      <c r="AG89" s="787"/>
      <c r="AH89" s="787"/>
      <c r="AI89" s="787"/>
      <c r="AJ89" s="787"/>
      <c r="AK89" s="787"/>
      <c r="AL89" s="787"/>
      <c r="AM89" s="787"/>
      <c r="AN89" s="787"/>
      <c r="AO89" s="787"/>
      <c r="AP89" s="787"/>
      <c r="AQ89" s="787"/>
      <c r="AR89" s="788"/>
      <c r="AS89" s="789"/>
      <c r="AT89" s="790"/>
      <c r="AU89" s="790"/>
      <c r="AV89" s="790"/>
      <c r="AW89" s="790"/>
      <c r="AX89" s="790"/>
      <c r="AY89" s="790"/>
      <c r="AZ89" s="790"/>
      <c r="BA89" s="790"/>
      <c r="BB89" s="791"/>
      <c r="BC89" s="789"/>
      <c r="BD89" s="790"/>
      <c r="BE89" s="790"/>
      <c r="BF89" s="790"/>
      <c r="BG89" s="790"/>
      <c r="BH89" s="790"/>
      <c r="BI89" s="790"/>
      <c r="BJ89" s="790"/>
      <c r="BK89" s="790"/>
      <c r="BL89" s="790"/>
      <c r="BM89" s="791"/>
      <c r="BN89" s="808">
        <v>11842</v>
      </c>
      <c r="BO89" s="809"/>
      <c r="BP89" s="809"/>
      <c r="BQ89" s="809"/>
      <c r="BR89" s="809"/>
      <c r="BS89" s="809"/>
      <c r="BT89" s="809"/>
      <c r="BU89" s="809"/>
      <c r="BV89" s="809"/>
      <c r="BW89" s="809"/>
      <c r="BX89" s="809"/>
      <c r="BY89" s="809"/>
      <c r="BZ89" s="809"/>
      <c r="CA89" s="809"/>
      <c r="CB89" s="810"/>
      <c r="CC89" s="69">
        <v>11842</v>
      </c>
      <c r="CD89" s="69">
        <v>11842</v>
      </c>
      <c r="CE89" s="69">
        <f>CC89-CD89</f>
        <v>0</v>
      </c>
      <c r="CF89" s="427">
        <f>BN89-CC89</f>
        <v>0</v>
      </c>
    </row>
    <row r="90" spans="1:98" s="157" customFormat="1" ht="13.5" thickBot="1" x14ac:dyDescent="0.25">
      <c r="A90" s="168"/>
      <c r="B90" s="169"/>
      <c r="C90" s="169"/>
      <c r="D90" s="170"/>
      <c r="E90" s="811" t="s">
        <v>307</v>
      </c>
      <c r="F90" s="812"/>
      <c r="G90" s="812"/>
      <c r="H90" s="812"/>
      <c r="I90" s="812"/>
      <c r="J90" s="812"/>
      <c r="K90" s="812"/>
      <c r="L90" s="812"/>
      <c r="M90" s="812"/>
      <c r="N90" s="812"/>
      <c r="O90" s="812"/>
      <c r="P90" s="812"/>
      <c r="Q90" s="812"/>
      <c r="R90" s="812"/>
      <c r="S90" s="812"/>
      <c r="T90" s="812"/>
      <c r="U90" s="812"/>
      <c r="V90" s="812"/>
      <c r="W90" s="812"/>
      <c r="X90" s="812"/>
      <c r="Y90" s="812"/>
      <c r="Z90" s="812"/>
      <c r="AA90" s="812"/>
      <c r="AB90" s="812"/>
      <c r="AC90" s="812"/>
      <c r="AD90" s="812"/>
      <c r="AE90" s="812"/>
      <c r="AF90" s="812"/>
      <c r="AG90" s="812"/>
      <c r="AH90" s="812"/>
      <c r="AI90" s="812"/>
      <c r="AJ90" s="812"/>
      <c r="AK90" s="812"/>
      <c r="AL90" s="812"/>
      <c r="AM90" s="812"/>
      <c r="AN90" s="812"/>
      <c r="AO90" s="812"/>
      <c r="AP90" s="812"/>
      <c r="AQ90" s="812"/>
      <c r="AR90" s="813"/>
      <c r="AS90" s="171"/>
      <c r="AT90" s="172"/>
      <c r="AU90" s="172"/>
      <c r="AV90" s="172"/>
      <c r="AW90" s="172"/>
      <c r="AX90" s="172"/>
      <c r="AY90" s="172"/>
      <c r="AZ90" s="172"/>
      <c r="BA90" s="172"/>
      <c r="BB90" s="173"/>
      <c r="BC90" s="174"/>
      <c r="BD90" s="175"/>
      <c r="BE90" s="175"/>
      <c r="BF90" s="175"/>
      <c r="BG90" s="175"/>
      <c r="BH90" s="175"/>
      <c r="BI90" s="175"/>
      <c r="BJ90" s="175"/>
      <c r="BK90" s="175"/>
      <c r="BL90" s="175"/>
      <c r="BM90" s="176"/>
      <c r="BN90" s="177"/>
      <c r="BO90" s="178"/>
      <c r="BP90" s="178"/>
      <c r="BQ90" s="178"/>
      <c r="BR90" s="178"/>
      <c r="BS90" s="178"/>
      <c r="BT90" s="178"/>
      <c r="BU90" s="389">
        <f>BN88+BN89</f>
        <v>70752.399999999994</v>
      </c>
      <c r="BV90" s="178"/>
      <c r="BW90" s="178"/>
      <c r="BX90" s="178"/>
      <c r="BY90" s="178"/>
      <c r="BZ90" s="178"/>
      <c r="CA90" s="178"/>
      <c r="CB90" s="178"/>
      <c r="CC90" s="154"/>
      <c r="CD90" s="154"/>
      <c r="CE90" s="154"/>
      <c r="CF90" s="415"/>
    </row>
    <row r="91" spans="1:98" s="155" customFormat="1" ht="13.5" thickBot="1" x14ac:dyDescent="0.25">
      <c r="A91" s="811"/>
      <c r="B91" s="812"/>
      <c r="C91" s="812"/>
      <c r="D91" s="813"/>
      <c r="E91" s="811" t="s">
        <v>308</v>
      </c>
      <c r="F91" s="812"/>
      <c r="G91" s="812"/>
      <c r="H91" s="812"/>
      <c r="I91" s="812"/>
      <c r="J91" s="812"/>
      <c r="K91" s="812"/>
      <c r="L91" s="812"/>
      <c r="M91" s="812"/>
      <c r="N91" s="812"/>
      <c r="O91" s="812"/>
      <c r="P91" s="812"/>
      <c r="Q91" s="812"/>
      <c r="R91" s="812"/>
      <c r="S91" s="812"/>
      <c r="T91" s="812"/>
      <c r="U91" s="812"/>
      <c r="V91" s="812"/>
      <c r="W91" s="812"/>
      <c r="X91" s="812"/>
      <c r="Y91" s="812"/>
      <c r="Z91" s="812"/>
      <c r="AA91" s="812"/>
      <c r="AB91" s="812"/>
      <c r="AC91" s="812"/>
      <c r="AD91" s="812"/>
      <c r="AE91" s="812"/>
      <c r="AF91" s="812"/>
      <c r="AG91" s="812"/>
      <c r="AH91" s="812"/>
      <c r="AI91" s="812"/>
      <c r="AJ91" s="812"/>
      <c r="AK91" s="812"/>
      <c r="AL91" s="812"/>
      <c r="AM91" s="812"/>
      <c r="AN91" s="812"/>
      <c r="AO91" s="812"/>
      <c r="AP91" s="812"/>
      <c r="AQ91" s="812"/>
      <c r="AR91" s="813"/>
      <c r="AS91" s="814"/>
      <c r="AT91" s="815"/>
      <c r="AU91" s="815"/>
      <c r="AV91" s="815"/>
      <c r="AW91" s="815"/>
      <c r="AX91" s="815"/>
      <c r="AY91" s="815"/>
      <c r="AZ91" s="815"/>
      <c r="BA91" s="815"/>
      <c r="BB91" s="816"/>
      <c r="BC91" s="817"/>
      <c r="BD91" s="818"/>
      <c r="BE91" s="818"/>
      <c r="BF91" s="818"/>
      <c r="BG91" s="818"/>
      <c r="BH91" s="818"/>
      <c r="BI91" s="818"/>
      <c r="BJ91" s="818"/>
      <c r="BK91" s="818"/>
      <c r="BL91" s="818"/>
      <c r="BM91" s="819"/>
      <c r="BN91" s="820">
        <f>BN85+BR87+BR86</f>
        <v>30000</v>
      </c>
      <c r="BO91" s="821"/>
      <c r="BP91" s="821"/>
      <c r="BQ91" s="821"/>
      <c r="BR91" s="821"/>
      <c r="BS91" s="821"/>
      <c r="BT91" s="821"/>
      <c r="BU91" s="821"/>
      <c r="BV91" s="821"/>
      <c r="BW91" s="821"/>
      <c r="BX91" s="70"/>
      <c r="BY91" s="70"/>
      <c r="BZ91" s="70"/>
      <c r="CA91" s="70"/>
      <c r="CB91" s="389"/>
      <c r="CC91" s="158"/>
      <c r="CD91" s="158"/>
      <c r="CE91" s="158"/>
      <c r="CF91" s="413"/>
      <c r="CG91" s="159"/>
      <c r="CH91" s="159"/>
      <c r="CI91" s="159"/>
      <c r="CJ91" s="159"/>
      <c r="CK91" s="159"/>
      <c r="CL91" s="159"/>
      <c r="CM91" s="159"/>
      <c r="CN91" s="159"/>
      <c r="CO91" s="159"/>
      <c r="CP91" s="159"/>
      <c r="CQ91" s="159"/>
      <c r="CR91" s="159"/>
      <c r="CS91" s="159"/>
      <c r="CT91" s="159"/>
    </row>
    <row r="92" spans="1:98" ht="18.75" customHeight="1" thickBot="1" x14ac:dyDescent="0.25">
      <c r="A92" s="767"/>
      <c r="B92" s="768"/>
      <c r="C92" s="768"/>
      <c r="D92" s="769"/>
      <c r="E92" s="770" t="s">
        <v>133</v>
      </c>
      <c r="F92" s="771"/>
      <c r="G92" s="771"/>
      <c r="H92" s="771"/>
      <c r="I92" s="771"/>
      <c r="J92" s="771"/>
      <c r="K92" s="771"/>
      <c r="L92" s="771"/>
      <c r="M92" s="771"/>
      <c r="N92" s="771"/>
      <c r="O92" s="771"/>
      <c r="P92" s="771"/>
      <c r="Q92" s="771"/>
      <c r="R92" s="771"/>
      <c r="S92" s="771"/>
      <c r="T92" s="771"/>
      <c r="U92" s="771"/>
      <c r="V92" s="771"/>
      <c r="W92" s="771"/>
      <c r="X92" s="771"/>
      <c r="Y92" s="771"/>
      <c r="Z92" s="771"/>
      <c r="AA92" s="771"/>
      <c r="AB92" s="771"/>
      <c r="AC92" s="771"/>
      <c r="AD92" s="771"/>
      <c r="AE92" s="771"/>
      <c r="AF92" s="771"/>
      <c r="AG92" s="771"/>
      <c r="AH92" s="771"/>
      <c r="AI92" s="771"/>
      <c r="AJ92" s="771"/>
      <c r="AK92" s="771"/>
      <c r="AL92" s="771"/>
      <c r="AM92" s="771"/>
      <c r="AN92" s="771"/>
      <c r="AO92" s="771"/>
      <c r="AP92" s="771"/>
      <c r="AQ92" s="771"/>
      <c r="AR92" s="772"/>
      <c r="AS92" s="773"/>
      <c r="AT92" s="774"/>
      <c r="AU92" s="774"/>
      <c r="AV92" s="774"/>
      <c r="AW92" s="774"/>
      <c r="AX92" s="774"/>
      <c r="AY92" s="774"/>
      <c r="AZ92" s="774"/>
      <c r="BA92" s="774"/>
      <c r="BB92" s="775"/>
      <c r="BC92" s="776"/>
      <c r="BD92" s="777"/>
      <c r="BE92" s="777"/>
      <c r="BF92" s="777"/>
      <c r="BG92" s="777"/>
      <c r="BH92" s="777"/>
      <c r="BI92" s="777"/>
      <c r="BJ92" s="777"/>
      <c r="BK92" s="777"/>
      <c r="BL92" s="777"/>
      <c r="BM92" s="778"/>
      <c r="BN92" s="779">
        <f>BN93+BN94</f>
        <v>61927078.289999999</v>
      </c>
      <c r="BO92" s="780"/>
      <c r="BP92" s="780"/>
      <c r="BQ92" s="780"/>
      <c r="BR92" s="780"/>
      <c r="BS92" s="780"/>
      <c r="BT92" s="780"/>
      <c r="BU92" s="780"/>
      <c r="BV92" s="780"/>
      <c r="BW92" s="780"/>
      <c r="BX92" s="403"/>
      <c r="BY92" s="403"/>
      <c r="BZ92" s="403"/>
      <c r="CA92" s="394"/>
      <c r="CB92" s="394"/>
      <c r="CC92" s="137"/>
      <c r="CD92" s="139"/>
      <c r="CE92" s="137"/>
      <c r="CF92" s="412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</row>
    <row r="93" spans="1:98" ht="12.75" customHeight="1" thickBot="1" x14ac:dyDescent="0.25">
      <c r="A93" s="766"/>
      <c r="B93" s="563"/>
      <c r="C93" s="563"/>
      <c r="D93" s="564"/>
      <c r="E93" s="562" t="s">
        <v>134</v>
      </c>
      <c r="F93" s="563"/>
      <c r="G93" s="563"/>
      <c r="H93" s="563"/>
      <c r="I93" s="563"/>
      <c r="J93" s="563"/>
      <c r="K93" s="563"/>
      <c r="L93" s="563"/>
      <c r="M93" s="563"/>
      <c r="N93" s="563"/>
      <c r="O93" s="563"/>
      <c r="P93" s="563"/>
      <c r="Q93" s="563"/>
      <c r="R93" s="563"/>
      <c r="S93" s="563"/>
      <c r="T93" s="563"/>
      <c r="U93" s="563"/>
      <c r="V93" s="563"/>
      <c r="W93" s="563"/>
      <c r="X93" s="563"/>
      <c r="Y93" s="563"/>
      <c r="Z93" s="563"/>
      <c r="AA93" s="563"/>
      <c r="AB93" s="563"/>
      <c r="AC93" s="563"/>
      <c r="AD93" s="563"/>
      <c r="AE93" s="563"/>
      <c r="AF93" s="563"/>
      <c r="AG93" s="563"/>
      <c r="AH93" s="563"/>
      <c r="AI93" s="563"/>
      <c r="AJ93" s="563"/>
      <c r="AK93" s="563"/>
      <c r="AL93" s="563"/>
      <c r="AM93" s="563"/>
      <c r="AN93" s="563"/>
      <c r="AO93" s="563"/>
      <c r="AP93" s="563"/>
      <c r="AQ93" s="563"/>
      <c r="AR93" s="564"/>
      <c r="AS93" s="577"/>
      <c r="AT93" s="578"/>
      <c r="AU93" s="578"/>
      <c r="AV93" s="578"/>
      <c r="AW93" s="578"/>
      <c r="AX93" s="578"/>
      <c r="AY93" s="578"/>
      <c r="AZ93" s="578"/>
      <c r="BA93" s="578"/>
      <c r="BB93" s="579"/>
      <c r="BC93" s="773"/>
      <c r="BD93" s="774"/>
      <c r="BE93" s="774"/>
      <c r="BF93" s="774"/>
      <c r="BG93" s="774"/>
      <c r="BH93" s="774"/>
      <c r="BI93" s="774"/>
      <c r="BJ93" s="774"/>
      <c r="BK93" s="774"/>
      <c r="BL93" s="774"/>
      <c r="BM93" s="775"/>
      <c r="BN93" s="781">
        <f>Лист1!EO45+Лист2!BQ66+'Лист5 '!BN12+'Лист5 '!BU76+'Лист5 '!BU90+Лист4!BN113</f>
        <v>50612668.789999999</v>
      </c>
      <c r="BO93" s="782"/>
      <c r="BP93" s="782"/>
      <c r="BQ93" s="782"/>
      <c r="BR93" s="782"/>
      <c r="BS93" s="782"/>
      <c r="BT93" s="782"/>
      <c r="BU93" s="782"/>
      <c r="BV93" s="782"/>
      <c r="BW93" s="782"/>
      <c r="BX93" s="32"/>
      <c r="BY93" s="32"/>
      <c r="BZ93" s="32"/>
      <c r="CA93" s="31"/>
      <c r="CB93" s="31"/>
      <c r="CC93" s="137"/>
      <c r="CD93" s="139"/>
      <c r="CE93" s="137"/>
      <c r="CF93" s="412"/>
      <c r="CG93" s="27"/>
      <c r="CH93" s="27"/>
      <c r="CI93" s="27"/>
      <c r="CJ93" s="27"/>
      <c r="CK93" s="27"/>
      <c r="CL93" s="27"/>
      <c r="CM93" s="27"/>
      <c r="CN93" s="27"/>
      <c r="CO93" s="27"/>
      <c r="CP93" s="27"/>
      <c r="CQ93" s="27"/>
      <c r="CR93" s="27"/>
      <c r="CS93" s="27"/>
      <c r="CT93" s="27"/>
    </row>
    <row r="94" spans="1:98" ht="14.25" customHeight="1" x14ac:dyDescent="0.2">
      <c r="A94" s="87"/>
      <c r="B94" s="8"/>
      <c r="C94" s="8"/>
      <c r="D94" s="83"/>
      <c r="E94" s="562" t="s">
        <v>207</v>
      </c>
      <c r="F94" s="563"/>
      <c r="G94" s="563"/>
      <c r="H94" s="563"/>
      <c r="I94" s="563"/>
      <c r="J94" s="563"/>
      <c r="K94" s="563"/>
      <c r="L94" s="563"/>
      <c r="M94" s="563"/>
      <c r="N94" s="563"/>
      <c r="O94" s="563"/>
      <c r="P94" s="563"/>
      <c r="Q94" s="563"/>
      <c r="R94" s="563"/>
      <c r="S94" s="563"/>
      <c r="T94" s="563"/>
      <c r="U94" s="563"/>
      <c r="V94" s="563"/>
      <c r="W94" s="563"/>
      <c r="X94" s="563"/>
      <c r="Y94" s="563"/>
      <c r="Z94" s="563"/>
      <c r="AA94" s="563"/>
      <c r="AB94" s="563"/>
      <c r="AC94" s="563"/>
      <c r="AD94" s="563"/>
      <c r="AE94" s="563"/>
      <c r="AF94" s="563"/>
      <c r="AG94" s="563"/>
      <c r="AH94" s="563"/>
      <c r="AI94" s="563"/>
      <c r="AJ94" s="563"/>
      <c r="AK94" s="563"/>
      <c r="AL94" s="563"/>
      <c r="AM94" s="563"/>
      <c r="AN94" s="563"/>
      <c r="AO94" s="563"/>
      <c r="AP94" s="563"/>
      <c r="AQ94" s="563"/>
      <c r="AR94" s="564"/>
      <c r="AS94" s="84"/>
      <c r="AT94" s="85"/>
      <c r="AU94" s="85"/>
      <c r="AV94" s="85"/>
      <c r="AW94" s="85"/>
      <c r="AX94" s="85"/>
      <c r="AY94" s="85"/>
      <c r="AZ94" s="85"/>
      <c r="BA94" s="85"/>
      <c r="BB94" s="86"/>
      <c r="BC94" s="80"/>
      <c r="BD94" s="81"/>
      <c r="BE94" s="81"/>
      <c r="BF94" s="81"/>
      <c r="BG94" s="81"/>
      <c r="BH94" s="81"/>
      <c r="BI94" s="81"/>
      <c r="BJ94" s="81"/>
      <c r="BK94" s="81"/>
      <c r="BL94" s="81"/>
      <c r="BM94" s="82"/>
      <c r="BN94" s="781">
        <f>Лист2!BP13+Лист4!BP31+Лист4!BP50+Лист4!BN85+Лист4!BN114+Лист4!BN122+'Лист5 '!BN13+'Лист5 '!BN62+'Лист5 '!BN77+'Лист5 '!BN91+Лист3!BJ29+Лист3!BJ43+Лист3!BJ57+Лист4!BP16+BN54+BN23+BN34+BN44</f>
        <v>11314409.5</v>
      </c>
      <c r="BO94" s="782"/>
      <c r="BP94" s="782"/>
      <c r="BQ94" s="782"/>
      <c r="BR94" s="782"/>
      <c r="BS94" s="782"/>
      <c r="BT94" s="782"/>
      <c r="BU94" s="782"/>
      <c r="BV94" s="782"/>
      <c r="BW94" s="782"/>
      <c r="BX94" s="88"/>
      <c r="BY94" s="88"/>
      <c r="BZ94" s="88"/>
      <c r="CA94" s="31"/>
      <c r="CB94" s="31"/>
      <c r="CC94" s="205"/>
      <c r="CD94" s="139"/>
      <c r="CE94" s="137"/>
      <c r="CF94" s="412"/>
      <c r="CG94" s="27"/>
      <c r="CH94" s="27"/>
      <c r="CI94" s="27"/>
      <c r="CJ94" s="27"/>
      <c r="CK94" s="27"/>
      <c r="CL94" s="27"/>
      <c r="CM94" s="27"/>
      <c r="CN94" s="27"/>
      <c r="CO94" s="27"/>
      <c r="CP94" s="27"/>
      <c r="CQ94" s="27"/>
      <c r="CR94" s="27"/>
      <c r="CS94" s="27"/>
      <c r="CT94" s="27"/>
    </row>
    <row r="95" spans="1:98" ht="16.5" customHeight="1" x14ac:dyDescent="0.2">
      <c r="A95" s="766"/>
      <c r="B95" s="563"/>
      <c r="C95" s="563"/>
      <c r="D95" s="564"/>
      <c r="E95" s="792" t="s">
        <v>135</v>
      </c>
      <c r="F95" s="793"/>
      <c r="G95" s="793"/>
      <c r="H95" s="793"/>
      <c r="I95" s="793"/>
      <c r="J95" s="793"/>
      <c r="K95" s="793"/>
      <c r="L95" s="793"/>
      <c r="M95" s="793"/>
      <c r="N95" s="793"/>
      <c r="O95" s="793"/>
      <c r="P95" s="793"/>
      <c r="Q95" s="793"/>
      <c r="R95" s="793"/>
      <c r="S95" s="793"/>
      <c r="T95" s="793"/>
      <c r="U95" s="793"/>
      <c r="V95" s="793"/>
      <c r="W95" s="793"/>
      <c r="X95" s="793"/>
      <c r="Y95" s="793"/>
      <c r="Z95" s="793"/>
      <c r="AA95" s="793"/>
      <c r="AB95" s="793"/>
      <c r="AC95" s="793"/>
      <c r="AD95" s="793"/>
      <c r="AE95" s="793"/>
      <c r="AF95" s="793"/>
      <c r="AG95" s="793"/>
      <c r="AH95" s="793"/>
      <c r="AI95" s="793"/>
      <c r="AJ95" s="793"/>
      <c r="AK95" s="793"/>
      <c r="AL95" s="793"/>
      <c r="AM95" s="793"/>
      <c r="AN95" s="793"/>
      <c r="AO95" s="793"/>
      <c r="AP95" s="793"/>
      <c r="AQ95" s="793"/>
      <c r="AR95" s="794"/>
      <c r="AS95" s="577"/>
      <c r="AT95" s="578"/>
      <c r="AU95" s="578"/>
      <c r="AV95" s="578"/>
      <c r="AW95" s="578"/>
      <c r="AX95" s="578"/>
      <c r="AY95" s="578"/>
      <c r="AZ95" s="578"/>
      <c r="BA95" s="578"/>
      <c r="BB95" s="579"/>
      <c r="BC95" s="577"/>
      <c r="BD95" s="578"/>
      <c r="BE95" s="578"/>
      <c r="BF95" s="578"/>
      <c r="BG95" s="578"/>
      <c r="BH95" s="578"/>
      <c r="BI95" s="578"/>
      <c r="BJ95" s="578"/>
      <c r="BK95" s="578"/>
      <c r="BL95" s="578"/>
      <c r="BM95" s="579"/>
      <c r="BN95" s="795">
        <f>Лист2!BP32+Лист3!BJ86+Лист3!BJ68</f>
        <v>13465561.409999998</v>
      </c>
      <c r="BO95" s="796"/>
      <c r="BP95" s="796"/>
      <c r="BQ95" s="796"/>
      <c r="BR95" s="796"/>
      <c r="BS95" s="796"/>
      <c r="BT95" s="796"/>
      <c r="BU95" s="796"/>
      <c r="BV95" s="796"/>
      <c r="BW95" s="796"/>
      <c r="BX95" s="33"/>
      <c r="BY95" s="33"/>
      <c r="BZ95" s="33"/>
      <c r="CA95" s="31"/>
      <c r="CB95" s="31"/>
      <c r="CC95" s="137"/>
      <c r="CD95" s="139"/>
      <c r="CE95" s="137"/>
      <c r="CF95" s="412"/>
      <c r="CG95" s="27"/>
      <c r="CH95" s="27"/>
      <c r="CI95" s="27"/>
      <c r="CJ95" s="27"/>
      <c r="CK95" s="27"/>
      <c r="CL95" s="27"/>
      <c r="CM95" s="27"/>
      <c r="CN95" s="27"/>
      <c r="CO95" s="27"/>
      <c r="CP95" s="27"/>
      <c r="CQ95" s="27"/>
      <c r="CR95" s="27"/>
      <c r="CS95" s="27"/>
      <c r="CT95" s="27"/>
    </row>
    <row r="96" spans="1:98" ht="14.25" customHeight="1" x14ac:dyDescent="0.2">
      <c r="A96" s="766"/>
      <c r="B96" s="563"/>
      <c r="C96" s="563"/>
      <c r="D96" s="564"/>
      <c r="E96" s="562" t="s">
        <v>340</v>
      </c>
      <c r="F96" s="563"/>
      <c r="G96" s="563"/>
      <c r="H96" s="563"/>
      <c r="I96" s="563"/>
      <c r="J96" s="563"/>
      <c r="K96" s="563"/>
      <c r="L96" s="563"/>
      <c r="M96" s="563"/>
      <c r="N96" s="563"/>
      <c r="O96" s="563"/>
      <c r="P96" s="563"/>
      <c r="Q96" s="563"/>
      <c r="R96" s="563"/>
      <c r="S96" s="563"/>
      <c r="T96" s="563"/>
      <c r="U96" s="563"/>
      <c r="V96" s="563"/>
      <c r="W96" s="563"/>
      <c r="X96" s="563"/>
      <c r="Y96" s="563"/>
      <c r="Z96" s="563"/>
      <c r="AA96" s="563"/>
      <c r="AB96" s="563"/>
      <c r="AC96" s="563"/>
      <c r="AD96" s="563"/>
      <c r="AE96" s="563"/>
      <c r="AF96" s="563"/>
      <c r="AG96" s="563"/>
      <c r="AH96" s="563"/>
      <c r="AI96" s="563"/>
      <c r="AJ96" s="563"/>
      <c r="AK96" s="563"/>
      <c r="AL96" s="563"/>
      <c r="AM96" s="563"/>
      <c r="AN96" s="563"/>
      <c r="AO96" s="563"/>
      <c r="AP96" s="563"/>
      <c r="AQ96" s="563"/>
      <c r="AR96" s="564"/>
      <c r="AS96" s="577"/>
      <c r="AT96" s="578"/>
      <c r="AU96" s="578"/>
      <c r="AV96" s="578"/>
      <c r="AW96" s="578"/>
      <c r="AX96" s="578"/>
      <c r="AY96" s="578"/>
      <c r="AZ96" s="578"/>
      <c r="BA96" s="578"/>
      <c r="BB96" s="579"/>
      <c r="BC96" s="577"/>
      <c r="BD96" s="578"/>
      <c r="BE96" s="578"/>
      <c r="BF96" s="578"/>
      <c r="BG96" s="578"/>
      <c r="BH96" s="578"/>
      <c r="BI96" s="578"/>
      <c r="BJ96" s="578"/>
      <c r="BK96" s="578"/>
      <c r="BL96" s="578"/>
      <c r="BM96" s="579"/>
      <c r="BN96" s="756">
        <f>Лист3!BJ121</f>
        <v>0</v>
      </c>
      <c r="BO96" s="757"/>
      <c r="BP96" s="757"/>
      <c r="BQ96" s="757"/>
      <c r="BR96" s="757"/>
      <c r="BS96" s="757"/>
      <c r="BT96" s="757"/>
      <c r="BU96" s="757"/>
      <c r="BV96" s="757"/>
      <c r="BW96" s="757"/>
      <c r="BX96" s="33"/>
      <c r="BY96" s="33"/>
      <c r="BZ96" s="33"/>
      <c r="CA96" s="31"/>
      <c r="CB96" s="31"/>
      <c r="CC96" s="137"/>
      <c r="CD96" s="139"/>
      <c r="CE96" s="137"/>
      <c r="CF96" s="412"/>
      <c r="CG96" s="27"/>
      <c r="CH96" s="27"/>
      <c r="CI96" s="27"/>
      <c r="CJ96" s="27"/>
      <c r="CK96" s="27"/>
      <c r="CL96" s="27"/>
      <c r="CM96" s="27"/>
      <c r="CN96" s="27"/>
      <c r="CO96" s="27"/>
      <c r="CP96" s="27"/>
      <c r="CQ96" s="27"/>
      <c r="CR96" s="27"/>
      <c r="CS96" s="27"/>
      <c r="CT96" s="27"/>
    </row>
    <row r="97" spans="1:98" ht="14.25" customHeight="1" x14ac:dyDescent="0.2">
      <c r="A97" s="766"/>
      <c r="B97" s="563"/>
      <c r="C97" s="563"/>
      <c r="D97" s="564"/>
      <c r="E97" s="562" t="s">
        <v>208</v>
      </c>
      <c r="F97" s="563"/>
      <c r="G97" s="563"/>
      <c r="H97" s="563"/>
      <c r="I97" s="563"/>
      <c r="J97" s="563"/>
      <c r="K97" s="563"/>
      <c r="L97" s="563"/>
      <c r="M97" s="563"/>
      <c r="N97" s="563"/>
      <c r="O97" s="563"/>
      <c r="P97" s="563"/>
      <c r="Q97" s="563"/>
      <c r="R97" s="563"/>
      <c r="S97" s="563"/>
      <c r="T97" s="563"/>
      <c r="U97" s="563"/>
      <c r="V97" s="563"/>
      <c r="W97" s="563"/>
      <c r="X97" s="563"/>
      <c r="Y97" s="563"/>
      <c r="Z97" s="563"/>
      <c r="AA97" s="563"/>
      <c r="AB97" s="563"/>
      <c r="AC97" s="563"/>
      <c r="AD97" s="563"/>
      <c r="AE97" s="563"/>
      <c r="AF97" s="563"/>
      <c r="AG97" s="563"/>
      <c r="AH97" s="563"/>
      <c r="AI97" s="563"/>
      <c r="AJ97" s="563"/>
      <c r="AK97" s="563"/>
      <c r="AL97" s="563"/>
      <c r="AM97" s="563"/>
      <c r="AN97" s="563"/>
      <c r="AO97" s="563"/>
      <c r="AP97" s="563"/>
      <c r="AQ97" s="563"/>
      <c r="AR97" s="564"/>
      <c r="AS97" s="577"/>
      <c r="AT97" s="578"/>
      <c r="AU97" s="578"/>
      <c r="AV97" s="578"/>
      <c r="AW97" s="578"/>
      <c r="AX97" s="578"/>
      <c r="AY97" s="578"/>
      <c r="AZ97" s="578"/>
      <c r="BA97" s="578"/>
      <c r="BB97" s="579"/>
      <c r="BC97" s="577"/>
      <c r="BD97" s="578"/>
      <c r="BE97" s="578"/>
      <c r="BF97" s="578"/>
      <c r="BG97" s="578"/>
      <c r="BH97" s="578"/>
      <c r="BI97" s="578"/>
      <c r="BJ97" s="578"/>
      <c r="BK97" s="578"/>
      <c r="BL97" s="578"/>
      <c r="BM97" s="579"/>
      <c r="BN97" s="756">
        <f>Лист3!BN108</f>
        <v>67896.600000000006</v>
      </c>
      <c r="BO97" s="757"/>
      <c r="BP97" s="757"/>
      <c r="BQ97" s="757"/>
      <c r="BR97" s="757"/>
      <c r="BS97" s="757"/>
      <c r="BT97" s="757"/>
      <c r="BU97" s="757"/>
      <c r="BV97" s="757"/>
      <c r="BW97" s="757"/>
      <c r="BX97" s="33"/>
      <c r="BY97" s="33"/>
      <c r="BZ97" s="33"/>
      <c r="CA97" s="31"/>
      <c r="CB97" s="31"/>
      <c r="CC97" s="137"/>
      <c r="CD97" s="139"/>
      <c r="CE97" s="137"/>
      <c r="CF97" s="412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</row>
    <row r="98" spans="1:98" ht="15" customHeight="1" thickBot="1" x14ac:dyDescent="0.25">
      <c r="A98" s="766"/>
      <c r="B98" s="563"/>
      <c r="C98" s="563"/>
      <c r="D98" s="564"/>
      <c r="E98" s="792" t="s">
        <v>136</v>
      </c>
      <c r="F98" s="793"/>
      <c r="G98" s="793"/>
      <c r="H98" s="793"/>
      <c r="I98" s="793"/>
      <c r="J98" s="793"/>
      <c r="K98" s="793"/>
      <c r="L98" s="793"/>
      <c r="M98" s="793"/>
      <c r="N98" s="793"/>
      <c r="O98" s="793"/>
      <c r="P98" s="793"/>
      <c r="Q98" s="793"/>
      <c r="R98" s="793"/>
      <c r="S98" s="793"/>
      <c r="T98" s="793"/>
      <c r="U98" s="793"/>
      <c r="V98" s="793"/>
      <c r="W98" s="793"/>
      <c r="X98" s="793"/>
      <c r="Y98" s="793"/>
      <c r="Z98" s="793"/>
      <c r="AA98" s="793"/>
      <c r="AB98" s="793"/>
      <c r="AC98" s="793"/>
      <c r="AD98" s="793"/>
      <c r="AE98" s="793"/>
      <c r="AF98" s="793"/>
      <c r="AG98" s="793"/>
      <c r="AH98" s="793"/>
      <c r="AI98" s="793"/>
      <c r="AJ98" s="793"/>
      <c r="AK98" s="793"/>
      <c r="AL98" s="793"/>
      <c r="AM98" s="793"/>
      <c r="AN98" s="793"/>
      <c r="AO98" s="793"/>
      <c r="AP98" s="793"/>
      <c r="AQ98" s="793"/>
      <c r="AR98" s="794"/>
      <c r="AS98" s="577"/>
      <c r="AT98" s="578"/>
      <c r="AU98" s="578"/>
      <c r="AV98" s="578"/>
      <c r="AW98" s="578"/>
      <c r="AX98" s="578"/>
      <c r="AY98" s="578"/>
      <c r="AZ98" s="578"/>
      <c r="BA98" s="578"/>
      <c r="BB98" s="579"/>
      <c r="BC98" s="577"/>
      <c r="BD98" s="578"/>
      <c r="BE98" s="578"/>
      <c r="BF98" s="578"/>
      <c r="BG98" s="578"/>
      <c r="BH98" s="578"/>
      <c r="BI98" s="578"/>
      <c r="BJ98" s="578"/>
      <c r="BK98" s="578"/>
      <c r="BL98" s="578"/>
      <c r="BM98" s="579"/>
      <c r="BN98" s="795">
        <f>BN97</f>
        <v>67896.600000000006</v>
      </c>
      <c r="BO98" s="796"/>
      <c r="BP98" s="796"/>
      <c r="BQ98" s="796"/>
      <c r="BR98" s="796"/>
      <c r="BS98" s="796"/>
      <c r="BT98" s="796"/>
      <c r="BU98" s="796"/>
      <c r="BV98" s="796"/>
      <c r="BW98" s="796"/>
      <c r="BX98" s="33"/>
      <c r="BY98" s="33"/>
      <c r="BZ98" s="33"/>
      <c r="CA98" s="31"/>
      <c r="CB98" s="36"/>
      <c r="CC98" s="137"/>
      <c r="CD98" s="139"/>
      <c r="CE98" s="137"/>
      <c r="CF98" s="412"/>
      <c r="CG98" s="27"/>
      <c r="CH98" s="27"/>
      <c r="CI98" s="27"/>
      <c r="CJ98" s="27"/>
      <c r="CK98" s="27"/>
      <c r="CL98" s="27"/>
      <c r="CM98" s="27"/>
      <c r="CN98" s="27"/>
      <c r="CO98" s="27"/>
      <c r="CP98" s="27"/>
      <c r="CQ98" s="27"/>
      <c r="CR98" s="27"/>
      <c r="CS98" s="27"/>
      <c r="CT98" s="27"/>
    </row>
    <row r="99" spans="1:98" ht="12.75" customHeight="1" thickBot="1" x14ac:dyDescent="0.25">
      <c r="A99" s="798"/>
      <c r="B99" s="799"/>
      <c r="C99" s="799"/>
      <c r="D99" s="800"/>
      <c r="E99" s="801" t="s">
        <v>137</v>
      </c>
      <c r="F99" s="802"/>
      <c r="G99" s="802"/>
      <c r="H99" s="802"/>
      <c r="I99" s="802"/>
      <c r="J99" s="802"/>
      <c r="K99" s="802"/>
      <c r="L99" s="802"/>
      <c r="M99" s="802"/>
      <c r="N99" s="802"/>
      <c r="O99" s="802"/>
      <c r="P99" s="802"/>
      <c r="Q99" s="802"/>
      <c r="R99" s="802"/>
      <c r="S99" s="802"/>
      <c r="T99" s="802"/>
      <c r="U99" s="802"/>
      <c r="V99" s="802"/>
      <c r="W99" s="802"/>
      <c r="X99" s="802"/>
      <c r="Y99" s="802"/>
      <c r="Z99" s="802"/>
      <c r="AA99" s="802"/>
      <c r="AB99" s="802"/>
      <c r="AC99" s="802"/>
      <c r="AD99" s="802"/>
      <c r="AE99" s="802"/>
      <c r="AF99" s="802"/>
      <c r="AG99" s="802"/>
      <c r="AH99" s="802"/>
      <c r="AI99" s="802"/>
      <c r="AJ99" s="802"/>
      <c r="AK99" s="802"/>
      <c r="AL99" s="802"/>
      <c r="AM99" s="802"/>
      <c r="AN99" s="802"/>
      <c r="AO99" s="802"/>
      <c r="AP99" s="802"/>
      <c r="AQ99" s="802"/>
      <c r="AR99" s="803"/>
      <c r="AS99" s="804"/>
      <c r="AT99" s="805"/>
      <c r="AU99" s="805"/>
      <c r="AV99" s="805"/>
      <c r="AW99" s="805"/>
      <c r="AX99" s="805"/>
      <c r="AY99" s="805"/>
      <c r="AZ99" s="805"/>
      <c r="BA99" s="805"/>
      <c r="BB99" s="806"/>
      <c r="BC99" s="577"/>
      <c r="BD99" s="578"/>
      <c r="BE99" s="578"/>
      <c r="BF99" s="578"/>
      <c r="BG99" s="578"/>
      <c r="BH99" s="578"/>
      <c r="BI99" s="578"/>
      <c r="BJ99" s="578"/>
      <c r="BK99" s="578"/>
      <c r="BL99" s="578"/>
      <c r="BM99" s="579"/>
      <c r="BN99" s="795">
        <f>BN92+BN95+BN97+BN96</f>
        <v>75460536.299999997</v>
      </c>
      <c r="BO99" s="796"/>
      <c r="BP99" s="796"/>
      <c r="BQ99" s="796"/>
      <c r="BR99" s="796"/>
      <c r="BS99" s="796"/>
      <c r="BT99" s="796"/>
      <c r="BU99" s="796"/>
      <c r="BV99" s="796"/>
      <c r="BW99" s="796"/>
      <c r="BX99" s="33"/>
      <c r="BY99" s="33"/>
      <c r="BZ99" s="33"/>
      <c r="CA99" s="31"/>
      <c r="CB99" s="32"/>
      <c r="CC99" s="137"/>
      <c r="CD99" s="139">
        <f>BN99-CC99</f>
        <v>75460536.299999997</v>
      </c>
      <c r="CE99" s="137"/>
      <c r="CF99" s="416"/>
    </row>
    <row r="100" spans="1:98" ht="13.5" thickBot="1" x14ac:dyDescent="0.25">
      <c r="CA100" s="36"/>
      <c r="CB100" s="33"/>
      <c r="CC100" s="137"/>
      <c r="CD100" s="137"/>
      <c r="CE100" s="137"/>
      <c r="CF100" s="412"/>
    </row>
    <row r="101" spans="1:98" x14ac:dyDescent="0.2">
      <c r="A101" s="797" t="s">
        <v>329</v>
      </c>
      <c r="B101" s="797"/>
      <c r="C101" s="797"/>
      <c r="D101" s="797"/>
      <c r="E101" s="797"/>
      <c r="F101" s="797"/>
      <c r="G101" s="797"/>
      <c r="H101" s="797"/>
      <c r="I101" s="797"/>
      <c r="J101" s="797"/>
      <c r="K101" s="797"/>
      <c r="L101" s="797"/>
      <c r="M101" s="797"/>
      <c r="N101" s="797"/>
      <c r="O101" s="797"/>
      <c r="P101" s="797"/>
      <c r="Q101" s="797"/>
      <c r="R101" s="797"/>
      <c r="S101" s="797"/>
      <c r="T101" s="797"/>
      <c r="U101" s="797"/>
      <c r="V101" s="797"/>
      <c r="W101" s="797"/>
      <c r="X101" s="797"/>
      <c r="Y101" s="797"/>
      <c r="Z101" s="797"/>
      <c r="AA101" s="797"/>
      <c r="AB101" s="797"/>
      <c r="AC101" s="797"/>
      <c r="AD101" s="797"/>
      <c r="AE101" s="797"/>
      <c r="AF101" s="797"/>
      <c r="AG101" s="797"/>
      <c r="AH101" s="797"/>
      <c r="AI101" s="797"/>
      <c r="AJ101" s="797"/>
      <c r="AK101" s="797"/>
      <c r="AL101" s="797"/>
      <c r="AM101" s="797"/>
      <c r="AN101" s="797"/>
      <c r="AO101" s="797"/>
      <c r="AP101" s="797"/>
      <c r="AQ101" s="797"/>
      <c r="AR101" s="797"/>
      <c r="BN101" s="797" t="s">
        <v>404</v>
      </c>
      <c r="BO101" s="797"/>
      <c r="BP101" s="797"/>
      <c r="BQ101" s="797"/>
      <c r="BR101" s="797"/>
      <c r="BS101" s="797"/>
      <c r="BT101" s="797"/>
      <c r="BU101" s="797"/>
      <c r="CA101" s="32"/>
      <c r="CB101" s="33"/>
      <c r="CC101" s="137" t="s">
        <v>303</v>
      </c>
      <c r="CD101" s="137"/>
      <c r="CE101" s="137"/>
      <c r="CF101" s="412"/>
    </row>
    <row r="102" spans="1:98" x14ac:dyDescent="0.2">
      <c r="L102" s="807">
        <v>45875</v>
      </c>
      <c r="M102" s="807"/>
      <c r="N102" s="807"/>
      <c r="O102" s="807"/>
      <c r="P102" s="807"/>
      <c r="Q102" s="807"/>
      <c r="R102" s="807"/>
      <c r="S102" s="807"/>
      <c r="T102" s="807"/>
      <c r="U102" s="807"/>
      <c r="V102" s="807"/>
      <c r="W102" s="807"/>
      <c r="X102" s="807"/>
      <c r="Y102" s="807"/>
      <c r="Z102" s="807"/>
      <c r="AA102" s="807"/>
      <c r="AB102" s="807"/>
      <c r="AC102" s="807"/>
      <c r="AD102" s="807"/>
      <c r="CA102" s="33"/>
      <c r="CB102" s="33"/>
      <c r="CC102" s="137"/>
      <c r="CD102" s="137"/>
      <c r="CE102" s="137"/>
      <c r="CF102" s="412"/>
    </row>
    <row r="103" spans="1:98" ht="13.5" thickBot="1" x14ac:dyDescent="0.25">
      <c r="CA103" s="33"/>
      <c r="CB103" s="37"/>
      <c r="CC103" s="137"/>
      <c r="CD103" s="137"/>
      <c r="CE103" s="137"/>
      <c r="CF103" s="412"/>
    </row>
    <row r="104" spans="1:98" x14ac:dyDescent="0.2">
      <c r="CA104" s="33"/>
      <c r="CC104" s="137"/>
      <c r="CD104" s="137"/>
      <c r="CE104" s="137"/>
      <c r="CF104" s="412"/>
    </row>
    <row r="105" spans="1:98" x14ac:dyDescent="0.2">
      <c r="BG105" s="797"/>
      <c r="BH105" s="797"/>
      <c r="BI105" s="797"/>
      <c r="BJ105" s="797"/>
      <c r="BK105" s="797"/>
      <c r="BL105" s="797"/>
      <c r="BM105" s="797"/>
      <c r="BN105" s="797"/>
      <c r="BO105" s="797"/>
      <c r="BP105" s="797"/>
      <c r="BQ105" s="797"/>
      <c r="CA105" s="140"/>
      <c r="CC105" s="137"/>
      <c r="CD105" s="137"/>
      <c r="CE105" s="137"/>
      <c r="CF105" s="412"/>
    </row>
    <row r="106" spans="1:98" x14ac:dyDescent="0.2">
      <c r="BH106" s="797"/>
      <c r="BI106" s="797"/>
      <c r="BJ106" s="797"/>
      <c r="BK106" s="797"/>
      <c r="BL106" s="797"/>
      <c r="BM106" s="797"/>
      <c r="BN106" s="797"/>
      <c r="BO106" s="797"/>
      <c r="BP106" s="797"/>
      <c r="BQ106" s="797"/>
      <c r="BR106" s="797"/>
      <c r="BU106" s="27"/>
      <c r="BV106" s="27"/>
      <c r="BW106" s="27"/>
      <c r="BX106" s="27"/>
      <c r="BY106" s="27"/>
      <c r="BZ106" s="27"/>
      <c r="CA106" s="27"/>
      <c r="CB106" s="141"/>
      <c r="CC106" s="137"/>
      <c r="CD106" s="137"/>
      <c r="CE106" s="137"/>
      <c r="CF106" s="412"/>
    </row>
    <row r="107" spans="1:98" x14ac:dyDescent="0.2">
      <c r="BU107" s="27"/>
      <c r="BV107" s="27"/>
      <c r="BW107" s="27"/>
      <c r="BX107" s="27"/>
      <c r="BY107" s="27"/>
      <c r="BZ107" s="27"/>
      <c r="CA107" s="27"/>
      <c r="CB107" s="27"/>
      <c r="CC107" s="137"/>
      <c r="CD107" s="137"/>
      <c r="CE107" s="137"/>
      <c r="CF107" s="412"/>
    </row>
    <row r="108" spans="1:98" x14ac:dyDescent="0.2">
      <c r="BU108" s="27"/>
      <c r="BV108" s="27"/>
      <c r="BW108" s="27"/>
      <c r="BX108" s="27"/>
      <c r="BY108" s="27"/>
      <c r="BZ108" s="27"/>
      <c r="CA108" s="141"/>
      <c r="CB108" s="27"/>
      <c r="CC108" s="137"/>
      <c r="CD108" s="137"/>
      <c r="CE108" s="137"/>
      <c r="CF108" s="412"/>
    </row>
    <row r="109" spans="1:98" x14ac:dyDescent="0.2">
      <c r="BU109" s="27"/>
      <c r="BV109" s="27"/>
      <c r="BW109" s="27"/>
      <c r="BX109" s="27"/>
      <c r="BY109" s="27"/>
      <c r="BZ109" s="27"/>
      <c r="CA109" s="27"/>
      <c r="CB109" s="27"/>
      <c r="CC109" s="137"/>
      <c r="CD109" s="137"/>
      <c r="CE109" s="137"/>
      <c r="CF109" s="412"/>
    </row>
    <row r="110" spans="1:98" x14ac:dyDescent="0.2">
      <c r="BU110" s="27"/>
      <c r="BV110" s="27"/>
      <c r="BW110" s="27"/>
      <c r="BX110" s="27"/>
      <c r="BY110" s="27"/>
      <c r="BZ110" s="27"/>
      <c r="CA110" s="27"/>
      <c r="CB110" s="27"/>
      <c r="CC110" s="137"/>
      <c r="CD110" s="137"/>
      <c r="CE110" s="137"/>
      <c r="CF110" s="412"/>
    </row>
    <row r="111" spans="1:98" x14ac:dyDescent="0.2">
      <c r="BU111" s="27"/>
      <c r="BV111" s="27"/>
      <c r="BW111" s="27"/>
      <c r="BX111" s="27"/>
      <c r="BY111" s="27"/>
      <c r="BZ111" s="27"/>
      <c r="CA111" s="27"/>
      <c r="CB111" s="27"/>
      <c r="CC111" s="137"/>
      <c r="CD111" s="137"/>
      <c r="CE111" s="137"/>
      <c r="CF111" s="412"/>
    </row>
    <row r="112" spans="1:98" x14ac:dyDescent="0.2">
      <c r="BU112" s="27"/>
      <c r="BV112" s="27"/>
      <c r="BW112" s="27"/>
      <c r="BX112" s="27"/>
      <c r="BY112" s="27"/>
      <c r="BZ112" s="27"/>
      <c r="CA112" s="27"/>
      <c r="CB112" s="27"/>
      <c r="CC112" s="137"/>
      <c r="CD112" s="137"/>
      <c r="CE112" s="137"/>
      <c r="CF112" s="412"/>
    </row>
    <row r="113" spans="73:84" x14ac:dyDescent="0.2">
      <c r="BU113" s="27"/>
      <c r="BV113" s="27"/>
      <c r="BW113" s="27"/>
      <c r="BX113" s="27"/>
      <c r="BY113" s="27"/>
      <c r="BZ113" s="27"/>
      <c r="CA113" s="27"/>
      <c r="CB113" s="27"/>
      <c r="CC113" s="137"/>
      <c r="CD113" s="137"/>
      <c r="CE113" s="137"/>
      <c r="CF113" s="412"/>
    </row>
    <row r="114" spans="73:84" x14ac:dyDescent="0.2">
      <c r="BU114" s="27"/>
      <c r="BV114" s="27"/>
      <c r="BW114" s="27"/>
      <c r="BX114" s="27"/>
      <c r="BY114" s="27"/>
      <c r="BZ114" s="27"/>
      <c r="CA114" s="27"/>
      <c r="CB114" s="27"/>
      <c r="CC114" s="137"/>
      <c r="CD114" s="137"/>
      <c r="CE114" s="137"/>
      <c r="CF114" s="412"/>
    </row>
    <row r="115" spans="73:84" x14ac:dyDescent="0.2">
      <c r="BU115" s="27"/>
      <c r="BV115" s="27"/>
      <c r="BW115" s="27"/>
      <c r="BX115" s="27"/>
      <c r="BY115" s="27"/>
      <c r="BZ115" s="27"/>
      <c r="CA115" s="27"/>
      <c r="CB115" s="27"/>
      <c r="CC115" s="137"/>
      <c r="CD115" s="137"/>
      <c r="CE115" s="137"/>
      <c r="CF115" s="412"/>
    </row>
    <row r="116" spans="73:84" x14ac:dyDescent="0.2">
      <c r="BU116" s="27"/>
      <c r="BV116" s="27"/>
      <c r="BW116" s="27"/>
      <c r="BX116" s="27"/>
      <c r="BY116" s="27"/>
      <c r="BZ116" s="27"/>
      <c r="CA116" s="27"/>
      <c r="CB116" s="27"/>
      <c r="CC116" s="137"/>
      <c r="CD116" s="137"/>
      <c r="CE116" s="137"/>
      <c r="CF116" s="412"/>
    </row>
    <row r="117" spans="73:84" x14ac:dyDescent="0.2">
      <c r="CC117" s="138"/>
      <c r="CD117" s="138"/>
      <c r="CE117" s="138"/>
    </row>
    <row r="166" spans="5:80" x14ac:dyDescent="0.2"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</row>
    <row r="167" spans="5:80" x14ac:dyDescent="0.2"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</row>
    <row r="168" spans="5:80" x14ac:dyDescent="0.2"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</row>
    <row r="169" spans="5:80" x14ac:dyDescent="0.2"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</row>
    <row r="170" spans="5:80" x14ac:dyDescent="0.2"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</row>
    <row r="171" spans="5:80" x14ac:dyDescent="0.2"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B171" s="14"/>
    </row>
    <row r="172" spans="5:80" x14ac:dyDescent="0.2"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B172" s="14"/>
    </row>
    <row r="173" spans="5:80" x14ac:dyDescent="0.2"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</row>
    <row r="174" spans="5:80" x14ac:dyDescent="0.2"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</row>
    <row r="175" spans="5:80" x14ac:dyDescent="0.2"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</row>
    <row r="176" spans="5:80" x14ac:dyDescent="0.2">
      <c r="CA176" s="14"/>
      <c r="CB176" s="14"/>
    </row>
    <row r="177" spans="79:80" x14ac:dyDescent="0.2">
      <c r="CA177" s="14"/>
      <c r="CB177" s="14"/>
    </row>
    <row r="178" spans="79:80" x14ac:dyDescent="0.2">
      <c r="CA178" s="14"/>
      <c r="CB178" s="14"/>
    </row>
    <row r="179" spans="79:80" x14ac:dyDescent="0.2">
      <c r="CA179" s="14"/>
      <c r="CB179" s="14"/>
    </row>
    <row r="180" spans="79:80" x14ac:dyDescent="0.2">
      <c r="CA180" s="14"/>
      <c r="CB180" s="14"/>
    </row>
    <row r="181" spans="79:80" x14ac:dyDescent="0.2">
      <c r="CA181" s="14"/>
    </row>
    <row r="182" spans="79:80" x14ac:dyDescent="0.2">
      <c r="CA182" s="14"/>
    </row>
  </sheetData>
  <mergeCells count="376">
    <mergeCell ref="A40:D40"/>
    <mergeCell ref="E40:AR40"/>
    <mergeCell ref="AS40:BB40"/>
    <mergeCell ref="BC40:BM40"/>
    <mergeCell ref="BN40:CB40"/>
    <mergeCell ref="A44:D44"/>
    <mergeCell ref="E44:AR44"/>
    <mergeCell ref="AS44:BB44"/>
    <mergeCell ref="BC44:BM44"/>
    <mergeCell ref="BN44:BW44"/>
    <mergeCell ref="A42:D42"/>
    <mergeCell ref="E42:AR42"/>
    <mergeCell ref="AS42:BB42"/>
    <mergeCell ref="BC42:BM42"/>
    <mergeCell ref="BN42:CB42"/>
    <mergeCell ref="A43:D43"/>
    <mergeCell ref="E43:AR43"/>
    <mergeCell ref="AS43:BB43"/>
    <mergeCell ref="BC43:BM43"/>
    <mergeCell ref="BN43:CB43"/>
    <mergeCell ref="A19:D19"/>
    <mergeCell ref="E19:AR19"/>
    <mergeCell ref="AS19:BB19"/>
    <mergeCell ref="BC19:BM19"/>
    <mergeCell ref="A22:D22"/>
    <mergeCell ref="E22:AR22"/>
    <mergeCell ref="AS22:BB22"/>
    <mergeCell ref="BC22:BM22"/>
    <mergeCell ref="BN22:CB22"/>
    <mergeCell ref="BN19:CB19"/>
    <mergeCell ref="A20:D20"/>
    <mergeCell ref="E20:AR20"/>
    <mergeCell ref="AS20:BB20"/>
    <mergeCell ref="BC20:BM20"/>
    <mergeCell ref="BN20:CB20"/>
    <mergeCell ref="A21:D21"/>
    <mergeCell ref="E21:AR21"/>
    <mergeCell ref="AS21:BB21"/>
    <mergeCell ref="BC21:BM21"/>
    <mergeCell ref="BN21:CB21"/>
    <mergeCell ref="A15:CB15"/>
    <mergeCell ref="A17:D17"/>
    <mergeCell ref="E17:AR17"/>
    <mergeCell ref="AS17:BB17"/>
    <mergeCell ref="BC17:BM17"/>
    <mergeCell ref="BN17:CB17"/>
    <mergeCell ref="A18:D18"/>
    <mergeCell ref="E18:AR18"/>
    <mergeCell ref="AS18:BB18"/>
    <mergeCell ref="BC18:BM18"/>
    <mergeCell ref="BN18:CB18"/>
    <mergeCell ref="A1:CB1"/>
    <mergeCell ref="A2:D2"/>
    <mergeCell ref="E2:AR2"/>
    <mergeCell ref="AS2:BB2"/>
    <mergeCell ref="BC2:BM2"/>
    <mergeCell ref="BN2:CB2"/>
    <mergeCell ref="A3:D3"/>
    <mergeCell ref="E3:AR3"/>
    <mergeCell ref="AS3:BB3"/>
    <mergeCell ref="BC3:BM3"/>
    <mergeCell ref="BN3:CB3"/>
    <mergeCell ref="A4:D4"/>
    <mergeCell ref="E4:AR4"/>
    <mergeCell ref="AS4:BB4"/>
    <mergeCell ref="BC4:BM4"/>
    <mergeCell ref="BN4:CB4"/>
    <mergeCell ref="A5:D5"/>
    <mergeCell ref="E5:AR5"/>
    <mergeCell ref="AS5:BB5"/>
    <mergeCell ref="BC5:BM5"/>
    <mergeCell ref="BN5:CB5"/>
    <mergeCell ref="A6:D6"/>
    <mergeCell ref="E6:AR6"/>
    <mergeCell ref="AS6:BB6"/>
    <mergeCell ref="BC6:BM6"/>
    <mergeCell ref="BN6:CB6"/>
    <mergeCell ref="A7:D7"/>
    <mergeCell ref="E7:AR7"/>
    <mergeCell ref="AS7:BB7"/>
    <mergeCell ref="BC7:BM7"/>
    <mergeCell ref="BN7:CB7"/>
    <mergeCell ref="A8:D8"/>
    <mergeCell ref="E8:AR8"/>
    <mergeCell ref="BN8:BW8"/>
    <mergeCell ref="A9:D9"/>
    <mergeCell ref="E9:AR9"/>
    <mergeCell ref="AS9:BB9"/>
    <mergeCell ref="BC9:BM9"/>
    <mergeCell ref="BN9:CB9"/>
    <mergeCell ref="A10:D10"/>
    <mergeCell ref="E10:AR10"/>
    <mergeCell ref="AS10:BB10"/>
    <mergeCell ref="BC10:BM10"/>
    <mergeCell ref="BN10:CB10"/>
    <mergeCell ref="A11:D11"/>
    <mergeCell ref="E11:AR11"/>
    <mergeCell ref="AS11:BB11"/>
    <mergeCell ref="BC11:BM11"/>
    <mergeCell ref="BN11:CB11"/>
    <mergeCell ref="E12:AR12"/>
    <mergeCell ref="BN12:BW12"/>
    <mergeCell ref="BN13:CB13"/>
    <mergeCell ref="A14:CB14"/>
    <mergeCell ref="A13:D13"/>
    <mergeCell ref="E13:AR13"/>
    <mergeCell ref="AS13:BB13"/>
    <mergeCell ref="BC13:BM13"/>
    <mergeCell ref="A23:D23"/>
    <mergeCell ref="E23:AR23"/>
    <mergeCell ref="AS23:BB23"/>
    <mergeCell ref="BC23:BM23"/>
    <mergeCell ref="BN23:BW23"/>
    <mergeCell ref="A25:CB25"/>
    <mergeCell ref="A26:CB26"/>
    <mergeCell ref="A28:D28"/>
    <mergeCell ref="E28:AR28"/>
    <mergeCell ref="AS28:BB28"/>
    <mergeCell ref="BC28:BM28"/>
    <mergeCell ref="BN28:CB28"/>
    <mergeCell ref="A29:D29"/>
    <mergeCell ref="E29:AR29"/>
    <mergeCell ref="AS29:BB29"/>
    <mergeCell ref="BC29:BM29"/>
    <mergeCell ref="BN29:CB29"/>
    <mergeCell ref="A30:D30"/>
    <mergeCell ref="E30:AR30"/>
    <mergeCell ref="AS30:BB30"/>
    <mergeCell ref="BC30:BM30"/>
    <mergeCell ref="BN30:CB30"/>
    <mergeCell ref="A31:D31"/>
    <mergeCell ref="E31:AR31"/>
    <mergeCell ref="AS31:BB31"/>
    <mergeCell ref="BC31:BM31"/>
    <mergeCell ref="BN31:CB31"/>
    <mergeCell ref="A32:D32"/>
    <mergeCell ref="E32:AR32"/>
    <mergeCell ref="AS32:BB32"/>
    <mergeCell ref="BC32:BM32"/>
    <mergeCell ref="BN32:CB32"/>
    <mergeCell ref="A33:D33"/>
    <mergeCell ref="E33:AR33"/>
    <mergeCell ref="AS33:BB33"/>
    <mergeCell ref="BC33:BM33"/>
    <mergeCell ref="BN33:CB33"/>
    <mergeCell ref="A34:D34"/>
    <mergeCell ref="E34:AR34"/>
    <mergeCell ref="AS34:BB34"/>
    <mergeCell ref="BC34:BM34"/>
    <mergeCell ref="BN34:BW34"/>
    <mergeCell ref="A45:CB45"/>
    <mergeCell ref="A46:CB46"/>
    <mergeCell ref="A48:D48"/>
    <mergeCell ref="E48:AR48"/>
    <mergeCell ref="AS48:BB48"/>
    <mergeCell ref="BC48:BM48"/>
    <mergeCell ref="BN48:CB48"/>
    <mergeCell ref="A35:CB35"/>
    <mergeCell ref="A36:CB36"/>
    <mergeCell ref="A38:D38"/>
    <mergeCell ref="E38:AR38"/>
    <mergeCell ref="AS38:BB38"/>
    <mergeCell ref="BC38:BM38"/>
    <mergeCell ref="BN38:CB38"/>
    <mergeCell ref="A39:D39"/>
    <mergeCell ref="E39:AR39"/>
    <mergeCell ref="AS39:BB39"/>
    <mergeCell ref="BC39:BM39"/>
    <mergeCell ref="BN39:CB39"/>
    <mergeCell ref="BC41:BM41"/>
    <mergeCell ref="BN41:CB41"/>
    <mergeCell ref="A41:D41"/>
    <mergeCell ref="E41:AR41"/>
    <mergeCell ref="AS41:BB41"/>
    <mergeCell ref="A49:D49"/>
    <mergeCell ref="E49:AR49"/>
    <mergeCell ref="AS49:BB49"/>
    <mergeCell ref="BC49:BM49"/>
    <mergeCell ref="BN49:CB49"/>
    <mergeCell ref="A50:D50"/>
    <mergeCell ref="E50:AR50"/>
    <mergeCell ref="AS50:BB50"/>
    <mergeCell ref="BC50:BM50"/>
    <mergeCell ref="BN50:CB50"/>
    <mergeCell ref="A51:D51"/>
    <mergeCell ref="E51:AR51"/>
    <mergeCell ref="AS51:BB51"/>
    <mergeCell ref="BC51:BM51"/>
    <mergeCell ref="BN51:CB51"/>
    <mergeCell ref="A52:D52"/>
    <mergeCell ref="E52:AR52"/>
    <mergeCell ref="AS52:BB52"/>
    <mergeCell ref="BC52:BM52"/>
    <mergeCell ref="BN52:CB52"/>
    <mergeCell ref="A54:D54"/>
    <mergeCell ref="E54:AR54"/>
    <mergeCell ref="AS54:BB54"/>
    <mergeCell ref="BC54:BM54"/>
    <mergeCell ref="BN54:BW54"/>
    <mergeCell ref="A55:CB55"/>
    <mergeCell ref="A56:CB56"/>
    <mergeCell ref="A57:D57"/>
    <mergeCell ref="E57:AR57"/>
    <mergeCell ref="AS57:BB57"/>
    <mergeCell ref="BC57:BM57"/>
    <mergeCell ref="BN57:CB57"/>
    <mergeCell ref="A58:D58"/>
    <mergeCell ref="E58:AR58"/>
    <mergeCell ref="AS58:BB58"/>
    <mergeCell ref="BC58:BM58"/>
    <mergeCell ref="BN58:CB58"/>
    <mergeCell ref="A59:D59"/>
    <mergeCell ref="E59:AR59"/>
    <mergeCell ref="AS59:BB59"/>
    <mergeCell ref="BC59:BM59"/>
    <mergeCell ref="BN59:CB59"/>
    <mergeCell ref="A60:D60"/>
    <mergeCell ref="E60:AR60"/>
    <mergeCell ref="AS60:BB60"/>
    <mergeCell ref="BC60:BM60"/>
    <mergeCell ref="BN60:CB60"/>
    <mergeCell ref="A61:D61"/>
    <mergeCell ref="E61:AR61"/>
    <mergeCell ref="AS61:BB61"/>
    <mergeCell ref="BC61:BM61"/>
    <mergeCell ref="BN61:CB61"/>
    <mergeCell ref="A62:D62"/>
    <mergeCell ref="E62:AR62"/>
    <mergeCell ref="AS62:BB62"/>
    <mergeCell ref="BC62:BM62"/>
    <mergeCell ref="BN62:BW62"/>
    <mergeCell ref="A63:CB63"/>
    <mergeCell ref="A64:CB64"/>
    <mergeCell ref="A65:D65"/>
    <mergeCell ref="E65:AR65"/>
    <mergeCell ref="AS65:BB65"/>
    <mergeCell ref="BC65:BM65"/>
    <mergeCell ref="BN65:CB65"/>
    <mergeCell ref="A66:D66"/>
    <mergeCell ref="E66:AR66"/>
    <mergeCell ref="AS66:BB66"/>
    <mergeCell ref="BC66:BM66"/>
    <mergeCell ref="BN66:CB66"/>
    <mergeCell ref="A67:D67"/>
    <mergeCell ref="E67:AR67"/>
    <mergeCell ref="AS67:BB67"/>
    <mergeCell ref="BC67:BM67"/>
    <mergeCell ref="BN67:CB67"/>
    <mergeCell ref="A68:D68"/>
    <mergeCell ref="E68:AR68"/>
    <mergeCell ref="AS68:BB68"/>
    <mergeCell ref="BC68:BM68"/>
    <mergeCell ref="BN68:CB68"/>
    <mergeCell ref="A69:D69"/>
    <mergeCell ref="E69:AR69"/>
    <mergeCell ref="AS69:BB69"/>
    <mergeCell ref="BC69:BM69"/>
    <mergeCell ref="BN69:CB69"/>
    <mergeCell ref="E70:AR70"/>
    <mergeCell ref="BR70:BW70"/>
    <mergeCell ref="A71:D71"/>
    <mergeCell ref="E71:AR71"/>
    <mergeCell ref="AS71:BB71"/>
    <mergeCell ref="BC71:BM71"/>
    <mergeCell ref="BN71:CB71"/>
    <mergeCell ref="A72:D72"/>
    <mergeCell ref="E72:AR72"/>
    <mergeCell ref="BN72:BW72"/>
    <mergeCell ref="A73:D73"/>
    <mergeCell ref="E73:AR73"/>
    <mergeCell ref="BN73:BW73"/>
    <mergeCell ref="E74:AR74"/>
    <mergeCell ref="BN74:BW74"/>
    <mergeCell ref="E76:AR76"/>
    <mergeCell ref="AS76:BB76"/>
    <mergeCell ref="A77:D77"/>
    <mergeCell ref="E77:AR77"/>
    <mergeCell ref="AS77:BB77"/>
    <mergeCell ref="BC77:BM77"/>
    <mergeCell ref="BN77:BW77"/>
    <mergeCell ref="E75:AR75"/>
    <mergeCell ref="BN75:BW75"/>
    <mergeCell ref="A78:CB78"/>
    <mergeCell ref="A79:CB79"/>
    <mergeCell ref="A81:D81"/>
    <mergeCell ref="E81:AR81"/>
    <mergeCell ref="AS81:BB81"/>
    <mergeCell ref="BC81:BM81"/>
    <mergeCell ref="BN81:CB81"/>
    <mergeCell ref="A82:D82"/>
    <mergeCell ref="E82:AR82"/>
    <mergeCell ref="AS82:BB82"/>
    <mergeCell ref="BC82:BM82"/>
    <mergeCell ref="BN82:CB82"/>
    <mergeCell ref="A83:D83"/>
    <mergeCell ref="E83:AR83"/>
    <mergeCell ref="AS83:BB83"/>
    <mergeCell ref="BC83:BM83"/>
    <mergeCell ref="BN83:CB83"/>
    <mergeCell ref="A84:D84"/>
    <mergeCell ref="E84:AR84"/>
    <mergeCell ref="AS84:BB84"/>
    <mergeCell ref="BC84:BM84"/>
    <mergeCell ref="BN84:CB84"/>
    <mergeCell ref="BN89:CB89"/>
    <mergeCell ref="E90:AR90"/>
    <mergeCell ref="A91:D91"/>
    <mergeCell ref="E91:AR91"/>
    <mergeCell ref="AS91:BB91"/>
    <mergeCell ref="BC91:BM91"/>
    <mergeCell ref="BN91:BW91"/>
    <mergeCell ref="A85:D85"/>
    <mergeCell ref="E85:AR85"/>
    <mergeCell ref="AS85:BB85"/>
    <mergeCell ref="BC85:BM85"/>
    <mergeCell ref="BN85:CB85"/>
    <mergeCell ref="E87:AR87"/>
    <mergeCell ref="BR87:BW87"/>
    <mergeCell ref="A88:D88"/>
    <mergeCell ref="E88:AR88"/>
    <mergeCell ref="AS88:BB88"/>
    <mergeCell ref="BC88:BM88"/>
    <mergeCell ref="BN88:CB88"/>
    <mergeCell ref="E86:AR86"/>
    <mergeCell ref="BR86:BW86"/>
    <mergeCell ref="BG105:BQ105"/>
    <mergeCell ref="BH106:BR106"/>
    <mergeCell ref="A99:D99"/>
    <mergeCell ref="E99:AR99"/>
    <mergeCell ref="AS99:BB99"/>
    <mergeCell ref="BC99:BM99"/>
    <mergeCell ref="BN99:BW99"/>
    <mergeCell ref="A101:AR101"/>
    <mergeCell ref="BN101:BU101"/>
    <mergeCell ref="L102:AD102"/>
    <mergeCell ref="A98:D98"/>
    <mergeCell ref="E98:AR98"/>
    <mergeCell ref="AS98:BB98"/>
    <mergeCell ref="BC98:BM98"/>
    <mergeCell ref="BN98:BW98"/>
    <mergeCell ref="E94:AR94"/>
    <mergeCell ref="BN94:BW94"/>
    <mergeCell ref="A95:D95"/>
    <mergeCell ref="E95:AR95"/>
    <mergeCell ref="AS95:BB95"/>
    <mergeCell ref="BC95:BM95"/>
    <mergeCell ref="BN95:BW95"/>
    <mergeCell ref="A96:D96"/>
    <mergeCell ref="E96:AR96"/>
    <mergeCell ref="AS96:BB96"/>
    <mergeCell ref="BC96:BM96"/>
    <mergeCell ref="BN96:BW96"/>
    <mergeCell ref="A53:D53"/>
    <mergeCell ref="E53:AR53"/>
    <mergeCell ref="AS53:BB53"/>
    <mergeCell ref="BC53:BM53"/>
    <mergeCell ref="BN53:CB53"/>
    <mergeCell ref="A97:D97"/>
    <mergeCell ref="E97:AR97"/>
    <mergeCell ref="AS97:BB97"/>
    <mergeCell ref="BC97:BM97"/>
    <mergeCell ref="BN97:BW97"/>
    <mergeCell ref="A92:D92"/>
    <mergeCell ref="E92:AR92"/>
    <mergeCell ref="AS92:BB92"/>
    <mergeCell ref="BC92:BM92"/>
    <mergeCell ref="BN92:BW92"/>
    <mergeCell ref="A93:D93"/>
    <mergeCell ref="E93:AR93"/>
    <mergeCell ref="AS93:BB93"/>
    <mergeCell ref="BC93:BM93"/>
    <mergeCell ref="BN93:BW93"/>
    <mergeCell ref="A89:D89"/>
    <mergeCell ref="E89:AR89"/>
    <mergeCell ref="AS89:BB89"/>
    <mergeCell ref="BC89:BM89"/>
  </mergeCells>
  <pageMargins left="0.78740157480314965" right="0.39370078740157483" top="0.59055118110236227" bottom="0.39370078740157483" header="0.27559055118110237" footer="0.27559055118110237"/>
  <pageSetup paperSize="9" scale="59" orientation="portrait" r:id="rId1"/>
  <headerFooter alignWithMargins="0">
    <oddHeader>&amp;L&amp;"Arial,обычный"&amp;6Подготовлено с использованием системы ГАРАНТ</oddHeader>
  </headerFooter>
  <rowBreaks count="1" manualBreakCount="1">
    <brk id="102" max="16383" man="1"/>
  </rowBreaks>
  <colBreaks count="2" manualBreakCount="2">
    <brk id="79" max="59" man="1"/>
    <brk id="8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0"/>
  <sheetViews>
    <sheetView topLeftCell="A124" workbookViewId="0">
      <selection activeCell="I158" sqref="I158"/>
    </sheetView>
  </sheetViews>
  <sheetFormatPr defaultRowHeight="12.75" x14ac:dyDescent="0.2"/>
  <cols>
    <col min="1" max="1" width="48.85546875" customWidth="1"/>
    <col min="2" max="2" width="19.42578125" customWidth="1"/>
    <col min="3" max="6" width="8.42578125" hidden="1" customWidth="1"/>
    <col min="7" max="7" width="20.140625" customWidth="1"/>
  </cols>
  <sheetData>
    <row r="1" spans="1:7" ht="20.25" x14ac:dyDescent="0.3">
      <c r="A1" s="849" t="s">
        <v>209</v>
      </c>
      <c r="B1" s="849"/>
      <c r="C1" s="849"/>
      <c r="D1" s="849"/>
      <c r="E1" s="208"/>
      <c r="F1" s="208"/>
      <c r="G1" s="208"/>
    </row>
    <row r="2" spans="1:7" ht="20.25" x14ac:dyDescent="0.3">
      <c r="A2" s="849" t="s">
        <v>351</v>
      </c>
      <c r="B2" s="849"/>
      <c r="C2" s="849"/>
      <c r="D2" s="849"/>
      <c r="E2" s="208"/>
      <c r="F2" s="208"/>
      <c r="G2" s="208"/>
    </row>
    <row r="3" spans="1:7" ht="20.25" x14ac:dyDescent="0.3">
      <c r="A3" s="207"/>
      <c r="B3" s="207"/>
      <c r="C3" s="207"/>
      <c r="D3" s="207"/>
      <c r="E3" s="208"/>
      <c r="F3" s="208"/>
      <c r="G3" s="208"/>
    </row>
    <row r="4" spans="1:7" ht="18.75" x14ac:dyDescent="0.3">
      <c r="A4" s="850" t="s">
        <v>352</v>
      </c>
      <c r="B4" s="850"/>
      <c r="C4" s="850"/>
      <c r="D4" s="850"/>
      <c r="E4" s="208"/>
      <c r="F4" s="208"/>
      <c r="G4" s="208"/>
    </row>
    <row r="5" spans="1:7" x14ac:dyDescent="0.2">
      <c r="A5" s="851" t="s">
        <v>210</v>
      </c>
      <c r="B5" s="851"/>
      <c r="C5" s="851"/>
      <c r="D5" s="851"/>
      <c r="E5" s="208"/>
      <c r="F5" s="208"/>
      <c r="G5" s="208"/>
    </row>
    <row r="6" spans="1:7" ht="13.5" thickBot="1" x14ac:dyDescent="0.25">
      <c r="A6" s="89"/>
      <c r="B6" s="89"/>
      <c r="C6" s="89"/>
      <c r="D6" s="89"/>
      <c r="E6" s="208"/>
      <c r="F6" s="208"/>
      <c r="G6" s="208"/>
    </row>
    <row r="7" spans="1:7" ht="16.5" thickBot="1" x14ac:dyDescent="0.3">
      <c r="A7" s="90" t="s">
        <v>211</v>
      </c>
      <c r="B7" s="209" t="s">
        <v>212</v>
      </c>
      <c r="C7" s="90"/>
      <c r="D7" s="90"/>
      <c r="E7" s="210"/>
      <c r="F7" s="210"/>
      <c r="G7" s="210"/>
    </row>
    <row r="8" spans="1:7" ht="16.5" thickBot="1" x14ac:dyDescent="0.3">
      <c r="A8" s="90" t="s">
        <v>213</v>
      </c>
      <c r="B8" s="209" t="s">
        <v>214</v>
      </c>
      <c r="C8" s="90"/>
      <c r="D8" s="211"/>
      <c r="E8" s="210"/>
      <c r="F8" s="210"/>
      <c r="G8" s="210"/>
    </row>
    <row r="9" spans="1:7" ht="16.5" thickBot="1" x14ac:dyDescent="0.3">
      <c r="A9" s="91"/>
      <c r="B9" s="92"/>
      <c r="C9" s="93"/>
      <c r="D9" s="211"/>
      <c r="E9" s="208"/>
      <c r="F9" s="208"/>
      <c r="G9" s="208"/>
    </row>
    <row r="10" spans="1:7" ht="26.25" thickBot="1" x14ac:dyDescent="0.25">
      <c r="A10" s="852" t="s">
        <v>215</v>
      </c>
      <c r="B10" s="853" t="s">
        <v>198</v>
      </c>
      <c r="C10" s="854" t="s">
        <v>353</v>
      </c>
      <c r="D10" s="212" t="s">
        <v>354</v>
      </c>
      <c r="E10" s="208" t="s">
        <v>216</v>
      </c>
      <c r="F10" s="208" t="s">
        <v>216</v>
      </c>
      <c r="G10" s="208" t="s">
        <v>216</v>
      </c>
    </row>
    <row r="11" spans="1:7" ht="13.5" thickBot="1" x14ac:dyDescent="0.25">
      <c r="A11" s="852"/>
      <c r="B11" s="853"/>
      <c r="C11" s="854"/>
      <c r="D11" s="855" t="s">
        <v>355</v>
      </c>
      <c r="E11" s="208"/>
      <c r="F11" s="208"/>
      <c r="G11" s="208"/>
    </row>
    <row r="12" spans="1:7" ht="13.5" thickBot="1" x14ac:dyDescent="0.25">
      <c r="A12" s="852"/>
      <c r="B12" s="853"/>
      <c r="C12" s="213" t="s">
        <v>356</v>
      </c>
      <c r="D12" s="855"/>
      <c r="E12" s="208" t="s">
        <v>217</v>
      </c>
      <c r="F12" s="208" t="s">
        <v>217</v>
      </c>
      <c r="G12" s="208" t="s">
        <v>217</v>
      </c>
    </row>
    <row r="13" spans="1:7" ht="13.5" thickBot="1" x14ac:dyDescent="0.25">
      <c r="A13" s="214">
        <v>1</v>
      </c>
      <c r="B13" s="215">
        <v>2</v>
      </c>
      <c r="C13" s="215">
        <v>3</v>
      </c>
      <c r="D13" s="216">
        <v>6</v>
      </c>
      <c r="E13" s="217">
        <v>3</v>
      </c>
      <c r="F13" s="217">
        <v>3</v>
      </c>
      <c r="G13" s="217">
        <v>3</v>
      </c>
    </row>
    <row r="14" spans="1:7" ht="19.5" x14ac:dyDescent="0.3">
      <c r="A14" s="847" t="s">
        <v>218</v>
      </c>
      <c r="B14" s="847"/>
      <c r="C14" s="847"/>
      <c r="D14" s="847"/>
      <c r="E14" s="218">
        <v>2019</v>
      </c>
      <c r="F14" s="218">
        <v>2020</v>
      </c>
      <c r="G14" s="218">
        <v>2022</v>
      </c>
    </row>
    <row r="15" spans="1:7" x14ac:dyDescent="0.2">
      <c r="A15" s="219" t="s">
        <v>219</v>
      </c>
      <c r="B15" s="220">
        <v>211</v>
      </c>
      <c r="C15" s="221">
        <v>0</v>
      </c>
      <c r="D15" s="222" t="e">
        <f>C15-#REF!</f>
        <v>#REF!</v>
      </c>
      <c r="E15" s="208"/>
      <c r="F15" s="208"/>
      <c r="G15" s="208"/>
    </row>
    <row r="16" spans="1:7" x14ac:dyDescent="0.2">
      <c r="A16" s="219" t="s">
        <v>220</v>
      </c>
      <c r="B16" s="220">
        <v>211</v>
      </c>
      <c r="C16" s="221"/>
      <c r="D16" s="222"/>
      <c r="E16" s="223">
        <v>11119489.279999999</v>
      </c>
      <c r="F16" s="223">
        <v>12601429</v>
      </c>
      <c r="G16" s="224"/>
    </row>
    <row r="17" spans="1:7" x14ac:dyDescent="0.2">
      <c r="A17" s="225" t="s">
        <v>221</v>
      </c>
      <c r="B17" s="848">
        <v>212</v>
      </c>
      <c r="C17" s="227">
        <f>SUM(C18:C19)</f>
        <v>0</v>
      </c>
      <c r="D17" s="222" t="e">
        <f>C17-#REF!</f>
        <v>#REF!</v>
      </c>
      <c r="E17" s="208">
        <v>0</v>
      </c>
      <c r="F17" s="208">
        <v>0</v>
      </c>
      <c r="G17" s="208"/>
    </row>
    <row r="18" spans="1:7" x14ac:dyDescent="0.2">
      <c r="A18" s="228" t="s">
        <v>222</v>
      </c>
      <c r="B18" s="848"/>
      <c r="C18" s="221"/>
      <c r="D18" s="222">
        <f>C18-C17</f>
        <v>0</v>
      </c>
      <c r="E18" s="208"/>
      <c r="F18" s="208"/>
      <c r="G18" s="208"/>
    </row>
    <row r="19" spans="1:7" ht="17.25" customHeight="1" x14ac:dyDescent="0.2">
      <c r="A19" s="229" t="s">
        <v>223</v>
      </c>
      <c r="B19" s="848"/>
      <c r="C19" s="221"/>
      <c r="D19" s="222">
        <f>C19-C18</f>
        <v>0</v>
      </c>
      <c r="E19" s="208"/>
      <c r="F19" s="230">
        <v>180000</v>
      </c>
      <c r="G19" s="230"/>
    </row>
    <row r="20" spans="1:7" x14ac:dyDescent="0.2">
      <c r="A20" s="225" t="s">
        <v>224</v>
      </c>
      <c r="B20" s="226">
        <v>213</v>
      </c>
      <c r="C20" s="221"/>
      <c r="D20" s="222">
        <f>C20-C19</f>
        <v>0</v>
      </c>
      <c r="E20" s="223">
        <v>3358085.76</v>
      </c>
      <c r="F20" s="223">
        <v>3805631</v>
      </c>
      <c r="G20" s="224"/>
    </row>
    <row r="21" spans="1:7" ht="23.25" customHeight="1" x14ac:dyDescent="0.2">
      <c r="A21" s="231" t="s">
        <v>225</v>
      </c>
      <c r="B21" s="232">
        <v>222</v>
      </c>
      <c r="C21" s="221"/>
      <c r="D21" s="222">
        <f>C21-C20</f>
        <v>0</v>
      </c>
      <c r="E21" s="233">
        <f>10000+10000</f>
        <v>20000</v>
      </c>
      <c r="F21" s="233">
        <f>10000+10000</f>
        <v>20000</v>
      </c>
      <c r="G21" s="233"/>
    </row>
    <row r="22" spans="1:7" ht="19.5" customHeight="1" x14ac:dyDescent="0.2">
      <c r="A22" s="231" t="s">
        <v>226</v>
      </c>
      <c r="B22" s="232">
        <v>226</v>
      </c>
      <c r="C22" s="221"/>
      <c r="D22" s="222">
        <f>C22-C21</f>
        <v>0</v>
      </c>
      <c r="E22" s="233">
        <v>0</v>
      </c>
      <c r="F22" s="233">
        <v>0</v>
      </c>
      <c r="G22" s="233"/>
    </row>
    <row r="23" spans="1:7" ht="24" customHeight="1" x14ac:dyDescent="0.2">
      <c r="A23" s="234" t="s">
        <v>227</v>
      </c>
      <c r="B23" s="235" t="s">
        <v>228</v>
      </c>
      <c r="C23" s="236">
        <f>C20+C15</f>
        <v>0</v>
      </c>
      <c r="D23" s="237" t="e">
        <f>D20+D15</f>
        <v>#REF!</v>
      </c>
      <c r="E23" s="233">
        <v>0</v>
      </c>
      <c r="F23" s="238">
        <f>F16+F20</f>
        <v>16407060</v>
      </c>
      <c r="G23" s="238">
        <f>G16+G20</f>
        <v>0</v>
      </c>
    </row>
    <row r="24" spans="1:7" ht="25.5" customHeight="1" thickBot="1" x14ac:dyDescent="0.25">
      <c r="A24" s="239" t="s">
        <v>229</v>
      </c>
      <c r="B24" s="240" t="s">
        <v>228</v>
      </c>
      <c r="C24" s="241">
        <f>C15+C17+C20+C21+C22</f>
        <v>0</v>
      </c>
      <c r="D24" s="242" t="e">
        <f>D15+D17+D20+D21+D22</f>
        <v>#REF!</v>
      </c>
      <c r="E24" s="243">
        <f>E15+E17+E20+E21+E22+E16+E18+E19</f>
        <v>14497575.039999999</v>
      </c>
      <c r="F24" s="243">
        <f>F15+F17+F20+F21+F22+F16+F18+F19</f>
        <v>16607060</v>
      </c>
      <c r="G24" s="243">
        <f>G15+G17+G20+G21+G22+G16+G18+G19</f>
        <v>0</v>
      </c>
    </row>
    <row r="25" spans="1:7" x14ac:dyDescent="0.2">
      <c r="A25" s="244"/>
      <c r="B25" s="245"/>
      <c r="C25" s="246"/>
      <c r="D25" s="247"/>
      <c r="E25" s="233">
        <v>0</v>
      </c>
      <c r="F25" s="233">
        <v>0</v>
      </c>
      <c r="G25" s="233">
        <v>0</v>
      </c>
    </row>
    <row r="26" spans="1:7" x14ac:dyDescent="0.2">
      <c r="A26" s="225" t="s">
        <v>230</v>
      </c>
      <c r="B26" s="848">
        <v>221</v>
      </c>
      <c r="C26" s="227">
        <f>C27+C28+C33</f>
        <v>0</v>
      </c>
      <c r="D26" s="248" t="e">
        <f>D27+D28+D33</f>
        <v>#REF!</v>
      </c>
      <c r="E26" s="249">
        <f>E27+E28+E33</f>
        <v>25976.18</v>
      </c>
      <c r="F26" s="249">
        <f>F27+F28+F33</f>
        <v>26629.68</v>
      </c>
      <c r="G26" s="249">
        <f>G27+G28+G33+G29+G31</f>
        <v>22151</v>
      </c>
    </row>
    <row r="27" spans="1:7" ht="25.5" customHeight="1" x14ac:dyDescent="0.2">
      <c r="A27" s="250" t="s">
        <v>231</v>
      </c>
      <c r="B27" s="848"/>
      <c r="C27" s="221"/>
      <c r="D27" s="222" t="e">
        <f>C27-#REF!</f>
        <v>#REF!</v>
      </c>
      <c r="E27" s="233">
        <v>0</v>
      </c>
      <c r="F27" s="233">
        <v>0</v>
      </c>
      <c r="G27" s="233"/>
    </row>
    <row r="28" spans="1:7" ht="22.5" customHeight="1" x14ac:dyDescent="0.2">
      <c r="A28" s="250" t="s">
        <v>232</v>
      </c>
      <c r="B28" s="848"/>
      <c r="C28" s="251"/>
      <c r="D28" s="252" t="e">
        <f>SUM(D29:D32)</f>
        <v>#REF!</v>
      </c>
      <c r="E28" s="253">
        <f>SUM(E29:E32)</f>
        <v>25976.18</v>
      </c>
      <c r="F28" s="253">
        <f>SUM(F29:F32)</f>
        <v>26629.68</v>
      </c>
      <c r="G28" s="253"/>
    </row>
    <row r="29" spans="1:7" ht="31.5" customHeight="1" x14ac:dyDescent="0.2">
      <c r="A29" s="250" t="s">
        <v>233</v>
      </c>
      <c r="B29" s="848"/>
      <c r="C29" s="221"/>
      <c r="D29" s="222" t="e">
        <f>C29-#REF!</f>
        <v>#REF!</v>
      </c>
      <c r="E29" s="233">
        <f>5997.6+2812.1</f>
        <v>8809.7000000000007</v>
      </c>
      <c r="F29" s="254">
        <f>9165-424.68-388.32</f>
        <v>8352</v>
      </c>
      <c r="G29" s="233">
        <v>10151</v>
      </c>
    </row>
    <row r="30" spans="1:7" x14ac:dyDescent="0.2">
      <c r="A30" s="229" t="s">
        <v>234</v>
      </c>
      <c r="B30" s="848"/>
      <c r="C30" s="221"/>
      <c r="D30" s="222" t="e">
        <f>C30-#REF!</f>
        <v>#REF!</v>
      </c>
      <c r="E30" s="233">
        <f>1000+2000+2600+1459.28-2040</f>
        <v>5019.28</v>
      </c>
      <c r="F30" s="254">
        <v>5220</v>
      </c>
      <c r="G30" s="233"/>
    </row>
    <row r="31" spans="1:7" ht="24" customHeight="1" x14ac:dyDescent="0.2">
      <c r="A31" s="229" t="s">
        <v>235</v>
      </c>
      <c r="B31" s="848"/>
      <c r="C31" s="221"/>
      <c r="D31" s="222" t="e">
        <f>C31-#REF!</f>
        <v>#REF!</v>
      </c>
      <c r="E31" s="233">
        <f>12056.04+91.16</f>
        <v>12147.2</v>
      </c>
      <c r="F31" s="254">
        <f>12633+424.68</f>
        <v>13057.68</v>
      </c>
      <c r="G31" s="233">
        <v>12000</v>
      </c>
    </row>
    <row r="32" spans="1:7" x14ac:dyDescent="0.2">
      <c r="A32" s="229" t="s">
        <v>236</v>
      </c>
      <c r="B32" s="848"/>
      <c r="C32" s="221"/>
      <c r="D32" s="222" t="e">
        <f>C32-#REF!</f>
        <v>#REF!</v>
      </c>
      <c r="E32" s="233">
        <v>0</v>
      </c>
      <c r="F32" s="233">
        <v>0</v>
      </c>
      <c r="G32" s="233"/>
    </row>
    <row r="33" spans="1:7" x14ac:dyDescent="0.2">
      <c r="A33" s="255" t="s">
        <v>237</v>
      </c>
      <c r="B33" s="848"/>
      <c r="C33" s="221"/>
      <c r="D33" s="222" t="e">
        <f>C33-#REF!</f>
        <v>#REF!</v>
      </c>
      <c r="E33" s="233">
        <v>0</v>
      </c>
      <c r="F33" s="233">
        <v>0</v>
      </c>
      <c r="G33" s="233"/>
    </row>
    <row r="34" spans="1:7" x14ac:dyDescent="0.2">
      <c r="A34" s="219" t="s">
        <v>238</v>
      </c>
      <c r="B34" s="841">
        <v>222</v>
      </c>
      <c r="C34" s="227">
        <f>SUM(C35:C35)</f>
        <v>0</v>
      </c>
      <c r="D34" s="248" t="e">
        <f>SUM(D35:D35)</f>
        <v>#REF!</v>
      </c>
      <c r="E34" s="249">
        <f>SUM(E35:E35)</f>
        <v>0</v>
      </c>
      <c r="F34" s="249">
        <f>SUM(F35:F35)</f>
        <v>0</v>
      </c>
      <c r="G34" s="249">
        <f>SUM(G35:G35)</f>
        <v>0</v>
      </c>
    </row>
    <row r="35" spans="1:7" x14ac:dyDescent="0.2">
      <c r="A35" s="256" t="s">
        <v>239</v>
      </c>
      <c r="B35" s="841"/>
      <c r="C35" s="257"/>
      <c r="D35" s="258" t="e">
        <f>C35-#REF!</f>
        <v>#REF!</v>
      </c>
      <c r="E35" s="233"/>
      <c r="F35" s="233"/>
      <c r="G35" s="233"/>
    </row>
    <row r="36" spans="1:7" x14ac:dyDescent="0.2">
      <c r="A36" s="259" t="s">
        <v>240</v>
      </c>
      <c r="B36" s="841">
        <v>223</v>
      </c>
      <c r="C36" s="227">
        <f>SUM(C37:C41)</f>
        <v>0</v>
      </c>
      <c r="D36" s="248" t="e">
        <f>SUM(D37:D41)</f>
        <v>#REF!</v>
      </c>
      <c r="E36" s="249">
        <f>SUM(E37:E41)</f>
        <v>1045780.67</v>
      </c>
      <c r="F36" s="249">
        <f>SUM(F37:F41)</f>
        <v>976744.48</v>
      </c>
      <c r="G36" s="249">
        <f>SUM(G37:G41)</f>
        <v>2137805.79</v>
      </c>
    </row>
    <row r="37" spans="1:7" x14ac:dyDescent="0.2">
      <c r="A37" s="260" t="s">
        <v>241</v>
      </c>
      <c r="B37" s="841"/>
      <c r="C37" s="221"/>
      <c r="D37" s="222" t="e">
        <f>C37-#REF!</f>
        <v>#REF!</v>
      </c>
      <c r="E37" s="233">
        <v>0</v>
      </c>
      <c r="F37" s="238">
        <v>0</v>
      </c>
      <c r="G37" s="238">
        <v>1288972.48</v>
      </c>
    </row>
    <row r="38" spans="1:7" ht="22.5" customHeight="1" x14ac:dyDescent="0.2">
      <c r="A38" s="231" t="s">
        <v>242</v>
      </c>
      <c r="B38" s="841"/>
      <c r="C38" s="221"/>
      <c r="D38" s="222" t="e">
        <f>C38-#REF!</f>
        <v>#REF!</v>
      </c>
      <c r="E38" s="261">
        <f>520405.05+52064.65+10000+153000-206160.85</f>
        <v>529308.85</v>
      </c>
      <c r="F38" s="262">
        <v>534820.36</v>
      </c>
      <c r="G38" s="263"/>
    </row>
    <row r="39" spans="1:7" ht="23.25" customHeight="1" x14ac:dyDescent="0.2">
      <c r="A39" s="231" t="s">
        <v>243</v>
      </c>
      <c r="B39" s="841"/>
      <c r="C39" s="221"/>
      <c r="D39" s="222" t="e">
        <f>C39-#REF!</f>
        <v>#REF!</v>
      </c>
      <c r="E39" s="261">
        <f>285420.03-10000+0.02+34560.85</f>
        <v>309980.90000000002</v>
      </c>
      <c r="F39" s="262">
        <v>271212</v>
      </c>
      <c r="G39" s="263">
        <f>494037.54-76909</f>
        <v>417128.54</v>
      </c>
    </row>
    <row r="40" spans="1:7" ht="24.75" customHeight="1" x14ac:dyDescent="0.2">
      <c r="A40" s="231" t="s">
        <v>244</v>
      </c>
      <c r="B40" s="841"/>
      <c r="C40" s="221"/>
      <c r="D40" s="222" t="e">
        <f>C40-#REF!</f>
        <v>#REF!</v>
      </c>
      <c r="E40" s="261">
        <f>168113.58-0.02</f>
        <v>168113.56</v>
      </c>
      <c r="F40" s="262">
        <v>155712.12</v>
      </c>
      <c r="G40" s="263">
        <v>328690.73</v>
      </c>
    </row>
    <row r="41" spans="1:7" ht="21" customHeight="1" x14ac:dyDescent="0.2">
      <c r="A41" s="264" t="s">
        <v>297</v>
      </c>
      <c r="B41" s="841"/>
      <c r="C41" s="265"/>
      <c r="D41" s="266" t="e">
        <f>#REF!-C41</f>
        <v>#REF!</v>
      </c>
      <c r="E41" s="261">
        <v>38377.360000000001</v>
      </c>
      <c r="F41" s="262">
        <v>15000</v>
      </c>
      <c r="G41" s="263">
        <v>103014.04</v>
      </c>
    </row>
    <row r="42" spans="1:7" ht="21" customHeight="1" x14ac:dyDescent="0.2">
      <c r="A42" s="267" t="s">
        <v>245</v>
      </c>
      <c r="B42" s="841">
        <v>224</v>
      </c>
      <c r="C42" s="227">
        <f>SUM(C43:C45)</f>
        <v>0</v>
      </c>
      <c r="D42" s="222" t="e">
        <f>C42-#REF!</f>
        <v>#REF!</v>
      </c>
      <c r="E42" s="261">
        <v>0</v>
      </c>
      <c r="F42" s="263">
        <v>0</v>
      </c>
      <c r="G42" s="263"/>
    </row>
    <row r="43" spans="1:7" x14ac:dyDescent="0.2">
      <c r="A43" s="260" t="s">
        <v>246</v>
      </c>
      <c r="B43" s="841"/>
      <c r="C43" s="221"/>
      <c r="D43" s="222" t="e">
        <f>C43-#REF!</f>
        <v>#REF!</v>
      </c>
      <c r="E43" s="233">
        <v>0</v>
      </c>
      <c r="F43" s="233">
        <v>0</v>
      </c>
      <c r="G43" s="233"/>
    </row>
    <row r="44" spans="1:7" x14ac:dyDescent="0.2">
      <c r="A44" s="231"/>
      <c r="B44" s="841"/>
      <c r="C44" s="221"/>
      <c r="D44" s="222" t="e">
        <f>C44-#REF!</f>
        <v>#REF!</v>
      </c>
      <c r="E44" s="233">
        <v>0</v>
      </c>
      <c r="F44" s="233">
        <v>0</v>
      </c>
      <c r="G44" s="233"/>
    </row>
    <row r="45" spans="1:7" x14ac:dyDescent="0.2">
      <c r="A45" s="250"/>
      <c r="B45" s="841"/>
      <c r="C45" s="221"/>
      <c r="D45" s="222" t="e">
        <f>C45-#REF!</f>
        <v>#REF!</v>
      </c>
      <c r="E45" s="233">
        <v>0</v>
      </c>
      <c r="F45" s="233">
        <v>0</v>
      </c>
      <c r="G45" s="233"/>
    </row>
    <row r="46" spans="1:7" x14ac:dyDescent="0.2">
      <c r="A46" s="259" t="s">
        <v>247</v>
      </c>
      <c r="B46" s="841">
        <v>225</v>
      </c>
      <c r="C46" s="227">
        <f>SUM(C47:C61)</f>
        <v>0</v>
      </c>
      <c r="D46" s="248" t="e">
        <f>SUM(D47:D61)</f>
        <v>#REF!</v>
      </c>
      <c r="E46" s="249">
        <f>SUM(E47:E61)</f>
        <v>479318.1</v>
      </c>
      <c r="F46" s="249">
        <f>SUM(F47:F61)</f>
        <v>194863.76</v>
      </c>
      <c r="G46" s="249">
        <f>G61+G60+G59+G58+G57+G56+G55+G54+G52+G51+G50+G49+G48+G47</f>
        <v>377043.7</v>
      </c>
    </row>
    <row r="47" spans="1:7" x14ac:dyDescent="0.2">
      <c r="A47" s="268" t="s">
        <v>248</v>
      </c>
      <c r="B47" s="841"/>
      <c r="C47" s="221"/>
      <c r="D47" s="222" t="e">
        <f>C47-#REF!</f>
        <v>#REF!</v>
      </c>
      <c r="E47" s="233">
        <f>34130.16-7730.16-4400</f>
        <v>22000.000000000004</v>
      </c>
      <c r="F47" s="254">
        <f>22880-1880</f>
        <v>21000</v>
      </c>
      <c r="G47" s="233">
        <v>27000</v>
      </c>
    </row>
    <row r="48" spans="1:7" ht="29.25" customHeight="1" x14ac:dyDescent="0.2">
      <c r="A48" s="269" t="s">
        <v>357</v>
      </c>
      <c r="B48" s="841"/>
      <c r="C48" s="221"/>
      <c r="D48" s="222" t="e">
        <f>C48-#REF!</f>
        <v>#REF!</v>
      </c>
      <c r="E48" s="233">
        <v>11550</v>
      </c>
      <c r="F48" s="254">
        <f>12012-2554</f>
        <v>9458</v>
      </c>
      <c r="G48" s="233">
        <v>15000</v>
      </c>
    </row>
    <row r="49" spans="1:7" ht="29.25" customHeight="1" x14ac:dyDescent="0.2">
      <c r="A49" s="269" t="s">
        <v>249</v>
      </c>
      <c r="B49" s="841"/>
      <c r="C49" s="221"/>
      <c r="D49" s="222" t="e">
        <f>C49-#REF!</f>
        <v>#REF!</v>
      </c>
      <c r="E49" s="233">
        <f>21548.6-436.18-2067.2-3300-2642-3103.22</f>
        <v>9999.9999999999982</v>
      </c>
      <c r="F49" s="254">
        <f>10400-418.64-981.36</f>
        <v>9000</v>
      </c>
      <c r="G49" s="233">
        <v>30000</v>
      </c>
    </row>
    <row r="50" spans="1:7" x14ac:dyDescent="0.2">
      <c r="A50" s="264" t="s">
        <v>250</v>
      </c>
      <c r="B50" s="841"/>
      <c r="C50" s="270"/>
      <c r="D50" s="222" t="e">
        <f>C50-#REF!</f>
        <v>#REF!</v>
      </c>
      <c r="E50" s="233">
        <v>31500</v>
      </c>
      <c r="F50" s="233">
        <f>31500-31500</f>
        <v>0</v>
      </c>
      <c r="G50" s="233">
        <v>28000</v>
      </c>
    </row>
    <row r="51" spans="1:7" x14ac:dyDescent="0.2">
      <c r="A51" s="264" t="s">
        <v>251</v>
      </c>
      <c r="B51" s="841"/>
      <c r="C51" s="270"/>
      <c r="D51" s="222"/>
      <c r="E51" s="233">
        <v>0</v>
      </c>
      <c r="F51" s="233">
        <v>0</v>
      </c>
      <c r="G51" s="233">
        <v>20000</v>
      </c>
    </row>
    <row r="52" spans="1:7" ht="24.75" customHeight="1" x14ac:dyDescent="0.2">
      <c r="A52" s="264" t="s">
        <v>252</v>
      </c>
      <c r="B52" s="841"/>
      <c r="C52" s="221"/>
      <c r="D52" s="222"/>
      <c r="E52" s="233">
        <f>65520-11520</f>
        <v>54000</v>
      </c>
      <c r="F52" s="254">
        <f>56160-2160</f>
        <v>54000</v>
      </c>
      <c r="G52" s="233">
        <v>47632</v>
      </c>
    </row>
    <row r="53" spans="1:7" ht="24" customHeight="1" x14ac:dyDescent="0.2">
      <c r="A53" s="264" t="s">
        <v>358</v>
      </c>
      <c r="B53" s="841"/>
      <c r="C53" s="221"/>
      <c r="D53" s="222"/>
      <c r="E53" s="233">
        <v>65520</v>
      </c>
      <c r="F53" s="254">
        <f>62400-2400</f>
        <v>60000</v>
      </c>
      <c r="G53" s="233"/>
    </row>
    <row r="54" spans="1:7" ht="23.25" customHeight="1" x14ac:dyDescent="0.2">
      <c r="A54" s="264" t="s">
        <v>359</v>
      </c>
      <c r="B54" s="841"/>
      <c r="C54" s="257"/>
      <c r="D54" s="222"/>
      <c r="E54" s="233">
        <f>52500-28026.9</f>
        <v>24473.1</v>
      </c>
      <c r="F54" s="233">
        <v>4120.72</v>
      </c>
      <c r="G54" s="233">
        <v>96750</v>
      </c>
    </row>
    <row r="55" spans="1:7" ht="23.25" customHeight="1" x14ac:dyDescent="0.2">
      <c r="A55" s="264" t="s">
        <v>253</v>
      </c>
      <c r="B55" s="841"/>
      <c r="C55" s="257"/>
      <c r="D55" s="222" t="e">
        <f>C55-#REF!</f>
        <v>#REF!</v>
      </c>
      <c r="E55" s="233">
        <f>7737.6+9052.4+395</f>
        <v>17185</v>
      </c>
      <c r="F55" s="254">
        <f>11638.87-477.48-2519.04-4637.35+1005+2840</f>
        <v>7850.0000000000018</v>
      </c>
      <c r="G55" s="233">
        <v>17500</v>
      </c>
    </row>
    <row r="56" spans="1:7" ht="21" customHeight="1" x14ac:dyDescent="0.2">
      <c r="A56" s="264" t="s">
        <v>199</v>
      </c>
      <c r="B56" s="841"/>
      <c r="C56" s="257"/>
      <c r="D56" s="222" t="e">
        <f>C56-#REF!</f>
        <v>#REF!</v>
      </c>
      <c r="E56" s="233">
        <f>7737.6+9052.4+395</f>
        <v>17185</v>
      </c>
      <c r="F56" s="254">
        <f>11638.87-477.48-2519.04-4637.35+1005+2840</f>
        <v>7850.0000000000018</v>
      </c>
      <c r="G56" s="233">
        <v>15000</v>
      </c>
    </row>
    <row r="57" spans="1:7" ht="26.25" customHeight="1" x14ac:dyDescent="0.2">
      <c r="A57" s="264" t="s">
        <v>254</v>
      </c>
      <c r="B57" s="841"/>
      <c r="C57" s="221"/>
      <c r="D57" s="222"/>
      <c r="E57" s="233">
        <v>47250</v>
      </c>
      <c r="F57" s="254">
        <v>10000</v>
      </c>
      <c r="G57" s="233">
        <v>30000</v>
      </c>
    </row>
    <row r="58" spans="1:7" ht="21.75" customHeight="1" x14ac:dyDescent="0.2">
      <c r="A58" s="264" t="s">
        <v>360</v>
      </c>
      <c r="B58" s="841"/>
      <c r="C58" s="221"/>
      <c r="D58" s="222"/>
      <c r="E58" s="233">
        <f>181500-10936.18-1905-503.82</f>
        <v>168155</v>
      </c>
      <c r="F58" s="254">
        <v>4958.3999999999996</v>
      </c>
      <c r="G58" s="233">
        <v>5161.7</v>
      </c>
    </row>
    <row r="59" spans="1:7" ht="24" customHeight="1" x14ac:dyDescent="0.2">
      <c r="A59" s="264" t="s">
        <v>361</v>
      </c>
      <c r="B59" s="841"/>
      <c r="C59" s="221"/>
      <c r="D59" s="222"/>
      <c r="E59" s="233"/>
      <c r="F59" s="254"/>
      <c r="G59" s="233">
        <v>32000</v>
      </c>
    </row>
    <row r="60" spans="1:7" ht="21.75" customHeight="1" x14ac:dyDescent="0.2">
      <c r="A60" s="264" t="s">
        <v>362</v>
      </c>
      <c r="B60" s="841"/>
      <c r="C60" s="221"/>
      <c r="D60" s="222"/>
      <c r="E60" s="233"/>
      <c r="F60" s="254"/>
      <c r="G60" s="233">
        <v>7000</v>
      </c>
    </row>
    <row r="61" spans="1:7" ht="22.5" customHeight="1" x14ac:dyDescent="0.2">
      <c r="A61" s="271" t="s">
        <v>255</v>
      </c>
      <c r="B61" s="841"/>
      <c r="C61" s="221"/>
      <c r="D61" s="222" t="e">
        <f>C61-#REF!</f>
        <v>#REF!</v>
      </c>
      <c r="E61" s="233">
        <v>10500</v>
      </c>
      <c r="F61" s="254">
        <f>10500-3139.36-734</f>
        <v>6626.6399999999994</v>
      </c>
      <c r="G61" s="233">
        <v>6000</v>
      </c>
    </row>
    <row r="62" spans="1:7" x14ac:dyDescent="0.2">
      <c r="A62" s="259" t="s">
        <v>256</v>
      </c>
      <c r="B62" s="841">
        <v>226</v>
      </c>
      <c r="C62" s="227">
        <f>SUM(C65:C72)</f>
        <v>0</v>
      </c>
      <c r="D62" s="248" t="e">
        <f>SUM(D63:D79)</f>
        <v>#REF!</v>
      </c>
      <c r="E62" s="249">
        <f>SUM(E63:E79)-E71</f>
        <v>777090.81999999983</v>
      </c>
      <c r="F62" s="249">
        <f>SUM(F63:F79)</f>
        <v>1602245.96</v>
      </c>
      <c r="G62" s="249">
        <f>SUM(G63:G78)</f>
        <v>3713594.74</v>
      </c>
    </row>
    <row r="63" spans="1:7" x14ac:dyDescent="0.2">
      <c r="A63" s="260" t="s">
        <v>257</v>
      </c>
      <c r="B63" s="841"/>
      <c r="C63" s="272"/>
      <c r="D63" s="258"/>
      <c r="E63" s="233">
        <v>17640</v>
      </c>
      <c r="F63" s="254">
        <f>17472+6156.96</f>
        <v>23628.959999999999</v>
      </c>
      <c r="G63" s="233">
        <v>24530.54</v>
      </c>
    </row>
    <row r="64" spans="1:7" ht="19.5" customHeight="1" x14ac:dyDescent="0.2">
      <c r="A64" s="231" t="s">
        <v>363</v>
      </c>
      <c r="B64" s="841"/>
      <c r="C64" s="221"/>
      <c r="D64" s="222" t="e">
        <f>C64-#REF!</f>
        <v>#REF!</v>
      </c>
      <c r="E64" s="233">
        <v>52500</v>
      </c>
      <c r="F64" s="233">
        <v>72000</v>
      </c>
      <c r="G64" s="233">
        <v>120000</v>
      </c>
    </row>
    <row r="65" spans="1:7" ht="27" customHeight="1" x14ac:dyDescent="0.2">
      <c r="A65" s="231" t="s">
        <v>364</v>
      </c>
      <c r="B65" s="841"/>
      <c r="C65" s="221"/>
      <c r="D65" s="222" t="e">
        <f>C65-#REF!</f>
        <v>#REF!</v>
      </c>
      <c r="E65" s="233">
        <v>52500</v>
      </c>
      <c r="F65" s="233">
        <v>72000</v>
      </c>
      <c r="G65" s="233">
        <v>35000</v>
      </c>
    </row>
    <row r="66" spans="1:7" ht="25.5" customHeight="1" x14ac:dyDescent="0.2">
      <c r="A66" s="250" t="s">
        <v>365</v>
      </c>
      <c r="B66" s="841"/>
      <c r="C66" s="221"/>
      <c r="D66" s="222"/>
      <c r="E66" s="233">
        <v>10500</v>
      </c>
      <c r="F66" s="254">
        <v>10000</v>
      </c>
      <c r="G66" s="233">
        <v>12000</v>
      </c>
    </row>
    <row r="67" spans="1:7" ht="24" customHeight="1" x14ac:dyDescent="0.2">
      <c r="A67" s="250" t="s">
        <v>366</v>
      </c>
      <c r="B67" s="841"/>
      <c r="C67" s="221"/>
      <c r="D67" s="222"/>
      <c r="E67" s="233">
        <v>26460</v>
      </c>
      <c r="F67" s="254">
        <f>26208-8208</f>
        <v>18000</v>
      </c>
      <c r="G67" s="233">
        <v>18000</v>
      </c>
    </row>
    <row r="68" spans="1:7" ht="18" customHeight="1" x14ac:dyDescent="0.2">
      <c r="A68" s="250" t="s">
        <v>258</v>
      </c>
      <c r="B68" s="841"/>
      <c r="C68" s="221"/>
      <c r="D68" s="222" t="e">
        <f>C68-#REF!</f>
        <v>#REF!</v>
      </c>
      <c r="E68" s="233">
        <f>94500-21246.78-24450-2250</f>
        <v>46553.22</v>
      </c>
      <c r="F68" s="254">
        <v>30000</v>
      </c>
      <c r="G68" s="233">
        <v>190900</v>
      </c>
    </row>
    <row r="69" spans="1:7" ht="18.75" customHeight="1" x14ac:dyDescent="0.2">
      <c r="A69" s="250" t="s">
        <v>259</v>
      </c>
      <c r="B69" s="841"/>
      <c r="C69" s="221"/>
      <c r="D69" s="222"/>
      <c r="E69" s="233">
        <v>48348</v>
      </c>
      <c r="F69" s="254">
        <v>366471</v>
      </c>
      <c r="G69" s="233">
        <v>1022654.2</v>
      </c>
    </row>
    <row r="70" spans="1:7" ht="23.25" customHeight="1" x14ac:dyDescent="0.2">
      <c r="A70" s="250" t="s">
        <v>367</v>
      </c>
      <c r="B70" s="841"/>
      <c r="C70" s="221"/>
      <c r="D70" s="222"/>
      <c r="E70" s="233">
        <v>52000</v>
      </c>
      <c r="F70" s="254">
        <f>33600-5600</f>
        <v>28000</v>
      </c>
      <c r="G70" s="233">
        <v>5000</v>
      </c>
    </row>
    <row r="71" spans="1:7" ht="21" customHeight="1" x14ac:dyDescent="0.2">
      <c r="A71" s="273" t="s">
        <v>368</v>
      </c>
      <c r="B71" s="841"/>
      <c r="C71" s="221"/>
      <c r="D71" s="222" t="e">
        <f>C71-#REF!</f>
        <v>#REF!</v>
      </c>
      <c r="E71" s="233">
        <f>474486+275514</f>
        <v>750000</v>
      </c>
      <c r="F71" s="254">
        <v>751680</v>
      </c>
      <c r="G71" s="233"/>
    </row>
    <row r="72" spans="1:7" ht="17.25" customHeight="1" x14ac:dyDescent="0.2">
      <c r="A72" s="271" t="s">
        <v>369</v>
      </c>
      <c r="B72" s="841"/>
      <c r="C72" s="221"/>
      <c r="D72" s="222" t="e">
        <f>C72-#REF!</f>
        <v>#REF!</v>
      </c>
      <c r="E72" s="233">
        <v>401388</v>
      </c>
      <c r="F72" s="254">
        <v>154566</v>
      </c>
      <c r="G72" s="233">
        <v>1846660</v>
      </c>
    </row>
    <row r="73" spans="1:7" ht="28.5" customHeight="1" x14ac:dyDescent="0.2">
      <c r="A73" s="271" t="s">
        <v>370</v>
      </c>
      <c r="B73" s="841"/>
      <c r="C73" s="221"/>
      <c r="D73" s="222"/>
      <c r="E73" s="233"/>
      <c r="F73" s="254"/>
      <c r="G73" s="233">
        <v>10000</v>
      </c>
    </row>
    <row r="74" spans="1:7" ht="23.25" customHeight="1" x14ac:dyDescent="0.2">
      <c r="A74" s="250" t="s">
        <v>204</v>
      </c>
      <c r="B74" s="841"/>
      <c r="C74" s="221"/>
      <c r="D74" s="222"/>
      <c r="E74" s="233"/>
      <c r="F74" s="254">
        <f>18720-720</f>
        <v>18000</v>
      </c>
      <c r="G74" s="233">
        <v>20000</v>
      </c>
    </row>
    <row r="75" spans="1:7" ht="25.5" customHeight="1" x14ac:dyDescent="0.2">
      <c r="A75" s="250" t="s">
        <v>260</v>
      </c>
      <c r="B75" s="841"/>
      <c r="C75" s="221"/>
      <c r="D75" s="222"/>
      <c r="E75" s="233"/>
      <c r="F75" s="254">
        <f>24960-960</f>
        <v>24000</v>
      </c>
      <c r="G75" s="233">
        <v>25000</v>
      </c>
    </row>
    <row r="76" spans="1:7" x14ac:dyDescent="0.2">
      <c r="A76" s="255" t="s">
        <v>261</v>
      </c>
      <c r="B76" s="841"/>
      <c r="C76" s="221"/>
      <c r="D76" s="222" t="e">
        <f>C76-#REF!</f>
        <v>#REF!</v>
      </c>
      <c r="E76" s="233">
        <f>21000+2067.2</f>
        <v>23067.200000000001</v>
      </c>
      <c r="F76" s="233">
        <f>25000-25000+2800+5500+3000</f>
        <v>11300</v>
      </c>
      <c r="G76" s="233">
        <v>10000</v>
      </c>
    </row>
    <row r="77" spans="1:7" x14ac:dyDescent="0.2">
      <c r="A77" s="255" t="s">
        <v>348</v>
      </c>
      <c r="B77" s="841"/>
      <c r="C77" s="221"/>
      <c r="D77" s="222"/>
      <c r="E77" s="233"/>
      <c r="F77" s="233"/>
      <c r="G77" s="233">
        <v>2000</v>
      </c>
    </row>
    <row r="78" spans="1:7" ht="21" customHeight="1" x14ac:dyDescent="0.2">
      <c r="A78" s="255" t="s">
        <v>203</v>
      </c>
      <c r="B78" s="841"/>
      <c r="C78" s="221"/>
      <c r="D78" s="222" t="e">
        <f>C78-#REF!</f>
        <v>#REF!</v>
      </c>
      <c r="E78" s="233">
        <f>21000+2067.2</f>
        <v>23067.200000000001</v>
      </c>
      <c r="F78" s="233">
        <f>25000-25000+2800+5500+3000</f>
        <v>11300</v>
      </c>
      <c r="G78" s="233">
        <v>371850</v>
      </c>
    </row>
    <row r="79" spans="1:7" ht="29.25" customHeight="1" x14ac:dyDescent="0.2">
      <c r="A79" s="274" t="s">
        <v>349</v>
      </c>
      <c r="B79" s="841"/>
      <c r="C79" s="221"/>
      <c r="D79" s="222" t="e">
        <f>C79-#REF!</f>
        <v>#REF!</v>
      </c>
      <c r="E79" s="233">
        <f>21000+2067.2</f>
        <v>23067.200000000001</v>
      </c>
      <c r="F79" s="233">
        <f>25000-25000+2800+5500+3000</f>
        <v>11300</v>
      </c>
      <c r="G79" s="275">
        <v>170000</v>
      </c>
    </row>
    <row r="80" spans="1:7" x14ac:dyDescent="0.2">
      <c r="A80" s="259" t="s">
        <v>256</v>
      </c>
      <c r="B80" s="843">
        <v>227</v>
      </c>
      <c r="C80" s="227">
        <f>SUM(C81:C81)</f>
        <v>0</v>
      </c>
      <c r="D80" s="248">
        <f>SUM(D81:D85)</f>
        <v>0</v>
      </c>
      <c r="E80" s="249">
        <f>SUM(E81:E85)</f>
        <v>113640.34</v>
      </c>
      <c r="F80" s="249">
        <f>SUM(F81:F85)</f>
        <v>5694</v>
      </c>
      <c r="G80" s="249">
        <f>SUM(G81:G85)</f>
        <v>5000</v>
      </c>
    </row>
    <row r="81" spans="1:7" ht="27" customHeight="1" x14ac:dyDescent="0.2">
      <c r="A81" s="250" t="s">
        <v>262</v>
      </c>
      <c r="B81" s="843"/>
      <c r="C81" s="221"/>
      <c r="D81" s="222"/>
      <c r="E81" s="233">
        <v>0</v>
      </c>
      <c r="F81" s="233">
        <v>0</v>
      </c>
      <c r="G81" s="233"/>
    </row>
    <row r="82" spans="1:7" ht="24.75" customHeight="1" x14ac:dyDescent="0.2">
      <c r="A82" s="276" t="s">
        <v>371</v>
      </c>
      <c r="B82" s="843"/>
      <c r="C82" s="221"/>
      <c r="D82" s="222"/>
      <c r="E82" s="233">
        <v>94500</v>
      </c>
      <c r="F82" s="254">
        <f>20000-20000</f>
        <v>0</v>
      </c>
      <c r="G82" s="233"/>
    </row>
    <row r="83" spans="1:7" ht="20.25" customHeight="1" x14ac:dyDescent="0.2">
      <c r="A83" s="250" t="s">
        <v>372</v>
      </c>
      <c r="B83" s="843"/>
      <c r="C83" s="221"/>
      <c r="D83" s="222"/>
      <c r="E83" s="233">
        <v>1575</v>
      </c>
      <c r="F83" s="254">
        <f>2000+2584.08</f>
        <v>4584.08</v>
      </c>
      <c r="G83" s="233"/>
    </row>
    <row r="84" spans="1:7" ht="21" customHeight="1" x14ac:dyDescent="0.2">
      <c r="A84" s="277" t="s">
        <v>373</v>
      </c>
      <c r="B84" s="843"/>
      <c r="C84" s="221"/>
      <c r="D84" s="222"/>
      <c r="E84" s="233">
        <v>7560</v>
      </c>
      <c r="F84" s="254">
        <f>7560-1084.08-5366</f>
        <v>1109.92</v>
      </c>
      <c r="G84" s="233">
        <v>5000</v>
      </c>
    </row>
    <row r="85" spans="1:7" ht="25.5" customHeight="1" x14ac:dyDescent="0.2">
      <c r="A85" s="250" t="s">
        <v>374</v>
      </c>
      <c r="B85" s="843"/>
      <c r="C85" s="221"/>
      <c r="D85" s="222"/>
      <c r="E85" s="233">
        <v>10005.34</v>
      </c>
      <c r="F85" s="254">
        <f>10000-7415.92-2584.08</f>
        <v>0</v>
      </c>
      <c r="G85" s="233"/>
    </row>
    <row r="86" spans="1:7" x14ac:dyDescent="0.2">
      <c r="A86" s="259" t="s">
        <v>263</v>
      </c>
      <c r="B86" s="841">
        <v>290</v>
      </c>
      <c r="C86" s="227">
        <f>C87+C92</f>
        <v>0</v>
      </c>
      <c r="D86" s="248" t="e">
        <f>SUM(D87:D92)</f>
        <v>#REF!</v>
      </c>
      <c r="E86" s="249">
        <f>SUM(E87:E92)</f>
        <v>191396.15</v>
      </c>
      <c r="F86" s="249">
        <f>SUM(F87:F92)</f>
        <v>158250</v>
      </c>
      <c r="G86" s="249">
        <f>SUM(G87:G92)</f>
        <v>112750</v>
      </c>
    </row>
    <row r="87" spans="1:7" x14ac:dyDescent="0.2">
      <c r="A87" s="278" t="s">
        <v>264</v>
      </c>
      <c r="B87" s="841"/>
      <c r="C87" s="279"/>
      <c r="D87" s="222" t="e">
        <f>C87-#REF!</f>
        <v>#REF!</v>
      </c>
      <c r="E87" s="233">
        <v>126840</v>
      </c>
      <c r="F87" s="254">
        <v>120000</v>
      </c>
      <c r="G87" s="233">
        <v>112750</v>
      </c>
    </row>
    <row r="88" spans="1:7" x14ac:dyDescent="0.2">
      <c r="A88" s="280" t="s">
        <v>375</v>
      </c>
      <c r="B88" s="841"/>
      <c r="C88" s="281"/>
      <c r="D88" s="222"/>
      <c r="E88" s="233">
        <f>6300+3395.15</f>
        <v>9695.15</v>
      </c>
      <c r="F88" s="254">
        <v>10000</v>
      </c>
      <c r="G88" s="233"/>
    </row>
    <row r="89" spans="1:7" x14ac:dyDescent="0.2">
      <c r="A89" s="280" t="s">
        <v>376</v>
      </c>
      <c r="B89" s="841"/>
      <c r="C89" s="281"/>
      <c r="D89" s="222"/>
      <c r="E89" s="233">
        <v>7500</v>
      </c>
      <c r="F89" s="254">
        <v>7800</v>
      </c>
      <c r="G89" s="233"/>
    </row>
    <row r="90" spans="1:7" x14ac:dyDescent="0.2">
      <c r="A90" s="280" t="s">
        <v>377</v>
      </c>
      <c r="B90" s="841"/>
      <c r="C90" s="281"/>
      <c r="D90" s="222"/>
      <c r="E90" s="233">
        <v>27726</v>
      </c>
      <c r="F90" s="233"/>
      <c r="G90" s="233"/>
    </row>
    <row r="91" spans="1:7" x14ac:dyDescent="0.2">
      <c r="A91" s="280" t="s">
        <v>378</v>
      </c>
      <c r="B91" s="841"/>
      <c r="C91" s="281"/>
      <c r="D91" s="222"/>
      <c r="E91" s="233">
        <v>0</v>
      </c>
      <c r="F91" s="233">
        <v>0</v>
      </c>
      <c r="G91" s="233"/>
    </row>
    <row r="92" spans="1:7" x14ac:dyDescent="0.2">
      <c r="A92" s="280" t="s">
        <v>128</v>
      </c>
      <c r="B92" s="841"/>
      <c r="C92" s="281"/>
      <c r="D92" s="222" t="e">
        <f>C92-#REF!</f>
        <v>#REF!</v>
      </c>
      <c r="E92" s="233">
        <v>19635</v>
      </c>
      <c r="F92" s="254">
        <v>20450</v>
      </c>
      <c r="G92" s="233"/>
    </row>
    <row r="93" spans="1:7" ht="30.75" customHeight="1" x14ac:dyDescent="0.2">
      <c r="A93" s="282" t="s">
        <v>265</v>
      </c>
      <c r="B93" s="841">
        <v>310</v>
      </c>
      <c r="C93" s="227" t="e">
        <f>C94+#REF!+#REF!+#REF!+C95+#REF!+#REF!</f>
        <v>#REF!</v>
      </c>
      <c r="D93" s="248" t="e">
        <f>D94+#REF!+#REF!+#REF!+D95+#REF!+#REF!+#REF!+#REF!+#REF!+#REF!+#REF!</f>
        <v>#REF!</v>
      </c>
      <c r="E93" s="249">
        <f>SUM(E94:E96)</f>
        <v>711711.91</v>
      </c>
      <c r="F93" s="249">
        <f>SUM(F94:F96)</f>
        <v>784831.38</v>
      </c>
      <c r="G93" s="249">
        <f>SUM(G94:G96)</f>
        <v>0</v>
      </c>
    </row>
    <row r="94" spans="1:7" x14ac:dyDescent="0.2">
      <c r="A94" s="283" t="s">
        <v>266</v>
      </c>
      <c r="B94" s="841"/>
      <c r="C94" s="221"/>
      <c r="D94" s="222" t="e">
        <f>C94-#REF!</f>
        <v>#REF!</v>
      </c>
      <c r="E94" s="233">
        <v>0</v>
      </c>
      <c r="F94" s="233">
        <v>0</v>
      </c>
      <c r="G94" s="233"/>
    </row>
    <row r="95" spans="1:7" x14ac:dyDescent="0.2">
      <c r="A95" s="284" t="s">
        <v>379</v>
      </c>
      <c r="B95" s="841"/>
      <c r="C95" s="257"/>
      <c r="D95" s="222" t="e">
        <f>C95-#REF!</f>
        <v>#REF!</v>
      </c>
      <c r="E95" s="223">
        <f>723878.75-4700.84-7466</f>
        <v>711711.91</v>
      </c>
      <c r="F95" s="285">
        <f>800000-6273-2350-6545.62</f>
        <v>784831.38</v>
      </c>
      <c r="G95" s="224"/>
    </row>
    <row r="96" spans="1:7" ht="26.25" customHeight="1" x14ac:dyDescent="0.2">
      <c r="A96" s="286" t="s">
        <v>267</v>
      </c>
      <c r="B96" s="287"/>
      <c r="C96" s="288"/>
      <c r="D96" s="289"/>
      <c r="E96" s="290">
        <f>81.31-81.31</f>
        <v>0</v>
      </c>
      <c r="F96" s="290">
        <f>81.31-81.31</f>
        <v>0</v>
      </c>
      <c r="G96" s="290"/>
    </row>
    <row r="97" spans="1:7" ht="25.5" customHeight="1" x14ac:dyDescent="0.2">
      <c r="A97" s="291" t="s">
        <v>380</v>
      </c>
      <c r="B97" s="226"/>
      <c r="C97" s="292"/>
      <c r="D97" s="293"/>
      <c r="E97" s="294"/>
      <c r="F97" s="294"/>
      <c r="G97" s="295">
        <f>G98</f>
        <v>0</v>
      </c>
    </row>
    <row r="98" spans="1:7" ht="21.75" customHeight="1" x14ac:dyDescent="0.2">
      <c r="A98" s="296" t="s">
        <v>381</v>
      </c>
      <c r="B98" s="226"/>
      <c r="C98" s="292"/>
      <c r="D98" s="293"/>
      <c r="E98" s="294"/>
      <c r="F98" s="294"/>
      <c r="G98" s="294"/>
    </row>
    <row r="99" spans="1:7" ht="28.5" customHeight="1" x14ac:dyDescent="0.2">
      <c r="A99" s="297" t="s">
        <v>268</v>
      </c>
      <c r="B99" s="298"/>
      <c r="C99" s="299">
        <f>SUM(C100:C126)</f>
        <v>0</v>
      </c>
      <c r="D99" s="249" t="e">
        <f>SUM(D100:D127)</f>
        <v>#REF!</v>
      </c>
      <c r="E99" s="249">
        <f>SUM(E100:E127)</f>
        <v>329200.03000000009</v>
      </c>
      <c r="F99" s="249">
        <f>SUM(F100:F127)</f>
        <v>219636.24</v>
      </c>
      <c r="G99" s="249">
        <f>SUM(G100:G127)</f>
        <v>340060</v>
      </c>
    </row>
    <row r="100" spans="1:7" x14ac:dyDescent="0.2">
      <c r="A100" s="300" t="s">
        <v>382</v>
      </c>
      <c r="B100" s="298"/>
      <c r="C100" s="301"/>
      <c r="D100" s="222" t="e">
        <f>C100-#REF!</f>
        <v>#REF!</v>
      </c>
      <c r="E100" s="233">
        <v>0</v>
      </c>
      <c r="F100" s="233">
        <v>0</v>
      </c>
      <c r="G100" s="233"/>
    </row>
    <row r="101" spans="1:7" ht="13.5" thickBot="1" x14ac:dyDescent="0.25">
      <c r="A101" s="300" t="s">
        <v>383</v>
      </c>
      <c r="B101" s="298"/>
      <c r="C101" s="301"/>
      <c r="D101" s="222"/>
      <c r="E101" s="233"/>
      <c r="F101" s="233"/>
      <c r="G101" s="233"/>
    </row>
    <row r="102" spans="1:7" ht="13.5" thickBot="1" x14ac:dyDescent="0.25">
      <c r="A102" s="302" t="s">
        <v>269</v>
      </c>
      <c r="B102" s="842" t="s">
        <v>270</v>
      </c>
      <c r="C102" s="303"/>
      <c r="D102" s="304" t="e">
        <f>C102-#REF!</f>
        <v>#REF!</v>
      </c>
      <c r="E102" s="305">
        <f>186097.5-30000-37006-20860-43586-13377.6-41267.9</f>
        <v>0</v>
      </c>
      <c r="F102" s="305">
        <f>186097.5-30000-37006-20860-43586-13377.6-41267.9</f>
        <v>0</v>
      </c>
      <c r="G102" s="305"/>
    </row>
    <row r="103" spans="1:7" ht="22.5" customHeight="1" thickBot="1" x14ac:dyDescent="0.25">
      <c r="A103" s="306" t="s">
        <v>271</v>
      </c>
      <c r="B103" s="842"/>
      <c r="C103" s="301"/>
      <c r="D103" s="222" t="e">
        <f>C103-#REF!</f>
        <v>#REF!</v>
      </c>
      <c r="E103" s="307">
        <v>0</v>
      </c>
      <c r="F103" s="308">
        <v>3200</v>
      </c>
      <c r="G103" s="307"/>
    </row>
    <row r="104" spans="1:7" ht="13.5" thickBot="1" x14ac:dyDescent="0.25">
      <c r="A104" s="306"/>
      <c r="B104" s="842"/>
      <c r="C104" s="301"/>
      <c r="D104" s="222" t="e">
        <f>C104-#REF!</f>
        <v>#REF!</v>
      </c>
      <c r="E104" s="307">
        <v>0</v>
      </c>
      <c r="F104" s="308"/>
      <c r="G104" s="307"/>
    </row>
    <row r="105" spans="1:7" ht="13.5" thickBot="1" x14ac:dyDescent="0.25">
      <c r="A105" s="309" t="s">
        <v>273</v>
      </c>
      <c r="B105" s="842"/>
      <c r="C105" s="310"/>
      <c r="D105" s="311" t="e">
        <f>C105-#REF!</f>
        <v>#REF!</v>
      </c>
      <c r="E105" s="312">
        <f>192577.5-31104.71</f>
        <v>161472.79</v>
      </c>
      <c r="F105" s="313">
        <f>150000-71600</f>
        <v>78400</v>
      </c>
      <c r="G105" s="312"/>
    </row>
    <row r="106" spans="1:7" ht="22.5" customHeight="1" x14ac:dyDescent="0.2">
      <c r="A106" s="300" t="s">
        <v>274</v>
      </c>
      <c r="B106" s="841" t="s">
        <v>275</v>
      </c>
      <c r="C106" s="301"/>
      <c r="D106" s="222"/>
      <c r="E106" s="233">
        <f>26006+20860+59501</f>
        <v>106367</v>
      </c>
      <c r="F106" s="254">
        <v>10000</v>
      </c>
      <c r="G106" s="233">
        <f>100349+10000+64211</f>
        <v>174560</v>
      </c>
    </row>
    <row r="107" spans="1:7" x14ac:dyDescent="0.2">
      <c r="A107" s="300"/>
      <c r="B107" s="841"/>
      <c r="C107" s="301"/>
      <c r="D107" s="222"/>
      <c r="E107" s="233">
        <v>0</v>
      </c>
      <c r="F107" s="233">
        <v>0</v>
      </c>
      <c r="G107" s="233"/>
    </row>
    <row r="108" spans="1:7" ht="21.75" customHeight="1" x14ac:dyDescent="0.2">
      <c r="A108" s="314" t="s">
        <v>384</v>
      </c>
      <c r="B108" s="841"/>
      <c r="C108" s="315"/>
      <c r="D108" s="258" t="e">
        <f>C108-#REF!</f>
        <v>#REF!</v>
      </c>
      <c r="E108" s="233">
        <v>0</v>
      </c>
      <c r="F108" s="233">
        <v>0</v>
      </c>
      <c r="G108" s="233">
        <v>16500</v>
      </c>
    </row>
    <row r="109" spans="1:7" x14ac:dyDescent="0.2">
      <c r="A109" s="316" t="s">
        <v>276</v>
      </c>
      <c r="B109" s="298"/>
      <c r="C109" s="301"/>
      <c r="D109" s="222" t="e">
        <f>C109-#REF!</f>
        <v>#REF!</v>
      </c>
      <c r="E109" s="233">
        <v>0</v>
      </c>
      <c r="F109" s="233">
        <v>0</v>
      </c>
      <c r="G109" s="233"/>
    </row>
    <row r="110" spans="1:7" ht="21" customHeight="1" thickBot="1" x14ac:dyDescent="0.25">
      <c r="A110" s="317" t="s">
        <v>277</v>
      </c>
      <c r="B110" s="318"/>
      <c r="C110" s="319"/>
      <c r="D110" s="320" t="e">
        <f>C110-#REF!</f>
        <v>#REF!</v>
      </c>
      <c r="E110" s="321">
        <v>0</v>
      </c>
      <c r="F110" s="321">
        <v>0</v>
      </c>
      <c r="G110" s="321"/>
    </row>
    <row r="111" spans="1:7" ht="13.5" thickBot="1" x14ac:dyDescent="0.25">
      <c r="A111" s="322"/>
      <c r="B111" s="842" t="s">
        <v>278</v>
      </c>
      <c r="C111" s="303"/>
      <c r="D111" s="304"/>
      <c r="E111" s="305"/>
      <c r="F111" s="305"/>
      <c r="G111" s="305"/>
    </row>
    <row r="112" spans="1:7" ht="13.5" thickBot="1" x14ac:dyDescent="0.25">
      <c r="A112" s="316" t="s">
        <v>385</v>
      </c>
      <c r="B112" s="842"/>
      <c r="C112" s="301"/>
      <c r="D112" s="222"/>
      <c r="E112" s="307"/>
      <c r="F112" s="307">
        <f>28950+360</f>
        <v>29310</v>
      </c>
      <c r="G112" s="307">
        <v>10000</v>
      </c>
    </row>
    <row r="113" spans="1:7" ht="13.5" thickBot="1" x14ac:dyDescent="0.25">
      <c r="A113" s="323"/>
      <c r="B113" s="842"/>
      <c r="C113" s="310"/>
      <c r="D113" s="311" t="e">
        <f>C113-#REF!</f>
        <v>#REF!</v>
      </c>
      <c r="E113" s="312"/>
      <c r="F113" s="312"/>
      <c r="G113" s="312"/>
    </row>
    <row r="114" spans="1:7" ht="19.5" customHeight="1" thickBot="1" x14ac:dyDescent="0.25">
      <c r="A114" s="324" t="s">
        <v>386</v>
      </c>
      <c r="B114" s="842" t="s">
        <v>279</v>
      </c>
      <c r="C114" s="303"/>
      <c r="D114" s="304"/>
      <c r="E114" s="305">
        <f>30950+1905</f>
        <v>32855</v>
      </c>
      <c r="F114" s="325">
        <v>6662</v>
      </c>
      <c r="G114" s="326"/>
    </row>
    <row r="115" spans="1:7" ht="21" customHeight="1" thickBot="1" x14ac:dyDescent="0.25">
      <c r="A115" s="327" t="s">
        <v>387</v>
      </c>
      <c r="B115" s="842"/>
      <c r="C115" s="328"/>
      <c r="D115" s="329"/>
      <c r="E115" s="330"/>
      <c r="F115" s="331">
        <f>3627.01-3627.01</f>
        <v>0</v>
      </c>
      <c r="G115" s="330"/>
    </row>
    <row r="116" spans="1:7" ht="22.5" customHeight="1" thickBot="1" x14ac:dyDescent="0.25">
      <c r="A116" s="332" t="s">
        <v>388</v>
      </c>
      <c r="B116" s="842"/>
      <c r="C116" s="328"/>
      <c r="D116" s="329"/>
      <c r="E116" s="330"/>
      <c r="F116" s="331"/>
      <c r="G116" s="330">
        <v>10000</v>
      </c>
    </row>
    <row r="117" spans="1:7" ht="18" customHeight="1" thickBot="1" x14ac:dyDescent="0.25">
      <c r="A117" s="316" t="s">
        <v>280</v>
      </c>
      <c r="B117" s="842"/>
      <c r="C117" s="301"/>
      <c r="D117" s="222"/>
      <c r="E117" s="307">
        <v>8385.09</v>
      </c>
      <c r="F117" s="308">
        <v>10000</v>
      </c>
      <c r="G117" s="307">
        <v>35000</v>
      </c>
    </row>
    <row r="118" spans="1:7" ht="18" customHeight="1" thickBot="1" x14ac:dyDescent="0.25">
      <c r="A118" s="317" t="s">
        <v>302</v>
      </c>
      <c r="B118" s="842"/>
      <c r="C118" s="319"/>
      <c r="D118" s="320"/>
      <c r="E118" s="333">
        <v>2250</v>
      </c>
      <c r="F118" s="333">
        <f>66463.24-2608-5235</f>
        <v>58620.240000000005</v>
      </c>
      <c r="G118" s="333">
        <v>54000</v>
      </c>
    </row>
    <row r="119" spans="1:7" ht="21" customHeight="1" thickBot="1" x14ac:dyDescent="0.25">
      <c r="A119" s="317" t="s">
        <v>281</v>
      </c>
      <c r="B119" s="842"/>
      <c r="C119" s="319"/>
      <c r="D119" s="320"/>
      <c r="E119" s="333"/>
      <c r="F119" s="333">
        <v>108</v>
      </c>
      <c r="G119" s="333"/>
    </row>
    <row r="120" spans="1:7" ht="13.5" thickBot="1" x14ac:dyDescent="0.25">
      <c r="A120" s="317" t="s">
        <v>272</v>
      </c>
      <c r="B120" s="842"/>
      <c r="C120" s="319"/>
      <c r="D120" s="320"/>
      <c r="E120" s="333"/>
      <c r="F120" s="334">
        <f>10000-3200+5235</f>
        <v>12035</v>
      </c>
      <c r="G120" s="333"/>
    </row>
    <row r="121" spans="1:7" ht="19.5" customHeight="1" thickBot="1" x14ac:dyDescent="0.25">
      <c r="A121" s="323" t="s">
        <v>389</v>
      </c>
      <c r="B121" s="842"/>
      <c r="C121" s="310"/>
      <c r="D121" s="311" t="e">
        <f>C121-#REF!</f>
        <v>#REF!</v>
      </c>
      <c r="E121" s="312">
        <v>2040</v>
      </c>
      <c r="F121" s="312">
        <v>1944</v>
      </c>
      <c r="G121" s="312">
        <v>40000</v>
      </c>
    </row>
    <row r="122" spans="1:7" ht="27" customHeight="1" thickBot="1" x14ac:dyDescent="0.25">
      <c r="A122" s="335" t="s">
        <v>300</v>
      </c>
      <c r="B122" s="842" t="s">
        <v>390</v>
      </c>
      <c r="C122" s="336"/>
      <c r="D122" s="304"/>
      <c r="E122" s="337">
        <v>4782.1499999999996</v>
      </c>
      <c r="F122" s="338">
        <v>6273</v>
      </c>
      <c r="G122" s="339"/>
    </row>
    <row r="123" spans="1:7" ht="18.75" customHeight="1" thickBot="1" x14ac:dyDescent="0.25">
      <c r="A123" s="340" t="s">
        <v>391</v>
      </c>
      <c r="B123" s="842"/>
      <c r="C123" s="341"/>
      <c r="D123" s="342"/>
      <c r="E123" s="343">
        <v>7466</v>
      </c>
      <c r="F123" s="343">
        <v>734</v>
      </c>
      <c r="G123" s="343"/>
    </row>
    <row r="124" spans="1:7" ht="6.75" customHeight="1" thickBot="1" x14ac:dyDescent="0.25">
      <c r="A124" s="344"/>
      <c r="B124" s="842"/>
      <c r="C124" s="345"/>
      <c r="D124" s="342"/>
      <c r="E124" s="346">
        <v>2642</v>
      </c>
      <c r="F124" s="347"/>
      <c r="G124" s="346"/>
    </row>
    <row r="125" spans="1:7" ht="12" hidden="1" customHeight="1" thickBot="1" x14ac:dyDescent="0.25">
      <c r="A125" s="340"/>
      <c r="B125" s="842"/>
      <c r="C125" s="345"/>
      <c r="D125" s="342"/>
      <c r="E125" s="346"/>
      <c r="F125" s="346"/>
      <c r="G125" s="346"/>
    </row>
    <row r="126" spans="1:7" ht="13.5" thickBot="1" x14ac:dyDescent="0.25">
      <c r="A126" s="348" t="s">
        <v>392</v>
      </c>
      <c r="B126" s="842"/>
      <c r="C126" s="310"/>
      <c r="D126" s="311"/>
      <c r="E126" s="312">
        <v>940</v>
      </c>
      <c r="F126" s="349">
        <v>2350</v>
      </c>
      <c r="G126" s="312"/>
    </row>
    <row r="127" spans="1:7" ht="13.5" thickBot="1" x14ac:dyDescent="0.25">
      <c r="A127" s="350" t="s">
        <v>281</v>
      </c>
      <c r="B127" s="298"/>
      <c r="C127" s="351"/>
      <c r="D127" s="352"/>
      <c r="E127" s="290">
        <f>261081.29-149832.1-100295.37-10953.82</f>
        <v>0</v>
      </c>
      <c r="F127" s="290">
        <f>261081.29-149832.1-100295.37-10953.82</f>
        <v>0</v>
      </c>
      <c r="G127" s="290"/>
    </row>
    <row r="128" spans="1:7" x14ac:dyDescent="0.2">
      <c r="A128" s="846" t="s">
        <v>282</v>
      </c>
      <c r="B128" s="846"/>
      <c r="C128" s="846"/>
      <c r="D128" s="846"/>
      <c r="E128" s="233">
        <v>0</v>
      </c>
      <c r="F128" s="233">
        <v>0</v>
      </c>
      <c r="G128" s="233"/>
    </row>
    <row r="129" spans="1:7" ht="13.5" thickBot="1" x14ac:dyDescent="0.25">
      <c r="A129" s="278" t="s">
        <v>283</v>
      </c>
      <c r="B129" s="220"/>
      <c r="C129" s="279"/>
      <c r="D129" s="353" t="e">
        <f>#REF!-C129</f>
        <v>#REF!</v>
      </c>
      <c r="E129" s="233">
        <v>0</v>
      </c>
      <c r="F129" s="233">
        <v>0</v>
      </c>
      <c r="G129" s="233"/>
    </row>
    <row r="130" spans="1:7" x14ac:dyDescent="0.2">
      <c r="A130" s="846" t="s">
        <v>284</v>
      </c>
      <c r="B130" s="846"/>
      <c r="C130" s="846"/>
      <c r="D130" s="846"/>
      <c r="E130" s="233">
        <v>0</v>
      </c>
      <c r="F130" s="233">
        <v>0</v>
      </c>
      <c r="G130" s="233"/>
    </row>
    <row r="131" spans="1:7" x14ac:dyDescent="0.2">
      <c r="A131" s="278" t="s">
        <v>285</v>
      </c>
      <c r="B131" s="843">
        <v>290</v>
      </c>
      <c r="C131" s="354">
        <f>SUM(C132:C133)</f>
        <v>0</v>
      </c>
      <c r="D131" s="353" t="e">
        <f>#REF!-C131</f>
        <v>#REF!</v>
      </c>
      <c r="E131" s="233">
        <v>0</v>
      </c>
      <c r="F131" s="233">
        <v>0</v>
      </c>
      <c r="G131" s="233"/>
    </row>
    <row r="132" spans="1:7" x14ac:dyDescent="0.2">
      <c r="A132" s="278" t="s">
        <v>264</v>
      </c>
      <c r="B132" s="843"/>
      <c r="C132" s="279"/>
      <c r="D132" s="353" t="e">
        <f>#REF!-C132</f>
        <v>#REF!</v>
      </c>
      <c r="E132" s="233">
        <v>0</v>
      </c>
      <c r="F132" s="233">
        <v>0</v>
      </c>
      <c r="G132" s="233"/>
    </row>
    <row r="133" spans="1:7" ht="13.5" thickBot="1" x14ac:dyDescent="0.25">
      <c r="A133" s="280" t="s">
        <v>286</v>
      </c>
      <c r="B133" s="843"/>
      <c r="C133" s="281"/>
      <c r="D133" s="355" t="e">
        <f>#REF!-C133</f>
        <v>#REF!</v>
      </c>
      <c r="E133" s="356"/>
      <c r="F133" s="356"/>
      <c r="G133" s="356"/>
    </row>
    <row r="134" spans="1:7" ht="13.5" thickBot="1" x14ac:dyDescent="0.25">
      <c r="A134" s="844" t="s">
        <v>287</v>
      </c>
      <c r="B134" s="844"/>
      <c r="C134" s="357" t="e">
        <f>C99+C93+C86+C62+C46+C42+C36+C34+C26+C20+C17+C15+C21+C22+C129+C131</f>
        <v>#REF!</v>
      </c>
      <c r="D134" s="358" t="e">
        <f>D99+D93+D86+D62+D46+D42+D36+D34+D26+D20+D17+D15+D21+D22+D129+D131+D16</f>
        <v>#REF!</v>
      </c>
      <c r="E134" s="248">
        <f>E24+E26+E36+E46+E62+E80+E86+E93+E99</f>
        <v>18171689.239999998</v>
      </c>
      <c r="F134" s="248">
        <f>F16+F19+F20+F21+F26+F36+F46+F62+F80+F86+F93+F99</f>
        <v>20575955.5</v>
      </c>
      <c r="G134" s="248">
        <f>G24+G26+G36+G46+G62+G80+G86+G93+G99+G97</f>
        <v>6708405.2300000004</v>
      </c>
    </row>
    <row r="135" spans="1:7" x14ac:dyDescent="0.2">
      <c r="A135" s="93"/>
      <c r="B135" s="93"/>
      <c r="C135" s="93"/>
      <c r="D135" s="93"/>
      <c r="E135" s="359"/>
      <c r="F135" s="360"/>
      <c r="G135" s="361">
        <f>6721103.23-G134</f>
        <v>12698</v>
      </c>
    </row>
    <row r="136" spans="1:7" ht="15.75" x14ac:dyDescent="0.25">
      <c r="A136" s="362"/>
      <c r="B136" s="363" t="s">
        <v>393</v>
      </c>
      <c r="C136" s="364"/>
      <c r="D136" s="365"/>
      <c r="E136" s="366"/>
      <c r="F136" s="366"/>
      <c r="G136" s="366">
        <f>SUM(G79)</f>
        <v>170000</v>
      </c>
    </row>
    <row r="137" spans="1:7" x14ac:dyDescent="0.2">
      <c r="A137" s="367"/>
      <c r="B137" s="845"/>
      <c r="C137" s="845"/>
      <c r="D137" s="94"/>
      <c r="E137" s="368"/>
      <c r="F137" s="368"/>
      <c r="G137" s="368"/>
    </row>
    <row r="138" spans="1:7" x14ac:dyDescent="0.2">
      <c r="A138" s="91"/>
      <c r="B138" s="92"/>
      <c r="C138" s="91"/>
      <c r="D138" s="91"/>
      <c r="E138" s="208"/>
      <c r="F138" s="208"/>
      <c r="G138" s="369">
        <f>G24+G26+G36+G46+G62+G80+G86+G93+G97+G99</f>
        <v>6708405.2300000004</v>
      </c>
    </row>
    <row r="139" spans="1:7" ht="15.75" x14ac:dyDescent="0.25">
      <c r="A139" s="90"/>
      <c r="B139" s="370"/>
      <c r="C139" s="90"/>
      <c r="D139" s="370"/>
      <c r="E139" s="371"/>
      <c r="F139" s="371"/>
      <c r="G139" s="371"/>
    </row>
    <row r="140" spans="1:7" x14ac:dyDescent="0.2">
      <c r="A140" s="94"/>
      <c r="B140" s="95"/>
      <c r="C140" s="94"/>
      <c r="D140" s="95"/>
      <c r="E140" s="372"/>
      <c r="F140" s="372"/>
      <c r="G140" s="372"/>
    </row>
  </sheetData>
  <mergeCells count="29">
    <mergeCell ref="A1:D1"/>
    <mergeCell ref="A2:D2"/>
    <mergeCell ref="A4:D4"/>
    <mergeCell ref="A5:D5"/>
    <mergeCell ref="A10:A12"/>
    <mergeCell ref="B10:B12"/>
    <mergeCell ref="C10:C11"/>
    <mergeCell ref="D11:D12"/>
    <mergeCell ref="A14:D14"/>
    <mergeCell ref="B17:B19"/>
    <mergeCell ref="B26:B33"/>
    <mergeCell ref="B34:B35"/>
    <mergeCell ref="B36:B41"/>
    <mergeCell ref="B42:B45"/>
    <mergeCell ref="B46:B61"/>
    <mergeCell ref="B62:B79"/>
    <mergeCell ref="B80:B85"/>
    <mergeCell ref="B86:B92"/>
    <mergeCell ref="B93:B95"/>
    <mergeCell ref="B102:B105"/>
    <mergeCell ref="B131:B133"/>
    <mergeCell ref="A134:B134"/>
    <mergeCell ref="B137:C137"/>
    <mergeCell ref="B106:B108"/>
    <mergeCell ref="B111:B113"/>
    <mergeCell ref="B114:B121"/>
    <mergeCell ref="B122:B126"/>
    <mergeCell ref="A128:D128"/>
    <mergeCell ref="A130:D13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19"/>
  <sheetViews>
    <sheetView topLeftCell="K1" workbookViewId="0">
      <selection activeCell="Y10" sqref="Y10"/>
    </sheetView>
  </sheetViews>
  <sheetFormatPr defaultColWidth="9.140625" defaultRowHeight="12.75" x14ac:dyDescent="0.2"/>
  <cols>
    <col min="1" max="6" width="9.140625" style="379"/>
    <col min="7" max="7" width="15.42578125" style="379" customWidth="1"/>
    <col min="8" max="11" width="9.140625" style="379"/>
    <col min="12" max="12" width="16.42578125" style="379" customWidth="1"/>
    <col min="13" max="13" width="9.140625" style="379"/>
    <col min="14" max="14" width="13.42578125" style="379" customWidth="1"/>
    <col min="15" max="20" width="9.140625" style="379"/>
    <col min="21" max="21" width="9.42578125" style="379" bestFit="1" customWidth="1"/>
    <col min="22" max="23" width="11.5703125" style="379" customWidth="1"/>
    <col min="24" max="24" width="9.140625" style="379"/>
    <col min="25" max="25" width="16.28515625" style="379" customWidth="1"/>
    <col min="26" max="30" width="9.140625" style="379"/>
    <col min="31" max="31" width="14.42578125" style="379" customWidth="1"/>
    <col min="32" max="16384" width="9.140625" style="379"/>
  </cols>
  <sheetData>
    <row r="1" spans="2:31" x14ac:dyDescent="0.2">
      <c r="B1" s="377" t="s">
        <v>508</v>
      </c>
      <c r="C1" s="377"/>
      <c r="D1" s="377"/>
      <c r="E1" s="377"/>
      <c r="F1" s="378"/>
      <c r="G1" s="378"/>
      <c r="I1" s="377" t="s">
        <v>509</v>
      </c>
      <c r="J1" s="377"/>
      <c r="K1" s="377"/>
      <c r="L1" s="377"/>
      <c r="M1" s="378"/>
      <c r="N1" s="378"/>
      <c r="P1" s="379" t="s">
        <v>510</v>
      </c>
      <c r="Q1" s="380"/>
      <c r="R1" s="380"/>
      <c r="S1" s="380"/>
      <c r="T1" s="380"/>
      <c r="U1" s="380"/>
      <c r="V1" s="380"/>
      <c r="W1" s="380"/>
      <c r="X1" s="380"/>
      <c r="Y1" s="380"/>
      <c r="AA1" s="379" t="s">
        <v>511</v>
      </c>
    </row>
    <row r="2" spans="2:31" ht="38.25" x14ac:dyDescent="0.2">
      <c r="B2" s="381" t="s">
        <v>405</v>
      </c>
      <c r="C2" s="381" t="s">
        <v>406</v>
      </c>
      <c r="D2" s="381" t="s">
        <v>407</v>
      </c>
      <c r="E2" s="381" t="s">
        <v>408</v>
      </c>
      <c r="F2" s="381" t="s">
        <v>409</v>
      </c>
      <c r="G2" s="381" t="s">
        <v>410</v>
      </c>
      <c r="I2" s="381" t="s">
        <v>405</v>
      </c>
      <c r="J2" s="381" t="s">
        <v>406</v>
      </c>
      <c r="K2" s="381" t="s">
        <v>411</v>
      </c>
      <c r="L2" s="381" t="s">
        <v>408</v>
      </c>
      <c r="M2" s="381" t="s">
        <v>412</v>
      </c>
      <c r="N2" s="381" t="s">
        <v>413</v>
      </c>
      <c r="P2" s="382" t="s">
        <v>405</v>
      </c>
      <c r="Q2" s="382" t="s">
        <v>406</v>
      </c>
      <c r="R2" s="382" t="s">
        <v>414</v>
      </c>
      <c r="S2" s="383" t="s">
        <v>415</v>
      </c>
      <c r="T2" s="383" t="s">
        <v>503</v>
      </c>
      <c r="U2" s="383" t="s">
        <v>503</v>
      </c>
      <c r="V2" s="383" t="s">
        <v>416</v>
      </c>
      <c r="W2" s="383" t="s">
        <v>412</v>
      </c>
      <c r="X2" s="382" t="s">
        <v>408</v>
      </c>
      <c r="Y2" s="382" t="s">
        <v>413</v>
      </c>
      <c r="AA2" s="382" t="s">
        <v>405</v>
      </c>
      <c r="AB2" s="382" t="s">
        <v>406</v>
      </c>
      <c r="AC2" s="382" t="s">
        <v>414</v>
      </c>
      <c r="AD2" s="382" t="s">
        <v>408</v>
      </c>
      <c r="AE2" s="382" t="s">
        <v>413</v>
      </c>
    </row>
    <row r="3" spans="2:31" x14ac:dyDescent="0.2">
      <c r="B3" s="382"/>
      <c r="C3" s="382"/>
      <c r="D3" s="382"/>
      <c r="E3" s="382"/>
      <c r="F3" s="382"/>
      <c r="G3" s="382"/>
      <c r="I3" s="382"/>
      <c r="J3" s="382"/>
      <c r="K3" s="382"/>
      <c r="L3" s="382"/>
      <c r="M3" s="382"/>
      <c r="N3" s="382"/>
      <c r="P3" s="382"/>
      <c r="Q3" s="382"/>
      <c r="R3" s="382"/>
      <c r="S3" s="382"/>
      <c r="T3" s="382"/>
      <c r="U3" s="382"/>
      <c r="V3" s="382"/>
      <c r="W3" s="382"/>
      <c r="X3" s="382"/>
      <c r="Y3" s="382"/>
      <c r="AA3" s="382"/>
      <c r="AB3" s="382"/>
      <c r="AC3" s="382"/>
      <c r="AD3" s="382"/>
      <c r="AE3" s="382"/>
    </row>
    <row r="4" spans="2:31" x14ac:dyDescent="0.2">
      <c r="B4" s="384" t="s">
        <v>417</v>
      </c>
      <c r="C4" s="382">
        <v>7.4668900000000002</v>
      </c>
      <c r="D4" s="382">
        <v>11092</v>
      </c>
      <c r="E4" s="385">
        <f>C4*D4</f>
        <v>82822.743880000009</v>
      </c>
      <c r="F4" s="385">
        <f>E4*20%</f>
        <v>16564.548776000003</v>
      </c>
      <c r="G4" s="385">
        <f>E4+F4</f>
        <v>99387.292656000005</v>
      </c>
      <c r="I4" s="384" t="s">
        <v>417</v>
      </c>
      <c r="J4" s="382">
        <v>3239.95</v>
      </c>
      <c r="K4" s="382">
        <v>82.769000000000005</v>
      </c>
      <c r="L4" s="385">
        <f t="shared" ref="L4:L16" si="0">K4*J4</f>
        <v>268167.42155000003</v>
      </c>
      <c r="M4" s="385">
        <f>L4*20%</f>
        <v>53633.484310000007</v>
      </c>
      <c r="N4" s="385">
        <f>L4+M4</f>
        <v>321800.90586000006</v>
      </c>
      <c r="P4" s="382" t="s">
        <v>417</v>
      </c>
      <c r="Q4" s="450">
        <v>95.2</v>
      </c>
      <c r="R4" s="382">
        <v>205</v>
      </c>
      <c r="S4" s="382"/>
      <c r="T4" s="382"/>
      <c r="U4" s="382"/>
      <c r="V4" s="382">
        <v>5430.46</v>
      </c>
      <c r="W4" s="382">
        <f>X4*20%+V4*20%</f>
        <v>4989.2920000000004</v>
      </c>
      <c r="X4" s="382">
        <f>Q4*R4+S4</f>
        <v>19516</v>
      </c>
      <c r="Y4" s="451">
        <f>W4+X4+V4</f>
        <v>29935.752</v>
      </c>
      <c r="AA4" s="382" t="s">
        <v>417</v>
      </c>
      <c r="AB4" s="382">
        <v>687.86</v>
      </c>
      <c r="AC4" s="382">
        <v>19.184999999999999</v>
      </c>
      <c r="AD4" s="382">
        <f t="shared" ref="AD4:AD10" si="1">AB4*AC4</f>
        <v>13196.5941</v>
      </c>
      <c r="AE4" s="382">
        <f>AD4</f>
        <v>13196.5941</v>
      </c>
    </row>
    <row r="5" spans="2:31" x14ac:dyDescent="0.2">
      <c r="B5" s="384" t="s">
        <v>418</v>
      </c>
      <c r="C5" s="382">
        <v>7.8612799999999998</v>
      </c>
      <c r="D5" s="382">
        <v>10366</v>
      </c>
      <c r="E5" s="385">
        <f t="shared" ref="E5:E16" si="2">C5*D5</f>
        <v>81490.028479999994</v>
      </c>
      <c r="F5" s="385">
        <f t="shared" ref="F5:F16" si="3">E5*20%</f>
        <v>16298.005696</v>
      </c>
      <c r="G5" s="385">
        <f t="shared" ref="G5:G16" si="4">E5+F5</f>
        <v>97788.034175999986</v>
      </c>
      <c r="I5" s="384" t="s">
        <v>418</v>
      </c>
      <c r="J5" s="382">
        <v>3239.95</v>
      </c>
      <c r="K5" s="382">
        <v>67.995999999999995</v>
      </c>
      <c r="L5" s="385">
        <f>K5*J5</f>
        <v>220303.64019999997</v>
      </c>
      <c r="M5" s="385">
        <f t="shared" ref="M5:M16" si="5">L5*20%</f>
        <v>44060.728039999995</v>
      </c>
      <c r="N5" s="385">
        <f t="shared" ref="N5:N16" si="6">L5+M5</f>
        <v>264364.36823999998</v>
      </c>
      <c r="P5" s="382" t="s">
        <v>418</v>
      </c>
      <c r="Q5" s="450">
        <v>95.2</v>
      </c>
      <c r="R5" s="382">
        <v>184</v>
      </c>
      <c r="S5" s="382"/>
      <c r="T5" s="382"/>
      <c r="U5" s="382"/>
      <c r="V5" s="382">
        <f>R5/2*44.15</f>
        <v>4061.7999999999997</v>
      </c>
      <c r="W5" s="382">
        <f>X5*20%+V5*20%</f>
        <v>4315.72</v>
      </c>
      <c r="X5" s="382">
        <f t="shared" ref="X5:X6" si="7">Q5*R5+S5</f>
        <v>17516.8</v>
      </c>
      <c r="Y5" s="451">
        <f t="shared" ref="Y5" si="8">W5+X5+V5</f>
        <v>25894.32</v>
      </c>
      <c r="AA5" s="382" t="s">
        <v>418</v>
      </c>
      <c r="AB5" s="382">
        <v>687.86</v>
      </c>
      <c r="AC5" s="382">
        <v>19.184999999999999</v>
      </c>
      <c r="AD5" s="382">
        <f t="shared" si="1"/>
        <v>13196.5941</v>
      </c>
      <c r="AE5" s="382">
        <f t="shared" ref="AE5:AE16" si="9">AD5</f>
        <v>13196.5941</v>
      </c>
    </row>
    <row r="6" spans="2:31" x14ac:dyDescent="0.2">
      <c r="B6" s="384" t="s">
        <v>419</v>
      </c>
      <c r="C6" s="382">
        <v>7.2900099999999997</v>
      </c>
      <c r="D6" s="382">
        <v>11149</v>
      </c>
      <c r="E6" s="385">
        <f t="shared" si="2"/>
        <v>81276.321490000002</v>
      </c>
      <c r="F6" s="385">
        <f t="shared" si="3"/>
        <v>16255.264298000002</v>
      </c>
      <c r="G6" s="385">
        <f t="shared" si="4"/>
        <v>97531.585787999997</v>
      </c>
      <c r="I6" s="384" t="s">
        <v>419</v>
      </c>
      <c r="J6" s="382">
        <v>3361.52</v>
      </c>
      <c r="K6" s="382">
        <v>49.688000000000002</v>
      </c>
      <c r="L6" s="385">
        <f t="shared" si="0"/>
        <v>167027.20576000001</v>
      </c>
      <c r="M6" s="385">
        <f t="shared" si="5"/>
        <v>33405.441152000007</v>
      </c>
      <c r="N6" s="385">
        <f t="shared" si="6"/>
        <v>200432.64691200003</v>
      </c>
      <c r="P6" s="382" t="s">
        <v>419</v>
      </c>
      <c r="Q6" s="450">
        <v>95.2</v>
      </c>
      <c r="R6" s="382">
        <v>309</v>
      </c>
      <c r="S6" s="382"/>
      <c r="T6" s="382"/>
      <c r="U6" s="382"/>
      <c r="V6" s="382">
        <f>R6/2*44.15</f>
        <v>6821.1750000000002</v>
      </c>
      <c r="W6" s="382">
        <f>X6*20%+V6*20%</f>
        <v>7247.5950000000012</v>
      </c>
      <c r="X6" s="382">
        <f t="shared" si="7"/>
        <v>29416.799999999999</v>
      </c>
      <c r="Y6" s="451">
        <f>W6+X6+V6</f>
        <v>43485.570000000007</v>
      </c>
      <c r="AA6" s="382" t="s">
        <v>419</v>
      </c>
      <c r="AB6" s="382">
        <v>687.86</v>
      </c>
      <c r="AC6" s="382"/>
      <c r="AD6" s="382">
        <f t="shared" si="1"/>
        <v>0</v>
      </c>
      <c r="AE6" s="382">
        <f t="shared" si="9"/>
        <v>0</v>
      </c>
    </row>
    <row r="7" spans="2:31" x14ac:dyDescent="0.2">
      <c r="B7" s="384" t="s">
        <v>420</v>
      </c>
      <c r="C7" s="382">
        <v>7.4161000000000001</v>
      </c>
      <c r="D7" s="382">
        <v>10744</v>
      </c>
      <c r="E7" s="385">
        <f t="shared" si="2"/>
        <v>79678.578399999999</v>
      </c>
      <c r="F7" s="385">
        <f t="shared" si="3"/>
        <v>15935.715680000001</v>
      </c>
      <c r="G7" s="385">
        <f t="shared" si="4"/>
        <v>95614.294079999992</v>
      </c>
      <c r="I7" s="384" t="s">
        <v>420</v>
      </c>
      <c r="J7" s="382">
        <v>3239.95</v>
      </c>
      <c r="K7" s="382">
        <v>46.795999999999999</v>
      </c>
      <c r="L7" s="385">
        <f t="shared" si="0"/>
        <v>151616.70019999999</v>
      </c>
      <c r="M7" s="385">
        <f t="shared" si="5"/>
        <v>30323.340039999999</v>
      </c>
      <c r="N7" s="385">
        <f t="shared" si="6"/>
        <v>181940.04024</v>
      </c>
      <c r="P7" s="382" t="s">
        <v>420</v>
      </c>
      <c r="Q7" s="450">
        <v>95.2</v>
      </c>
      <c r="R7" s="382">
        <v>303</v>
      </c>
      <c r="S7" s="382"/>
      <c r="T7" s="382">
        <v>100</v>
      </c>
      <c r="U7" s="385">
        <f>T7*44.15</f>
        <v>4415</v>
      </c>
      <c r="V7" s="382">
        <f>R7/2*44.15</f>
        <v>6688.7249999999995</v>
      </c>
      <c r="W7" s="382">
        <f>X7*20%+V7*20%+U7*20%</f>
        <v>7989.8650000000007</v>
      </c>
      <c r="X7" s="382">
        <f>Q7*R7+S7</f>
        <v>28845.600000000002</v>
      </c>
      <c r="Y7" s="451">
        <f>W7+X7+V7+U7</f>
        <v>47939.19</v>
      </c>
      <c r="AA7" s="382" t="s">
        <v>420</v>
      </c>
      <c r="AB7" s="382">
        <v>687.86</v>
      </c>
      <c r="AC7" s="382">
        <v>19.184999999999999</v>
      </c>
      <c r="AD7" s="382">
        <f t="shared" si="1"/>
        <v>13196.5941</v>
      </c>
      <c r="AE7" s="382">
        <f t="shared" si="9"/>
        <v>13196.5941</v>
      </c>
    </row>
    <row r="8" spans="2:31" x14ac:dyDescent="0.2">
      <c r="B8" s="384" t="s">
        <v>421</v>
      </c>
      <c r="C8" s="382">
        <v>6.9296800000000003</v>
      </c>
      <c r="D8" s="382">
        <v>10177</v>
      </c>
      <c r="E8" s="385">
        <f t="shared" si="2"/>
        <v>70523.353360000008</v>
      </c>
      <c r="F8" s="385">
        <f t="shared" si="3"/>
        <v>14104.670672000002</v>
      </c>
      <c r="G8" s="385">
        <f t="shared" si="4"/>
        <v>84628.024032000016</v>
      </c>
      <c r="I8" s="384" t="s">
        <v>421</v>
      </c>
      <c r="J8" s="382">
        <v>3361.52</v>
      </c>
      <c r="K8" s="382"/>
      <c r="L8" s="385">
        <f t="shared" si="0"/>
        <v>0</v>
      </c>
      <c r="M8" s="385">
        <f t="shared" si="5"/>
        <v>0</v>
      </c>
      <c r="N8" s="385">
        <f t="shared" si="6"/>
        <v>0</v>
      </c>
      <c r="P8" s="382" t="s">
        <v>421</v>
      </c>
      <c r="Q8" s="450">
        <v>95.2</v>
      </c>
      <c r="R8" s="382">
        <v>279</v>
      </c>
      <c r="S8" s="382"/>
      <c r="T8" s="382">
        <v>108</v>
      </c>
      <c r="U8" s="385">
        <f t="shared" ref="U8:U16" si="10">T8*44.15</f>
        <v>4768.2</v>
      </c>
      <c r="V8" s="382">
        <f t="shared" ref="V8:V16" si="11">R8/2*44.15</f>
        <v>6158.9250000000002</v>
      </c>
      <c r="W8" s="382">
        <f t="shared" ref="W8:W16" si="12">X8*20%+V8*20%+U8*20%</f>
        <v>7497.585</v>
      </c>
      <c r="X8" s="382">
        <f t="shared" ref="X8:X16" si="13">Q8*R8+S8</f>
        <v>26560.799999999999</v>
      </c>
      <c r="Y8" s="451">
        <f t="shared" ref="Y8:Y16" si="14">W8+X8+V8+U8</f>
        <v>44985.51</v>
      </c>
      <c r="AA8" s="382" t="s">
        <v>421</v>
      </c>
      <c r="AB8" s="382">
        <v>687.86</v>
      </c>
      <c r="AC8" s="382">
        <v>19.184999999999999</v>
      </c>
      <c r="AD8" s="382">
        <f t="shared" si="1"/>
        <v>13196.5941</v>
      </c>
      <c r="AE8" s="382">
        <f t="shared" si="9"/>
        <v>13196.5941</v>
      </c>
    </row>
    <row r="9" spans="2:31" x14ac:dyDescent="0.2">
      <c r="B9" s="384" t="s">
        <v>422</v>
      </c>
      <c r="C9" s="382"/>
      <c r="D9" s="382"/>
      <c r="E9" s="385">
        <f t="shared" si="2"/>
        <v>0</v>
      </c>
      <c r="F9" s="385">
        <f t="shared" si="3"/>
        <v>0</v>
      </c>
      <c r="G9" s="385">
        <f t="shared" si="4"/>
        <v>0</v>
      </c>
      <c r="I9" s="384" t="s">
        <v>422</v>
      </c>
      <c r="J9" s="382">
        <v>3361.52</v>
      </c>
      <c r="K9" s="382"/>
      <c r="L9" s="385">
        <f t="shared" si="0"/>
        <v>0</v>
      </c>
      <c r="M9" s="385">
        <f t="shared" si="5"/>
        <v>0</v>
      </c>
      <c r="N9" s="385">
        <f t="shared" si="6"/>
        <v>0</v>
      </c>
      <c r="P9" s="382" t="s">
        <v>422</v>
      </c>
      <c r="Q9" s="450">
        <v>95.2</v>
      </c>
      <c r="R9" s="382">
        <v>237</v>
      </c>
      <c r="S9" s="449"/>
      <c r="T9" s="382">
        <v>68</v>
      </c>
      <c r="U9" s="385">
        <f t="shared" si="10"/>
        <v>3002.2</v>
      </c>
      <c r="V9" s="382">
        <f t="shared" si="11"/>
        <v>5231.7749999999996</v>
      </c>
      <c r="W9" s="382">
        <f>X9*20%+V9*20%+U9*20%</f>
        <v>6159.2750000000005</v>
      </c>
      <c r="X9" s="382">
        <f>Q9*R9+S9</f>
        <v>22562.400000000001</v>
      </c>
      <c r="Y9" s="451">
        <f>W9+X9+V9+U9</f>
        <v>36955.65</v>
      </c>
      <c r="AA9" s="382" t="s">
        <v>422</v>
      </c>
      <c r="AB9" s="382">
        <v>687.86</v>
      </c>
      <c r="AC9" s="382"/>
      <c r="AD9" s="382">
        <f t="shared" si="1"/>
        <v>0</v>
      </c>
      <c r="AE9" s="382">
        <f t="shared" si="9"/>
        <v>0</v>
      </c>
    </row>
    <row r="10" spans="2:31" x14ac:dyDescent="0.2">
      <c r="B10" s="384" t="s">
        <v>423</v>
      </c>
      <c r="C10" s="382"/>
      <c r="D10" s="382"/>
      <c r="E10" s="385">
        <f t="shared" si="2"/>
        <v>0</v>
      </c>
      <c r="F10" s="385">
        <f t="shared" si="3"/>
        <v>0</v>
      </c>
      <c r="G10" s="385">
        <f t="shared" si="4"/>
        <v>0</v>
      </c>
      <c r="I10" s="384" t="s">
        <v>423</v>
      </c>
      <c r="J10" s="382">
        <v>3361.52</v>
      </c>
      <c r="K10" s="382"/>
      <c r="L10" s="385">
        <f t="shared" si="0"/>
        <v>0</v>
      </c>
      <c r="M10" s="385">
        <f t="shared" si="5"/>
        <v>0</v>
      </c>
      <c r="N10" s="385">
        <f t="shared" si="6"/>
        <v>0</v>
      </c>
      <c r="P10" s="382" t="s">
        <v>423</v>
      </c>
      <c r="Q10" s="450">
        <f>54.83+47.89</f>
        <v>102.72</v>
      </c>
      <c r="R10" s="382">
        <v>224</v>
      </c>
      <c r="S10" s="382"/>
      <c r="T10" s="382">
        <v>38</v>
      </c>
      <c r="U10" s="385">
        <f>T10*47.89</f>
        <v>1819.82</v>
      </c>
      <c r="V10" s="382">
        <f>R10/2*47.89</f>
        <v>5363.68</v>
      </c>
      <c r="W10" s="382">
        <f t="shared" si="12"/>
        <v>6038.5559999999996</v>
      </c>
      <c r="X10" s="382">
        <f t="shared" si="13"/>
        <v>23009.279999999999</v>
      </c>
      <c r="Y10" s="451">
        <f>W10+X10+V10+U10</f>
        <v>36231.336000000003</v>
      </c>
      <c r="AA10" s="382" t="s">
        <v>423</v>
      </c>
      <c r="AB10" s="382">
        <v>687.86</v>
      </c>
      <c r="AC10" s="382"/>
      <c r="AD10" s="382">
        <f t="shared" si="1"/>
        <v>0</v>
      </c>
      <c r="AE10" s="382">
        <f t="shared" si="9"/>
        <v>0</v>
      </c>
    </row>
    <row r="11" spans="2:31" x14ac:dyDescent="0.2">
      <c r="B11" s="384" t="s">
        <v>424</v>
      </c>
      <c r="C11" s="382"/>
      <c r="D11" s="382"/>
      <c r="E11" s="385">
        <f t="shared" si="2"/>
        <v>0</v>
      </c>
      <c r="F11" s="385">
        <f t="shared" si="3"/>
        <v>0</v>
      </c>
      <c r="G11" s="385">
        <f>E11+F11</f>
        <v>0</v>
      </c>
      <c r="I11" s="384" t="s">
        <v>424</v>
      </c>
      <c r="J11" s="382">
        <v>3361.52</v>
      </c>
      <c r="K11" s="382"/>
      <c r="L11" s="385">
        <f t="shared" si="0"/>
        <v>0</v>
      </c>
      <c r="M11" s="385">
        <f t="shared" si="5"/>
        <v>0</v>
      </c>
      <c r="N11" s="385">
        <f t="shared" si="6"/>
        <v>0</v>
      </c>
      <c r="P11" s="382" t="s">
        <v>424</v>
      </c>
      <c r="Q11" s="450">
        <v>95.2</v>
      </c>
      <c r="R11" s="382"/>
      <c r="S11" s="382"/>
      <c r="T11" s="382"/>
      <c r="U11" s="385">
        <f t="shared" si="10"/>
        <v>0</v>
      </c>
      <c r="V11" s="382">
        <f t="shared" si="11"/>
        <v>0</v>
      </c>
      <c r="W11" s="382">
        <f t="shared" si="12"/>
        <v>0</v>
      </c>
      <c r="X11" s="382">
        <f t="shared" si="13"/>
        <v>0</v>
      </c>
      <c r="Y11" s="451">
        <f t="shared" si="14"/>
        <v>0</v>
      </c>
      <c r="AA11" s="382" t="s">
        <v>424</v>
      </c>
      <c r="AB11" s="382">
        <v>687.86</v>
      </c>
      <c r="AC11" s="382"/>
      <c r="AD11" s="382">
        <f t="shared" ref="AD11:AD16" si="15">AB11*AC11</f>
        <v>0</v>
      </c>
      <c r="AE11" s="382">
        <f t="shared" si="9"/>
        <v>0</v>
      </c>
    </row>
    <row r="12" spans="2:31" x14ac:dyDescent="0.2">
      <c r="B12" s="384" t="s">
        <v>425</v>
      </c>
      <c r="C12" s="382"/>
      <c r="D12" s="382"/>
      <c r="E12" s="385">
        <f t="shared" si="2"/>
        <v>0</v>
      </c>
      <c r="F12" s="385">
        <f t="shared" si="3"/>
        <v>0</v>
      </c>
      <c r="G12" s="385">
        <f t="shared" si="4"/>
        <v>0</v>
      </c>
      <c r="I12" s="384" t="s">
        <v>425</v>
      </c>
      <c r="J12" s="382">
        <v>3361.52</v>
      </c>
      <c r="K12" s="382"/>
      <c r="L12" s="385">
        <f t="shared" si="0"/>
        <v>0</v>
      </c>
      <c r="M12" s="385">
        <f t="shared" si="5"/>
        <v>0</v>
      </c>
      <c r="N12" s="385">
        <f t="shared" si="6"/>
        <v>0</v>
      </c>
      <c r="P12" s="382" t="s">
        <v>425</v>
      </c>
      <c r="Q12" s="450">
        <v>95.2</v>
      </c>
      <c r="R12" s="382"/>
      <c r="S12" s="382"/>
      <c r="T12" s="382"/>
      <c r="U12" s="385">
        <f t="shared" si="10"/>
        <v>0</v>
      </c>
      <c r="V12" s="382">
        <f t="shared" si="11"/>
        <v>0</v>
      </c>
      <c r="W12" s="382">
        <f t="shared" si="12"/>
        <v>0</v>
      </c>
      <c r="X12" s="382">
        <f t="shared" si="13"/>
        <v>0</v>
      </c>
      <c r="Y12" s="451">
        <f t="shared" si="14"/>
        <v>0</v>
      </c>
      <c r="AA12" s="382" t="s">
        <v>425</v>
      </c>
      <c r="AB12" s="382">
        <v>687.86</v>
      </c>
      <c r="AC12" s="382"/>
      <c r="AD12" s="382">
        <f t="shared" si="15"/>
        <v>0</v>
      </c>
      <c r="AE12" s="382">
        <f t="shared" si="9"/>
        <v>0</v>
      </c>
    </row>
    <row r="13" spans="2:31" x14ac:dyDescent="0.2">
      <c r="B13" s="384" t="s">
        <v>426</v>
      </c>
      <c r="C13" s="382"/>
      <c r="D13" s="382"/>
      <c r="E13" s="385">
        <f t="shared" si="2"/>
        <v>0</v>
      </c>
      <c r="F13" s="385">
        <f t="shared" si="3"/>
        <v>0</v>
      </c>
      <c r="G13" s="385">
        <f t="shared" si="4"/>
        <v>0</v>
      </c>
      <c r="I13" s="384" t="s">
        <v>426</v>
      </c>
      <c r="J13" s="382">
        <v>3361.52</v>
      </c>
      <c r="K13" s="382"/>
      <c r="L13" s="385">
        <f t="shared" si="0"/>
        <v>0</v>
      </c>
      <c r="M13" s="385">
        <f t="shared" si="5"/>
        <v>0</v>
      </c>
      <c r="N13" s="385">
        <f t="shared" si="6"/>
        <v>0</v>
      </c>
      <c r="P13" s="382" t="s">
        <v>426</v>
      </c>
      <c r="Q13" s="450">
        <v>95.2</v>
      </c>
      <c r="R13" s="382"/>
      <c r="S13" s="382"/>
      <c r="T13" s="382"/>
      <c r="U13" s="385">
        <f t="shared" si="10"/>
        <v>0</v>
      </c>
      <c r="V13" s="382">
        <f t="shared" si="11"/>
        <v>0</v>
      </c>
      <c r="W13" s="382">
        <f t="shared" si="12"/>
        <v>0</v>
      </c>
      <c r="X13" s="382">
        <f t="shared" si="13"/>
        <v>0</v>
      </c>
      <c r="Y13" s="451">
        <f t="shared" si="14"/>
        <v>0</v>
      </c>
      <c r="AA13" s="382" t="s">
        <v>426</v>
      </c>
      <c r="AB13" s="382">
        <v>687.86</v>
      </c>
      <c r="AC13" s="382"/>
      <c r="AD13" s="382">
        <f t="shared" si="15"/>
        <v>0</v>
      </c>
      <c r="AE13" s="382">
        <f t="shared" si="9"/>
        <v>0</v>
      </c>
    </row>
    <row r="14" spans="2:31" x14ac:dyDescent="0.2">
      <c r="B14" s="384" t="s">
        <v>427</v>
      </c>
      <c r="C14" s="382"/>
      <c r="D14" s="382"/>
      <c r="E14" s="385">
        <f t="shared" si="2"/>
        <v>0</v>
      </c>
      <c r="F14" s="385">
        <f t="shared" si="3"/>
        <v>0</v>
      </c>
      <c r="G14" s="385">
        <f t="shared" si="4"/>
        <v>0</v>
      </c>
      <c r="I14" s="384" t="s">
        <v>427</v>
      </c>
      <c r="J14" s="382">
        <v>3361.52</v>
      </c>
      <c r="K14" s="382"/>
      <c r="L14" s="385">
        <f t="shared" si="0"/>
        <v>0</v>
      </c>
      <c r="M14" s="385">
        <f t="shared" si="5"/>
        <v>0</v>
      </c>
      <c r="N14" s="385">
        <f t="shared" si="6"/>
        <v>0</v>
      </c>
      <c r="P14" s="382" t="s">
        <v>427</v>
      </c>
      <c r="Q14" s="450">
        <v>95.2</v>
      </c>
      <c r="R14" s="382"/>
      <c r="S14" s="382"/>
      <c r="T14" s="382"/>
      <c r="U14" s="385">
        <f t="shared" si="10"/>
        <v>0</v>
      </c>
      <c r="V14" s="382">
        <f t="shared" si="11"/>
        <v>0</v>
      </c>
      <c r="W14" s="382">
        <f t="shared" si="12"/>
        <v>0</v>
      </c>
      <c r="X14" s="382">
        <f t="shared" si="13"/>
        <v>0</v>
      </c>
      <c r="Y14" s="451">
        <f t="shared" si="14"/>
        <v>0</v>
      </c>
      <c r="AA14" s="382" t="s">
        <v>427</v>
      </c>
      <c r="AB14" s="382">
        <v>687.86</v>
      </c>
      <c r="AC14" s="382"/>
      <c r="AD14" s="382">
        <f t="shared" si="15"/>
        <v>0</v>
      </c>
      <c r="AE14" s="382">
        <f t="shared" si="9"/>
        <v>0</v>
      </c>
    </row>
    <row r="15" spans="2:31" x14ac:dyDescent="0.2">
      <c r="B15" s="384" t="s">
        <v>428</v>
      </c>
      <c r="C15" s="382"/>
      <c r="D15" s="382"/>
      <c r="E15" s="385">
        <f t="shared" si="2"/>
        <v>0</v>
      </c>
      <c r="F15" s="385">
        <f t="shared" si="3"/>
        <v>0</v>
      </c>
      <c r="G15" s="385">
        <f t="shared" si="4"/>
        <v>0</v>
      </c>
      <c r="I15" s="384" t="s">
        <v>429</v>
      </c>
      <c r="J15" s="382">
        <v>3361.52</v>
      </c>
      <c r="K15" s="382"/>
      <c r="L15" s="385">
        <f t="shared" si="0"/>
        <v>0</v>
      </c>
      <c r="M15" s="385">
        <f t="shared" si="5"/>
        <v>0</v>
      </c>
      <c r="N15" s="385">
        <f t="shared" si="6"/>
        <v>0</v>
      </c>
      <c r="P15" s="382" t="s">
        <v>429</v>
      </c>
      <c r="Q15" s="450">
        <v>95.2</v>
      </c>
      <c r="R15" s="382"/>
      <c r="S15" s="382"/>
      <c r="T15" s="382"/>
      <c r="U15" s="385">
        <f t="shared" si="10"/>
        <v>0</v>
      </c>
      <c r="V15" s="382">
        <f t="shared" si="11"/>
        <v>0</v>
      </c>
      <c r="W15" s="382">
        <f t="shared" si="12"/>
        <v>0</v>
      </c>
      <c r="X15" s="382">
        <f t="shared" si="13"/>
        <v>0</v>
      </c>
      <c r="Y15" s="451">
        <f t="shared" si="14"/>
        <v>0</v>
      </c>
      <c r="AA15" s="382" t="s">
        <v>429</v>
      </c>
      <c r="AB15" s="382">
        <v>687.86</v>
      </c>
      <c r="AC15" s="382"/>
      <c r="AD15" s="382">
        <f t="shared" si="15"/>
        <v>0</v>
      </c>
      <c r="AE15" s="382">
        <f t="shared" si="9"/>
        <v>0</v>
      </c>
    </row>
    <row r="16" spans="2:31" x14ac:dyDescent="0.2">
      <c r="B16" s="384" t="s">
        <v>430</v>
      </c>
      <c r="C16" s="382"/>
      <c r="D16" s="382"/>
      <c r="E16" s="385">
        <f t="shared" si="2"/>
        <v>0</v>
      </c>
      <c r="F16" s="385">
        <f t="shared" si="3"/>
        <v>0</v>
      </c>
      <c r="G16" s="385">
        <f t="shared" si="4"/>
        <v>0</v>
      </c>
      <c r="I16" s="384" t="s">
        <v>429</v>
      </c>
      <c r="J16" s="382">
        <v>3361.52</v>
      </c>
      <c r="K16" s="382"/>
      <c r="L16" s="385">
        <f t="shared" si="0"/>
        <v>0</v>
      </c>
      <c r="M16" s="385">
        <f t="shared" si="5"/>
        <v>0</v>
      </c>
      <c r="N16" s="385">
        <f t="shared" si="6"/>
        <v>0</v>
      </c>
      <c r="P16" s="382" t="s">
        <v>429</v>
      </c>
      <c r="Q16" s="450">
        <v>95.2</v>
      </c>
      <c r="R16" s="382"/>
      <c r="S16" s="382"/>
      <c r="T16" s="382"/>
      <c r="U16" s="385">
        <f t="shared" si="10"/>
        <v>0</v>
      </c>
      <c r="V16" s="382">
        <f t="shared" si="11"/>
        <v>0</v>
      </c>
      <c r="W16" s="382">
        <f t="shared" si="12"/>
        <v>0</v>
      </c>
      <c r="X16" s="382">
        <f t="shared" si="13"/>
        <v>0</v>
      </c>
      <c r="Y16" s="451">
        <f t="shared" si="14"/>
        <v>0</v>
      </c>
      <c r="AA16" s="382" t="s">
        <v>429</v>
      </c>
      <c r="AB16" s="382"/>
      <c r="AC16" s="382"/>
      <c r="AD16" s="382">
        <f t="shared" si="15"/>
        <v>0</v>
      </c>
      <c r="AE16" s="382">
        <f t="shared" si="9"/>
        <v>0</v>
      </c>
    </row>
    <row r="17" spans="7:31" x14ac:dyDescent="0.2">
      <c r="G17" s="386">
        <f>SUM(G4:G16)</f>
        <v>474949.23073199997</v>
      </c>
      <c r="N17" s="386">
        <f>SUM(N4:N16)</f>
        <v>968537.96125200007</v>
      </c>
      <c r="Q17" s="453"/>
      <c r="S17" s="379">
        <f>SUM(S4:S14)</f>
        <v>0</v>
      </c>
      <c r="V17" s="379">
        <v>36.79</v>
      </c>
      <c r="Y17" s="452">
        <f>SUM(Y4:Y16)</f>
        <v>265427.32799999998</v>
      </c>
      <c r="AE17" s="386">
        <f>SUM(AE4:AE16)</f>
        <v>52786.376400000001</v>
      </c>
    </row>
    <row r="18" spans="7:31" x14ac:dyDescent="0.2">
      <c r="G18" s="387"/>
      <c r="H18" s="387"/>
      <c r="V18" s="379">
        <f>SUM(V4:V11)</f>
        <v>39756.54</v>
      </c>
    </row>
    <row r="19" spans="7:31" x14ac:dyDescent="0.2">
      <c r="G19" s="387"/>
    </row>
  </sheetData>
  <pageMargins left="0.7" right="0.7" top="0.75" bottom="0.75" header="0.3" footer="0.3"/>
  <pageSetup paperSize="9" orientation="portrait" verticalDpi="0" r:id="rId1"/>
  <ignoredErrors>
    <ignoredError sqref="U10:V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 </vt:lpstr>
      <vt:lpstr>смета</vt:lpstr>
      <vt:lpstr>коммуналка</vt:lpstr>
      <vt:lpstr>Лист1!Область_печати</vt:lpstr>
      <vt:lpstr>Лист2!Область_печати</vt:lpstr>
      <vt:lpstr>Лист3!Область_печати</vt:lpstr>
      <vt:lpstr>Лист4!Область_печати</vt:lpstr>
      <vt:lpstr>'Лист5 '!Область_печати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aleksey galkin</dc:creator>
  <cp:lastModifiedBy>Андрей</cp:lastModifiedBy>
  <cp:lastPrinted>2025-08-06T08:49:15Z</cp:lastPrinted>
  <dcterms:created xsi:type="dcterms:W3CDTF">2004-09-19T06:34:55Z</dcterms:created>
  <dcterms:modified xsi:type="dcterms:W3CDTF">2025-08-08T05:58:42Z</dcterms:modified>
</cp:coreProperties>
</file>