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24\бухгалтерия\экономисты\2026\ШКОЛЫ\Школа № 1\Расчеты\"/>
    </mc:Choice>
  </mc:AlternateContent>
  <bookViews>
    <workbookView xWindow="0" yWindow="0" windowWidth="24000" windowHeight="12900" activeTab="3"/>
  </bookViews>
  <sheets>
    <sheet name="Лист1" sheetId="1" r:id="rId1"/>
    <sheet name="Лист2" sheetId="9" r:id="rId2"/>
    <sheet name="Лист3" sheetId="10" r:id="rId3"/>
    <sheet name="Лист4" sheetId="11" r:id="rId4"/>
    <sheet name="Лист5" sheetId="12" r:id="rId5"/>
    <sheet name="Коммуналка" sheetId="13" r:id="rId6"/>
    <sheet name="Обязательные платежи" sheetId="14" r:id="rId7"/>
  </sheets>
  <definedNames>
    <definedName name="_xlnm._FilterDatabase" localSheetId="6" hidden="1">'Обязательные платежи'!$B$3:$S$3</definedName>
    <definedName name="_xlnm.Print_Area" localSheetId="5">Коммуналка!$A$1:$Y$39</definedName>
    <definedName name="_xlnm.Print_Area" localSheetId="0">Лист1!$A$1:$EA$44</definedName>
    <definedName name="_xlnm.Print_Area" localSheetId="1">Лист2!$A$1:$F$69</definedName>
    <definedName name="_xlnm.Print_Area" localSheetId="2">Лист3!$A$1:$E$108</definedName>
    <definedName name="_xlnm.Print_Area" localSheetId="3">Лист4!$A$1:$F$91</definedName>
    <definedName name="_xlnm.Print_Area" localSheetId="4">Лист5!$A$1:$E$86</definedName>
  </definedNames>
  <calcPr calcId="162913"/>
</workbook>
</file>

<file path=xl/calcChain.xml><?xml version="1.0" encoding="utf-8"?>
<calcChain xmlns="http://schemas.openxmlformats.org/spreadsheetml/2006/main">
  <c r="G76" i="11" l="1"/>
  <c r="H10" i="11" l="1"/>
  <c r="I5" i="14"/>
  <c r="N7" i="13"/>
  <c r="H27" i="11"/>
  <c r="F66" i="10" l="1"/>
  <c r="F65" i="10"/>
  <c r="F64" i="10"/>
  <c r="G63" i="11" l="1"/>
  <c r="G64" i="11"/>
  <c r="G62" i="11"/>
  <c r="G8" i="10" l="1"/>
  <c r="F8" i="10"/>
  <c r="G7" i="10"/>
  <c r="F7" i="10"/>
  <c r="H70" i="11" l="1"/>
  <c r="E92" i="10" l="1"/>
  <c r="E78" i="10"/>
  <c r="E76" i="12" l="1"/>
  <c r="E93" i="10"/>
  <c r="E88" i="10"/>
  <c r="F16" i="14" l="1"/>
  <c r="S16" i="14" s="1"/>
  <c r="G83" i="10"/>
  <c r="H11" i="11"/>
  <c r="G11" i="11"/>
  <c r="H9" i="11"/>
  <c r="G9" i="11"/>
  <c r="H20" i="11" l="1"/>
  <c r="X7" i="13" l="1"/>
  <c r="W7" i="13"/>
  <c r="Z7" i="13"/>
  <c r="Y7" i="13"/>
  <c r="X6" i="13"/>
  <c r="G39" i="11"/>
  <c r="K11" i="11"/>
  <c r="H14" i="14"/>
  <c r="I14" i="14"/>
  <c r="H69" i="11"/>
  <c r="G69" i="11"/>
  <c r="F70" i="11" l="1"/>
  <c r="H73" i="11" l="1"/>
  <c r="H39" i="11" l="1"/>
  <c r="F20" i="14"/>
  <c r="S20" i="14" s="1"/>
  <c r="F19" i="14"/>
  <c r="S19" i="14" s="1"/>
  <c r="H43" i="11"/>
  <c r="H64" i="11" l="1"/>
  <c r="H63" i="11"/>
  <c r="H62" i="11"/>
  <c r="G66" i="10"/>
  <c r="G65" i="10"/>
  <c r="G64" i="10"/>
  <c r="H67" i="11" l="1"/>
  <c r="J37" i="11" l="1"/>
  <c r="I37" i="11"/>
  <c r="F10" i="11"/>
  <c r="H49" i="11" l="1"/>
  <c r="H45" i="11" l="1"/>
  <c r="H46" i="11"/>
  <c r="H47" i="11"/>
  <c r="H48" i="11"/>
  <c r="H5" i="14"/>
  <c r="J61" i="11" l="1"/>
  <c r="I61" i="11"/>
  <c r="F27" i="11"/>
  <c r="E6" i="12" l="1"/>
  <c r="K9" i="11"/>
  <c r="F12" i="14" l="1"/>
  <c r="S12" i="14" s="1"/>
  <c r="H72" i="11"/>
  <c r="W6" i="13"/>
  <c r="Q6" i="13"/>
  <c r="Q7" i="13"/>
  <c r="Q8" i="13"/>
  <c r="Q9" i="13"/>
  <c r="Q10" i="13"/>
  <c r="Q11" i="13"/>
  <c r="Q12" i="13"/>
  <c r="Q13" i="13"/>
  <c r="Q14" i="13"/>
  <c r="Q15" i="13"/>
  <c r="Q16" i="13"/>
  <c r="H6" i="14"/>
  <c r="E56" i="12"/>
  <c r="F59" i="11"/>
  <c r="I58" i="11" l="1"/>
  <c r="I59" i="11"/>
  <c r="I60" i="11"/>
  <c r="I72" i="11"/>
  <c r="I62" i="11"/>
  <c r="I63" i="11"/>
  <c r="I64" i="11"/>
  <c r="G14" i="14" l="1"/>
  <c r="F43" i="11" l="1"/>
  <c r="F34" i="11"/>
  <c r="F48" i="11"/>
  <c r="F17" i="14"/>
  <c r="S17" i="14" s="1"/>
  <c r="H65" i="11" l="1"/>
  <c r="G65" i="11"/>
  <c r="F22" i="14"/>
  <c r="S22" i="14" s="1"/>
  <c r="E5" i="12"/>
  <c r="F39" i="11" l="1"/>
  <c r="F41" i="11"/>
  <c r="F58" i="11" l="1"/>
  <c r="F67" i="11"/>
  <c r="I39" i="12" l="1"/>
  <c r="I40" i="12"/>
  <c r="I42" i="12" s="1"/>
  <c r="G42" i="12"/>
  <c r="F42" i="12"/>
  <c r="J58" i="11"/>
  <c r="J59" i="11"/>
  <c r="J60" i="11"/>
  <c r="J72" i="11"/>
  <c r="J62" i="11"/>
  <c r="J63" i="11"/>
  <c r="J64" i="11"/>
  <c r="J65" i="11"/>
  <c r="J66" i="11"/>
  <c r="J67" i="11"/>
  <c r="E42" i="12"/>
  <c r="G38" i="12"/>
  <c r="G41" i="12" s="1"/>
  <c r="F38" i="12"/>
  <c r="F41" i="12" s="1"/>
  <c r="E10" i="12" l="1"/>
  <c r="E9" i="12"/>
  <c r="E38" i="12" l="1"/>
  <c r="E41" i="12" s="1"/>
  <c r="F49" i="11"/>
  <c r="J68" i="11"/>
  <c r="J69" i="11"/>
  <c r="J70" i="11"/>
  <c r="J71" i="11"/>
  <c r="J73" i="11"/>
  <c r="J74" i="11"/>
  <c r="H69" i="12" l="1"/>
  <c r="H68" i="12"/>
  <c r="H67" i="12"/>
  <c r="H66" i="12"/>
  <c r="H65" i="12"/>
  <c r="H57" i="12"/>
  <c r="H56" i="12"/>
  <c r="H55" i="12"/>
  <c r="H48" i="12"/>
  <c r="H47" i="12"/>
  <c r="H40" i="12"/>
  <c r="H42" i="12" s="1"/>
  <c r="H38" i="12"/>
  <c r="H41" i="12" s="1"/>
  <c r="H32" i="12"/>
  <c r="H31" i="12"/>
  <c r="H30" i="12"/>
  <c r="H24" i="12"/>
  <c r="H23" i="12"/>
  <c r="H17" i="12"/>
  <c r="H16" i="12"/>
  <c r="H6" i="12"/>
  <c r="H7" i="12"/>
  <c r="H8" i="12"/>
  <c r="H5" i="12"/>
  <c r="I83" i="11"/>
  <c r="H92" i="10"/>
  <c r="H87" i="10"/>
  <c r="H86" i="10"/>
  <c r="H85" i="10"/>
  <c r="H84" i="10"/>
  <c r="H83" i="10"/>
  <c r="H82" i="10"/>
  <c r="H81" i="10"/>
  <c r="H80" i="10"/>
  <c r="H79" i="10"/>
  <c r="H78" i="10"/>
  <c r="H68" i="10"/>
  <c r="H67" i="10"/>
  <c r="H66" i="10"/>
  <c r="H65" i="10"/>
  <c r="H64" i="10"/>
  <c r="H54" i="10"/>
  <c r="H53" i="10"/>
  <c r="H32" i="10"/>
  <c r="H31" i="10"/>
  <c r="H30" i="10"/>
  <c r="H29" i="10"/>
  <c r="H20" i="10"/>
  <c r="H19" i="10"/>
  <c r="H18" i="10"/>
  <c r="H8" i="10"/>
  <c r="H9" i="10"/>
  <c r="H7" i="10"/>
  <c r="I38" i="9"/>
  <c r="I37" i="9"/>
  <c r="I36" i="9"/>
  <c r="I35" i="9"/>
  <c r="I34" i="9"/>
  <c r="I33" i="9"/>
  <c r="I32" i="9"/>
  <c r="I31" i="9"/>
  <c r="I30" i="9"/>
  <c r="I29" i="9"/>
  <c r="I20" i="9"/>
  <c r="I19" i="9"/>
  <c r="I10" i="9"/>
  <c r="I9" i="9"/>
  <c r="I8" i="9"/>
  <c r="I7" i="9"/>
  <c r="I86" i="11"/>
  <c r="I85" i="11"/>
  <c r="I84" i="11"/>
  <c r="I82" i="11"/>
  <c r="I75" i="11"/>
  <c r="I74" i="11"/>
  <c r="I73" i="11"/>
  <c r="I71" i="11"/>
  <c r="I70" i="11"/>
  <c r="I69" i="11"/>
  <c r="I68" i="11"/>
  <c r="I67" i="11"/>
  <c r="I66" i="11"/>
  <c r="I65" i="11"/>
  <c r="I57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6" i="11"/>
  <c r="I35" i="11"/>
  <c r="I34" i="11"/>
  <c r="I28" i="11"/>
  <c r="I27" i="11"/>
  <c r="I21" i="11"/>
  <c r="I20" i="11"/>
  <c r="I10" i="11"/>
  <c r="I11" i="11"/>
  <c r="I9" i="11"/>
  <c r="G6" i="14"/>
  <c r="Q5" i="13"/>
  <c r="W5" i="13" s="1"/>
  <c r="J49" i="11" l="1"/>
  <c r="F7" i="14" l="1"/>
  <c r="S7" i="14" s="1"/>
  <c r="F8" i="14"/>
  <c r="S8" i="14" s="1"/>
  <c r="F9" i="14"/>
  <c r="S9" i="14" s="1"/>
  <c r="F10" i="14"/>
  <c r="S10" i="14" s="1"/>
  <c r="F11" i="14"/>
  <c r="S11" i="14" s="1"/>
  <c r="F13" i="14"/>
  <c r="S13" i="14" s="1"/>
  <c r="F15" i="14"/>
  <c r="F18" i="14"/>
  <c r="S18" i="14" s="1"/>
  <c r="F21" i="14"/>
  <c r="S21" i="14" s="1"/>
  <c r="F23" i="14"/>
  <c r="S23" i="14" s="1"/>
  <c r="F4" i="14"/>
  <c r="S4" i="14" s="1"/>
  <c r="S15" i="14" l="1"/>
  <c r="F14" i="14"/>
  <c r="S14" i="14" s="1"/>
  <c r="F5" i="14"/>
  <c r="S5" i="14" s="1"/>
  <c r="F6" i="14"/>
  <c r="S6" i="14" s="1"/>
  <c r="D37" i="13" l="1"/>
  <c r="E35" i="13"/>
  <c r="E34" i="13"/>
  <c r="E33" i="13"/>
  <c r="E32" i="13"/>
  <c r="E31" i="13"/>
  <c r="E30" i="13"/>
  <c r="E29" i="13"/>
  <c r="E28" i="13"/>
  <c r="E27" i="13"/>
  <c r="E26" i="13"/>
  <c r="E25" i="13"/>
  <c r="E24" i="13"/>
  <c r="E37" i="13" l="1"/>
  <c r="T6" i="13"/>
  <c r="U6" i="13"/>
  <c r="V6" i="13" s="1"/>
  <c r="T7" i="13"/>
  <c r="V7" i="13" s="1"/>
  <c r="U7" i="13"/>
  <c r="T8" i="13"/>
  <c r="W8" i="13" s="1"/>
  <c r="U8" i="13"/>
  <c r="T9" i="13"/>
  <c r="W9" i="13" s="1"/>
  <c r="V9" i="13" s="1"/>
  <c r="X9" i="13" s="1"/>
  <c r="U9" i="13"/>
  <c r="T10" i="13"/>
  <c r="W10" i="13" s="1"/>
  <c r="U10" i="13"/>
  <c r="T11" i="13"/>
  <c r="W11" i="13" s="1"/>
  <c r="V11" i="13" s="1"/>
  <c r="X11" i="13" s="1"/>
  <c r="U11" i="13"/>
  <c r="T12" i="13"/>
  <c r="W12" i="13" s="1"/>
  <c r="U12" i="13"/>
  <c r="T13" i="13"/>
  <c r="W13" i="13" s="1"/>
  <c r="V13" i="13" s="1"/>
  <c r="X13" i="13" s="1"/>
  <c r="U13" i="13"/>
  <c r="T14" i="13"/>
  <c r="W14" i="13" s="1"/>
  <c r="U14" i="13"/>
  <c r="T15" i="13"/>
  <c r="W15" i="13" s="1"/>
  <c r="V15" i="13" s="1"/>
  <c r="X15" i="13" s="1"/>
  <c r="U15" i="13"/>
  <c r="T16" i="13"/>
  <c r="W16" i="13" s="1"/>
  <c r="U16" i="13"/>
  <c r="U5" i="13"/>
  <c r="V5" i="13" s="1"/>
  <c r="X5" i="13" s="1"/>
  <c r="T5" i="13"/>
  <c r="S18" i="13"/>
  <c r="V14" i="13" l="1"/>
  <c r="X14" i="13" s="1"/>
  <c r="V10" i="13"/>
  <c r="X10" i="13" s="1"/>
  <c r="V8" i="13"/>
  <c r="X8" i="13" s="1"/>
  <c r="V16" i="13"/>
  <c r="X16" i="13" s="1"/>
  <c r="V12" i="13"/>
  <c r="X12" i="13" s="1"/>
  <c r="T18" i="13"/>
  <c r="U18" i="13"/>
  <c r="R18" i="13"/>
  <c r="K18" i="13" l="1"/>
  <c r="L16" i="13"/>
  <c r="M16" i="13" s="1"/>
  <c r="L15" i="13"/>
  <c r="L14" i="13"/>
  <c r="L13" i="13"/>
  <c r="M13" i="13" s="1"/>
  <c r="L12" i="13"/>
  <c r="M12" i="13" s="1"/>
  <c r="L11" i="13"/>
  <c r="L10" i="13"/>
  <c r="L9" i="13"/>
  <c r="M9" i="13" s="1"/>
  <c r="L8" i="13"/>
  <c r="M8" i="13" s="1"/>
  <c r="L7" i="13"/>
  <c r="L6" i="13"/>
  <c r="L5" i="13"/>
  <c r="M5" i="13" s="1"/>
  <c r="M6" i="13" l="1"/>
  <c r="N6" i="13" s="1"/>
  <c r="M14" i="13"/>
  <c r="N14" i="13" s="1"/>
  <c r="M11" i="13"/>
  <c r="N11" i="13" s="1"/>
  <c r="M10" i="13"/>
  <c r="N10" i="13" s="1"/>
  <c r="M7" i="13"/>
  <c r="M15" i="13"/>
  <c r="N15" i="13" s="1"/>
  <c r="W18" i="13"/>
  <c r="N9" i="13"/>
  <c r="N13" i="13"/>
  <c r="L18" i="13"/>
  <c r="N8" i="13"/>
  <c r="N12" i="13"/>
  <c r="N16" i="13"/>
  <c r="X18" i="13" l="1"/>
  <c r="V18" i="13"/>
  <c r="M18" i="13"/>
  <c r="N5" i="13"/>
  <c r="N18" i="13" s="1"/>
  <c r="E5" i="13" l="1"/>
  <c r="E11" i="13"/>
  <c r="F11" i="13" s="1"/>
  <c r="E12" i="13"/>
  <c r="E13" i="13"/>
  <c r="F13" i="13" s="1"/>
  <c r="E14" i="13"/>
  <c r="F14" i="13" s="1"/>
  <c r="E15" i="13"/>
  <c r="E16" i="13"/>
  <c r="E10" i="13"/>
  <c r="F10" i="13" s="1"/>
  <c r="E9" i="13"/>
  <c r="F9" i="13" s="1"/>
  <c r="E8" i="13"/>
  <c r="E7" i="13"/>
  <c r="E6" i="13"/>
  <c r="F6" i="13" s="1"/>
  <c r="D18" i="13"/>
  <c r="F93" i="10"/>
  <c r="BW44" i="1"/>
  <c r="F11" i="9"/>
  <c r="F5" i="13" l="1"/>
  <c r="G5" i="13" s="1"/>
  <c r="F7" i="13"/>
  <c r="G7" i="13" s="1"/>
  <c r="F16" i="13"/>
  <c r="G16" i="13" s="1"/>
  <c r="F12" i="13"/>
  <c r="G12" i="13" s="1"/>
  <c r="F8" i="13"/>
  <c r="G8" i="13" s="1"/>
  <c r="F15" i="13"/>
  <c r="G15" i="13" s="1"/>
  <c r="G11" i="13"/>
  <c r="G6" i="13"/>
  <c r="G10" i="13"/>
  <c r="G14" i="13"/>
  <c r="E18" i="13"/>
  <c r="G9" i="13"/>
  <c r="G13" i="13"/>
  <c r="G70" i="12"/>
  <c r="G71" i="12"/>
  <c r="F71" i="12"/>
  <c r="F70" i="12"/>
  <c r="E71" i="12"/>
  <c r="E70" i="12"/>
  <c r="I69" i="12"/>
  <c r="I68" i="12"/>
  <c r="I71" i="12" s="1"/>
  <c r="H71" i="12"/>
  <c r="I67" i="12"/>
  <c r="I66" i="12"/>
  <c r="I65" i="12"/>
  <c r="G59" i="12"/>
  <c r="F59" i="12"/>
  <c r="E59" i="12"/>
  <c r="I56" i="12"/>
  <c r="I57" i="12"/>
  <c r="I55" i="12"/>
  <c r="G49" i="12"/>
  <c r="F49" i="12"/>
  <c r="E49" i="12"/>
  <c r="I48" i="12"/>
  <c r="I47" i="12"/>
  <c r="I38" i="12"/>
  <c r="I41" i="12" s="1"/>
  <c r="I31" i="12"/>
  <c r="I32" i="12"/>
  <c r="G33" i="12"/>
  <c r="F33" i="12"/>
  <c r="E33" i="12"/>
  <c r="I30" i="12"/>
  <c r="G25" i="12"/>
  <c r="F25" i="12"/>
  <c r="E25" i="12"/>
  <c r="I24" i="12"/>
  <c r="I23" i="12"/>
  <c r="I17" i="12"/>
  <c r="G18" i="12"/>
  <c r="E18" i="12"/>
  <c r="F18" i="12"/>
  <c r="I16" i="12"/>
  <c r="G9" i="12"/>
  <c r="F9" i="12"/>
  <c r="F10" i="12"/>
  <c r="G10" i="12"/>
  <c r="I6" i="12"/>
  <c r="I7" i="12"/>
  <c r="I8" i="12"/>
  <c r="I5" i="12"/>
  <c r="J83" i="11"/>
  <c r="J84" i="11"/>
  <c r="J85" i="11"/>
  <c r="J86" i="11"/>
  <c r="H87" i="11"/>
  <c r="G87" i="11"/>
  <c r="F87" i="11"/>
  <c r="J82" i="11"/>
  <c r="H76" i="11"/>
  <c r="F76" i="11"/>
  <c r="H77" i="11"/>
  <c r="G77" i="11"/>
  <c r="F77" i="11"/>
  <c r="E73" i="12" s="1"/>
  <c r="J75" i="11"/>
  <c r="J77" i="11" s="1"/>
  <c r="I77" i="11"/>
  <c r="J57" i="11"/>
  <c r="J47" i="11"/>
  <c r="J48" i="11"/>
  <c r="J50" i="11"/>
  <c r="J51" i="11"/>
  <c r="J35" i="11"/>
  <c r="J36" i="11"/>
  <c r="J38" i="11"/>
  <c r="J39" i="11"/>
  <c r="J40" i="11"/>
  <c r="J41" i="11"/>
  <c r="J42" i="11"/>
  <c r="J43" i="11"/>
  <c r="J44" i="11"/>
  <c r="J45" i="11"/>
  <c r="J46" i="11"/>
  <c r="H52" i="11"/>
  <c r="G52" i="11"/>
  <c r="F52" i="11"/>
  <c r="J34" i="11"/>
  <c r="H29" i="11"/>
  <c r="G29" i="11"/>
  <c r="F29" i="11"/>
  <c r="J28" i="11"/>
  <c r="J27" i="11"/>
  <c r="H22" i="11"/>
  <c r="G22" i="11"/>
  <c r="F22" i="11"/>
  <c r="J21" i="11"/>
  <c r="J20" i="11"/>
  <c r="H12" i="11"/>
  <c r="H13" i="11" s="1"/>
  <c r="G12" i="11"/>
  <c r="J11" i="11"/>
  <c r="J10" i="11"/>
  <c r="J9" i="11"/>
  <c r="F12" i="11"/>
  <c r="G13" i="11" s="1"/>
  <c r="E104" i="10"/>
  <c r="E77" i="12" s="1"/>
  <c r="E78" i="12" s="1"/>
  <c r="I81" i="10"/>
  <c r="I82" i="10"/>
  <c r="I83" i="10"/>
  <c r="I84" i="10"/>
  <c r="I85" i="10"/>
  <c r="I86" i="10"/>
  <c r="I87" i="10"/>
  <c r="G93" i="10"/>
  <c r="I92" i="10"/>
  <c r="I80" i="10"/>
  <c r="I79" i="10"/>
  <c r="I78" i="10"/>
  <c r="H93" i="10"/>
  <c r="I76" i="11" l="1"/>
  <c r="H70" i="12"/>
  <c r="I70" i="12"/>
  <c r="I49" i="12"/>
  <c r="H59" i="12"/>
  <c r="I87" i="11"/>
  <c r="J87" i="11"/>
  <c r="G18" i="13"/>
  <c r="F18" i="13"/>
  <c r="I59" i="12"/>
  <c r="J76" i="11"/>
  <c r="H49" i="12"/>
  <c r="H25" i="12"/>
  <c r="H18" i="12"/>
  <c r="I25" i="12"/>
  <c r="H33" i="12"/>
  <c r="I18" i="12"/>
  <c r="I33" i="12"/>
  <c r="H10" i="12"/>
  <c r="I9" i="12"/>
  <c r="H9" i="12"/>
  <c r="I10" i="12"/>
  <c r="I29" i="11"/>
  <c r="I22" i="11"/>
  <c r="I52" i="11"/>
  <c r="J52" i="11"/>
  <c r="J12" i="11"/>
  <c r="J29" i="11"/>
  <c r="I12" i="11"/>
  <c r="J22" i="11"/>
  <c r="I93" i="10"/>
  <c r="I65" i="10" l="1"/>
  <c r="I66" i="10"/>
  <c r="I67" i="10"/>
  <c r="I68" i="10"/>
  <c r="E69" i="10"/>
  <c r="G69" i="10"/>
  <c r="F69" i="10"/>
  <c r="I64" i="10"/>
  <c r="J30" i="9"/>
  <c r="J31" i="9"/>
  <c r="J32" i="9"/>
  <c r="J33" i="9"/>
  <c r="J34" i="9"/>
  <c r="J35" i="9"/>
  <c r="J36" i="9"/>
  <c r="J37" i="9"/>
  <c r="J38" i="9"/>
  <c r="E55" i="10"/>
  <c r="G55" i="10"/>
  <c r="F55" i="10"/>
  <c r="I54" i="10"/>
  <c r="I53" i="10"/>
  <c r="H55" i="10" l="1"/>
  <c r="I55" i="10"/>
  <c r="H69" i="10"/>
  <c r="I69" i="10"/>
  <c r="E42" i="10" l="1"/>
  <c r="E33" i="10"/>
  <c r="I31" i="10"/>
  <c r="I32" i="10"/>
  <c r="G33" i="10"/>
  <c r="F33" i="10"/>
  <c r="I30" i="10"/>
  <c r="I29" i="10"/>
  <c r="G21" i="10"/>
  <c r="F21" i="10"/>
  <c r="I20" i="10"/>
  <c r="I19" i="10"/>
  <c r="I18" i="10"/>
  <c r="G10" i="10"/>
  <c r="F10" i="10"/>
  <c r="I8" i="10"/>
  <c r="I9" i="10"/>
  <c r="I7" i="10"/>
  <c r="E21" i="10"/>
  <c r="E10" i="10"/>
  <c r="E74" i="12" l="1"/>
  <c r="E72" i="12" s="1"/>
  <c r="H33" i="10"/>
  <c r="I21" i="10"/>
  <c r="I33" i="10"/>
  <c r="I10" i="10"/>
  <c r="H10" i="10"/>
  <c r="H21" i="10"/>
  <c r="H39" i="9"/>
  <c r="G39" i="9"/>
  <c r="F39" i="9"/>
  <c r="I39" i="9"/>
  <c r="J29" i="9"/>
  <c r="J39" i="9" s="1"/>
  <c r="G21" i="9" l="1"/>
  <c r="H21" i="9"/>
  <c r="H11" i="9"/>
  <c r="G11" i="9"/>
  <c r="J20" i="9"/>
  <c r="J19" i="9"/>
  <c r="F21" i="9"/>
  <c r="E75" i="12" s="1"/>
  <c r="J21" i="9" l="1"/>
  <c r="I21" i="9"/>
  <c r="J8" i="9"/>
  <c r="J9" i="9"/>
  <c r="J10" i="9"/>
  <c r="J7" i="9"/>
  <c r="U44" i="1"/>
  <c r="I11" i="9" l="1"/>
  <c r="J11" i="9"/>
  <c r="DW8" i="1" l="1"/>
  <c r="EA17" i="1"/>
  <c r="EA20" i="1"/>
  <c r="AG44" i="1"/>
</calcChain>
</file>

<file path=xl/sharedStrings.xml><?xml version="1.0" encoding="utf-8"?>
<sst xmlns="http://schemas.openxmlformats.org/spreadsheetml/2006/main" count="683" uniqueCount="367">
  <si>
    <t>Приложение № 2</t>
  </si>
  <si>
    <t>к Требованиям к плану финансово-хозяйственной</t>
  </si>
  <si>
    <t>деятельности государственного (муниципального) учреждения,</t>
  </si>
  <si>
    <t>утв. приказом Минфина России от 28 июля 2010 г. № 81н</t>
  </si>
  <si>
    <t>1. Расчеты (обоснования) выплат персоналу (строка 210)</t>
  </si>
  <si>
    <t>Код видов расходов</t>
  </si>
  <si>
    <t>Источник финансового обеспечения</t>
  </si>
  <si>
    <t>Субсидия на выполнение муниципального задания</t>
  </si>
  <si>
    <t>1.1. Расчеты (обоснования) расходов на оплату труда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</si>
  <si>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</si>
  <si>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</si>
  <si>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</si>
  <si>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</si>
  <si>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</si>
  <si>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</si>
  <si>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</si>
  <si>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ФОТ в мес.яц (без стимул)</t>
  </si>
  <si>
    <t>ФОТ В ГОД БЕЗ СТИМУЛИР</t>
  </si>
  <si>
    <t>норма в мес с учетом средней оплаты</t>
  </si>
  <si>
    <t>норма в год с учетом средней</t>
  </si>
  <si>
    <t>Фонд стимулирующие в год</t>
  </si>
  <si>
    <t>стимулирующ на чел</t>
  </si>
  <si>
    <t>п/п</t>
  </si>
  <si>
    <t>группа</t>
  </si>
  <si>
    <t>численность,</t>
  </si>
  <si>
    <t>всего</t>
  </si>
  <si>
    <t>в том числе: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</si>
  <si>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</si>
  <si>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</si>
  <si>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</si>
  <si>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</si>
  <si>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</si>
  <si>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</si>
  <si>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</si>
  <si>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</si>
  <si>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</si>
  <si>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</si>
  <si>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</si>
  <si>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</si>
  <si>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</si>
  <si>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</si>
  <si>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</si>
  <si>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</si>
  <si>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Итого:</t>
  </si>
  <si>
    <t>х</t>
  </si>
  <si>
    <t>1.2. Расчеты (обоснования) выплат персоналу при направлении в служебные командировки</t>
  </si>
  <si>
    <t>Наименование расходов</t>
  </si>
  <si>
    <t>Количество</t>
  </si>
  <si>
    <t>договор</t>
  </si>
  <si>
    <t>оплата</t>
  </si>
  <si>
    <t>остаток по проплате</t>
  </si>
  <si>
    <t>остаток для переброски</t>
  </si>
  <si>
    <t>Конпенсация ЖКУ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</si>
  <si>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</si>
  <si>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</si>
  <si>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</si>
  <si>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Страховые взносы в Пенсионный фонд Российской Федерации, всего</t>
  </si>
  <si>
    <t>по ставке 22,0 %</t>
  </si>
  <si>
    <t>по ставке 10,0 %</t>
  </si>
  <si>
    <t>3. Расчет (обоснование) расходов на уплату налогов, сборов и иных платежей</t>
  </si>
  <si>
    <t>остатки по проплатам</t>
  </si>
  <si>
    <t>3.1. Расчет (обоснование) расходов на уплату налогов, сборов и иных платежей</t>
  </si>
  <si>
    <t>3.2 Расчет (обоснование) расходов на уплату налогов, сборов и иных платежей</t>
  </si>
  <si>
    <t>Оплата за негативное воздействие на окружающую среду</t>
  </si>
  <si>
    <t>6. Расчет (обоснование) расходов на закупку товаров, работ, услуг в целях капитального ремонта</t>
  </si>
  <si>
    <t>Стоимость</t>
  </si>
  <si>
    <t>Итого</t>
  </si>
  <si>
    <t>Горячее питание РБ 244/226</t>
  </si>
  <si>
    <t>6. Расчет (обоснование) расходов на закупку товаров, работ, услуг</t>
  </si>
  <si>
    <t>Абонентская и повременная оплата телефонной связи</t>
  </si>
  <si>
    <t>Расходы за использование сети Интернет</t>
  </si>
  <si>
    <t>Оплата потребления электроэнергии</t>
  </si>
  <si>
    <t>Оплата водоснабжения и канализации</t>
  </si>
  <si>
    <t>Объект</t>
  </si>
  <si>
    <t>Профдезинфекция</t>
  </si>
  <si>
    <t>Измерение контуров заземления</t>
  </si>
  <si>
    <t>Техническое обслуживание системы видеонаблюдения</t>
  </si>
  <si>
    <t>Ремонт оргтехники</t>
  </si>
  <si>
    <t>Лабораторные исследования РосПотребнадзор</t>
  </si>
  <si>
    <t>Противопожарные мероприятия</t>
  </si>
  <si>
    <t>Подготовка экологической отчетности</t>
  </si>
  <si>
    <t>Обслуживание сайта учреждения</t>
  </si>
  <si>
    <t>Учеба</t>
  </si>
  <si>
    <t>Медицинский осмотр сотрудников</t>
  </si>
  <si>
    <t>Страхование детей во время перевозок</t>
  </si>
  <si>
    <t>Страхование водителя</t>
  </si>
  <si>
    <t>Страхование транспортных средств</t>
  </si>
  <si>
    <t>Итого МБ:</t>
  </si>
  <si>
    <t>Итого РБ:</t>
  </si>
  <si>
    <t>Масло</t>
  </si>
  <si>
    <t>Строительные материалы</t>
  </si>
  <si>
    <t>Итого на выполнение муниципального задания:</t>
  </si>
  <si>
    <t>в том числе за счет субвенции:</t>
  </si>
  <si>
    <t>в том числе за счет муниципального бюджета:</t>
  </si>
  <si>
    <t>ВСЕГО</t>
  </si>
  <si>
    <t>Классное руководство 119/213 ФБ</t>
  </si>
  <si>
    <t>112/226</t>
  </si>
  <si>
    <t>Классное руководство 111/211 ФБ</t>
  </si>
  <si>
    <t>Налог на имущество</t>
  </si>
  <si>
    <t>Земельный налог</t>
  </si>
  <si>
    <t xml:space="preserve"> Расчет (обоснование) расходов на оплату прочих работ, услуг</t>
  </si>
  <si>
    <t>Горячее питание МБ 244/226</t>
  </si>
  <si>
    <t>Возврат в бюджет средств субсидии</t>
  </si>
  <si>
    <t>Федеральный бюджет</t>
  </si>
  <si>
    <t>Питание детей льготных категорий, посещающих лагерь дневного пребывания (М.Б.)</t>
  </si>
  <si>
    <t>месяц</t>
  </si>
  <si>
    <t>тариф</t>
  </si>
  <si>
    <t>кВт</t>
  </si>
  <si>
    <t>цена,руб.</t>
  </si>
  <si>
    <t>НДС,руб</t>
  </si>
  <si>
    <t>цена с НДС,руб</t>
  </si>
  <si>
    <t>гКал</t>
  </si>
  <si>
    <t>НДС,руб.</t>
  </si>
  <si>
    <t>цена с НДС,руб.</t>
  </si>
  <si>
    <t>м3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</si>
  <si>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</si>
  <si>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</si>
  <si>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</si>
  <si>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</si>
  <si>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</si>
  <si>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</si>
  <si>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</si>
  <si>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</si>
  <si>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</si>
  <si>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</si>
  <si>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</si>
  <si>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</si>
  <si>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Советник директора</t>
  </si>
  <si>
    <t>Советник директора 5 111/211 ФБ</t>
  </si>
  <si>
    <t>Советник директора 5 119/213 ФБ</t>
  </si>
  <si>
    <t>Советник директора 5 111/211 РБ</t>
  </si>
  <si>
    <t>Советник директора 5 119/213 РБ</t>
  </si>
  <si>
    <t>Советник директора 5 111/211 МБ</t>
  </si>
  <si>
    <t>Подписка</t>
  </si>
  <si>
    <t>Директор</t>
  </si>
  <si>
    <t>111</t>
  </si>
  <si>
    <t>Заместитель директора</t>
  </si>
  <si>
    <t>Педагог-организатор</t>
  </si>
  <si>
    <t>Педагог доп.образования</t>
  </si>
  <si>
    <t>Педагог - библиотекарь</t>
  </si>
  <si>
    <t>Педагог-психолог</t>
  </si>
  <si>
    <t>Учитель</t>
  </si>
  <si>
    <t xml:space="preserve">Делопроизводитель </t>
  </si>
  <si>
    <t>Рабочий по комплексному обслуживанию и ремонту зданий</t>
  </si>
  <si>
    <t>Уборщик служебных помещений</t>
  </si>
  <si>
    <t xml:space="preserve">Медицинская сестра </t>
  </si>
  <si>
    <t xml:space="preserve">Дворник </t>
  </si>
  <si>
    <t xml:space="preserve">Сторож </t>
  </si>
  <si>
    <t>Госпошлина  (852/291)</t>
  </si>
  <si>
    <t>Бензин</t>
  </si>
  <si>
    <t>Транспортный налог</t>
  </si>
  <si>
    <t>Юридические услуги</t>
  </si>
  <si>
    <t>Дизель для генератора</t>
  </si>
  <si>
    <t>Местный бюджет</t>
  </si>
  <si>
    <t>Средства во временном распоряжении</t>
  </si>
  <si>
    <t>Ежемесячное денежное вознаграждение советникам директоров ФБ 111/211</t>
  </si>
  <si>
    <t>Ежемесячное денежное вознаграждение советникам директоров ФБ 119/213</t>
  </si>
  <si>
    <t>Услуги  по организации временного трудоустройства несовершеннолетних от 14 до 18 лет в свободное от учебы время</t>
  </si>
  <si>
    <t>111/211</t>
  </si>
  <si>
    <t>119/213</t>
  </si>
  <si>
    <t xml:space="preserve">Расчеты (обоснования) к плану финансово-хозяйственной деятельности </t>
  </si>
  <si>
    <t>Код видов расходов:</t>
  </si>
  <si>
    <t>Источник финансового обеспечения:</t>
  </si>
  <si>
    <t>№ п/п</t>
  </si>
  <si>
    <t>Сумма</t>
  </si>
  <si>
    <t>Проезд</t>
  </si>
  <si>
    <t xml:space="preserve">Проживание </t>
  </si>
  <si>
    <t>Суточные</t>
  </si>
  <si>
    <t xml:space="preserve">1.3. Расчеты (обоснования) выплат персоналу </t>
  </si>
  <si>
    <t xml:space="preserve"> 112/214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</si>
  <si>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</si>
  <si>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</si>
  <si>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</si>
  <si>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1.4 Расчеты (обоснования) выплат персоналу</t>
  </si>
  <si>
    <t xml:space="preserve">Код видов расходов: </t>
  </si>
  <si>
    <t>111/211;   119/213</t>
  </si>
  <si>
    <t>Советник директора 5 119/213 МБ</t>
  </si>
  <si>
    <t>Налоговая база, руб.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</si>
  <si>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</si>
  <si>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</si>
  <si>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</si>
  <si>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Сумма выплат</t>
  </si>
  <si>
    <t>1.5 Расчеты (обоснования) страховых взносов на обязательное страхование в Пенсионный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</si>
  <si>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</si>
  <si>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</si>
  <si>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1.1</t>
  </si>
  <si>
    <t>1.2</t>
  </si>
  <si>
    <t>1.3</t>
  </si>
  <si>
    <t>2</t>
  </si>
  <si>
    <t>обязательное социальное страхование на случай временной нетрудоспособности и в связи с материнством по ставке 2,9 %</t>
  </si>
  <si>
    <t>2.1</t>
  </si>
  <si>
    <t>с применением ставки взносов в Фонд социального страхования Российской Федерации по ставке 0,0 %</t>
  </si>
  <si>
    <t>2.2</t>
  </si>
  <si>
    <t>обязательное социальное страхование от несчастных случаев на производстве и профессиональных заболеваний по ставке 0,2 %</t>
  </si>
  <si>
    <t>2.3</t>
  </si>
  <si>
    <t xml:space="preserve">обязательное социальное страхование от несчастных случаев на производстве и профессиональных заболеваний по ставке 0,_ %* </t>
  </si>
  <si>
    <t>2.4</t>
  </si>
  <si>
    <t>обязательное социальное страхование от несчастных случаев на производстве и профессиональных заболеваний по ставке 0,_ %*</t>
  </si>
  <si>
    <t>2.5</t>
  </si>
  <si>
    <t>3</t>
  </si>
  <si>
    <t>Страховые взносы в Федеральный фонд обязательного медицинского страхования, всего (по ставке 5,1 %)</t>
  </si>
  <si>
    <t xml:space="preserve">* Указываются страховые тарифы, дифференцированные по классам профессионального риска, установленные </t>
  </si>
  <si>
    <t xml:space="preserve">Федеральным законом от 22 декабря 2005 г. № 179-ФЗ «О страховых тарифах на обязательное социальное страхование от </t>
  </si>
  <si>
    <t>несчастных случаев на производстве и профессиональных заболеваний на 2006 год»</t>
  </si>
  <si>
    <t>(Собрание законодательства Российской Федерации, 2005, № 52, ст. 5592; 2015, № 51, ст.7233).</t>
  </si>
  <si>
    <t xml:space="preserve">Ставка налога, % </t>
  </si>
  <si>
    <t xml:space="preserve">Сумма исчисленного налога, подлежащего уплате, руб. </t>
  </si>
  <si>
    <t>Пеня</t>
  </si>
  <si>
    <t>Штраф</t>
  </si>
  <si>
    <t xml:space="preserve">Республиканский бюджет </t>
  </si>
  <si>
    <t xml:space="preserve">Субсидии, предоставляемые в соответствии с абзацем вторым </t>
  </si>
  <si>
    <t>пункта 1 статьи 78.1 БК РФ</t>
  </si>
  <si>
    <t>Горячее питание ФБ 244/226</t>
  </si>
  <si>
    <t>"5"</t>
  </si>
  <si>
    <t>244, 247</t>
  </si>
  <si>
    <t xml:space="preserve">Поступления от оказания услуг (выполнения работ) на платной </t>
  </si>
  <si>
    <t>основе и от иной приносящей доход деятельности</t>
  </si>
  <si>
    <t xml:space="preserve">6.1. Расчет (обоснование) расходов на оплату коммунальных услуг </t>
  </si>
  <si>
    <t>Возмещение ком.услуг,в т.ч.</t>
  </si>
  <si>
    <t xml:space="preserve">      вода в т. ч. остаток 2025 г.</t>
  </si>
  <si>
    <t xml:space="preserve">      тепло в т. ч. остаток 2025 г.</t>
  </si>
  <si>
    <t xml:space="preserve">      электроэнергия в т. ч. остаток 2025 г.</t>
  </si>
  <si>
    <t>Аренда недвижимого имущества из них</t>
  </si>
  <si>
    <t>Интернет</t>
  </si>
  <si>
    <t xml:space="preserve">Макулатура </t>
  </si>
  <si>
    <t>Оплата неустойки по претензии</t>
  </si>
  <si>
    <t xml:space="preserve">6. Расчет (обоснование) расходов на закупку товаров, работ, услуг </t>
  </si>
  <si>
    <t>социального страхования Российской Федерации</t>
  </si>
  <si>
    <t xml:space="preserve">Средства от возмещения работодателю денежных средств на приобретение товаров, работ, услуг для сотрудничества на предмет меры по сокаращению производственных травм и проффесиональных заболеваний </t>
  </si>
  <si>
    <t xml:space="preserve">Доходы от возмещений затрат Фондом </t>
  </si>
  <si>
    <r>
      <t xml:space="preserve">6.1 Расчет (обоснование) расходов на оплату энергетических ресурсов </t>
    </r>
    <r>
      <rPr>
        <b/>
        <sz val="12"/>
        <color rgb="FFFF0000"/>
        <rFont val="Times New Roman"/>
        <family val="1"/>
        <charset val="204"/>
      </rPr>
      <t>247/223</t>
    </r>
  </si>
  <si>
    <t>Количество номеров</t>
  </si>
  <si>
    <t>Количество платежей в год</t>
  </si>
  <si>
    <t>Стоимость за единицу, руб.</t>
  </si>
  <si>
    <t>Сумма, руб.                  (гр. 3×гр. 4×гр.5)</t>
  </si>
  <si>
    <t>Оплата отопления</t>
  </si>
  <si>
    <r>
      <t xml:space="preserve">6.2. Расчет (обоснование) расходов на оплату услуг связи </t>
    </r>
    <r>
      <rPr>
        <b/>
        <sz val="12"/>
        <color rgb="FFFF0000"/>
        <rFont val="Times New Roman"/>
        <family val="1"/>
        <charset val="204"/>
      </rPr>
      <t>244/221</t>
    </r>
  </si>
  <si>
    <r>
      <t xml:space="preserve">6.3. Расчет (обоснование) расходов на оплату коммунальных услуг </t>
    </r>
    <r>
      <rPr>
        <b/>
        <sz val="12"/>
        <color rgb="FFFF0000"/>
        <rFont val="Times New Roman"/>
        <family val="1"/>
        <charset val="204"/>
      </rPr>
      <t>244/223</t>
    </r>
  </si>
  <si>
    <t>Вывоз ТБО</t>
  </si>
  <si>
    <r>
      <t xml:space="preserve">6.4. Расчет (обоснование) расходов на оплату работ, услуг по содержанию имущества </t>
    </r>
    <r>
      <rPr>
        <b/>
        <sz val="12"/>
        <color rgb="FFFF0000"/>
        <rFont val="Times New Roman"/>
        <family val="1"/>
        <charset val="204"/>
      </rPr>
      <t>244/225</t>
    </r>
  </si>
  <si>
    <t>Количество работ (услуг)</t>
  </si>
  <si>
    <t>Стоимость работ (услуг), руб.</t>
  </si>
  <si>
    <t>Поверки дымовых и вент. каналов</t>
  </si>
  <si>
    <t>Техничекое обслуживание системы экстренного оповещения</t>
  </si>
  <si>
    <t xml:space="preserve">Техничекое обслуживание пожарной сигнализации </t>
  </si>
  <si>
    <t>Техническое обслуживание автоматической системы охранной сигнализации</t>
  </si>
  <si>
    <t>Обслуживание ДГУ</t>
  </si>
  <si>
    <t>Акарицидная обработка</t>
  </si>
  <si>
    <t>Утилизация</t>
  </si>
  <si>
    <r>
      <t xml:space="preserve">6.5. Расчет (обоснование) расходов на оплату прочих работ, услуг </t>
    </r>
    <r>
      <rPr>
        <b/>
        <sz val="12"/>
        <color rgb="FFFF0000"/>
        <rFont val="Times New Roman"/>
        <family val="1"/>
        <charset val="204"/>
      </rPr>
      <t>244/226</t>
    </r>
  </si>
  <si>
    <t>Физическая охрана объекта</t>
  </si>
  <si>
    <t>Питание (льгота) 1-4 кл. (обеды)</t>
  </si>
  <si>
    <t>Питание (льгота) 5-11 кл. (обеды)</t>
  </si>
  <si>
    <t>Питание (льгота) 5-11 кл. (завтраки)</t>
  </si>
  <si>
    <t>Физическая охрана объекта на время экзаменов</t>
  </si>
  <si>
    <t>Услуги видеоконференц-связи</t>
  </si>
  <si>
    <t>Анализы Этеробиоз</t>
  </si>
  <si>
    <t>Услуги по технической поддержке и консультации пользователей ГОС (республиканский бюджет)</t>
  </si>
  <si>
    <r>
      <t xml:space="preserve">6.6. Расчет (обоснование) расходов на оплату прочих работ, услуг(страхование)   </t>
    </r>
    <r>
      <rPr>
        <b/>
        <sz val="12"/>
        <color rgb="FFFF0000"/>
        <rFont val="Times New Roman"/>
        <family val="1"/>
        <charset val="204"/>
      </rPr>
      <t>244/227</t>
    </r>
  </si>
  <si>
    <t>Стоимость услуги, руб.</t>
  </si>
  <si>
    <t>Страхование гражданской ответственности</t>
  </si>
  <si>
    <t>Страховка ДПД</t>
  </si>
  <si>
    <r>
      <t xml:space="preserve">6.7. Расчет (обоснование) расходов на приобретение основных средств  </t>
    </r>
    <r>
      <rPr>
        <b/>
        <sz val="12"/>
        <color rgb="FFFF0000"/>
        <rFont val="Times New Roman"/>
        <family val="1"/>
        <charset val="204"/>
      </rPr>
      <t>244/310</t>
    </r>
  </si>
  <si>
    <t>Капитальный ремонт</t>
  </si>
  <si>
    <t>Книги (Республиканский бюджет)</t>
  </si>
  <si>
    <t xml:space="preserve">6.8. Расчет (обоснование) расходов на увеличение стоимости  лекарственных препаратов и </t>
  </si>
  <si>
    <t>Материалы для медицинского кабинета</t>
  </si>
  <si>
    <t>Средняя стоимость, руб.</t>
  </si>
  <si>
    <t>Сумма, руб.                   (гр. 2×гр. 3)</t>
  </si>
  <si>
    <t>Вода питьевая</t>
  </si>
  <si>
    <t>Спецодежда</t>
  </si>
  <si>
    <t>Моющие и дезинфицирующие средства</t>
  </si>
  <si>
    <t xml:space="preserve">6.14. Расчет (обоснование) расходов на приобретение прочих материальных запасов </t>
  </si>
  <si>
    <t>Похвальные листы, грамоты</t>
  </si>
  <si>
    <t>Журнально-бланочная продукция</t>
  </si>
  <si>
    <t>Личная карточка обучающегося</t>
  </si>
  <si>
    <t>Аттестаты (республиканский бюджет)</t>
  </si>
  <si>
    <t>Медали,удостоверения (республиканский бюджет)</t>
  </si>
  <si>
    <t>Итого субсидии на иные цели:</t>
  </si>
  <si>
    <t>Итого по ПДД:</t>
  </si>
  <si>
    <t xml:space="preserve">негативное возд-е </t>
  </si>
  <si>
    <t>превышение НССВ, м3</t>
  </si>
  <si>
    <t>превышение НССВ, руб.</t>
  </si>
  <si>
    <t>Контрагент</t>
  </si>
  <si>
    <t>Сумма план</t>
  </si>
  <si>
    <t>Сумма факт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</si>
  <si>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</si>
  <si>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</si>
  <si>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</si>
  <si>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</si>
  <si>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</si>
  <si>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</si>
  <si>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</si>
  <si>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</si>
  <si>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</si>
  <si>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</si>
  <si>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</si>
  <si>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</si>
  <si>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</t>
  </si>
  <si>
    <t>АЛЬТФАТЕР КРЫМ ООО</t>
  </si>
  <si>
    <t>ГУП РК "Крымтеплокоммунэнерго"</t>
  </si>
  <si>
    <t>ГУП РК «ВОДА КРЫМА»</t>
  </si>
  <si>
    <t>КРЫМТЕЛЕКОМ АО</t>
  </si>
  <si>
    <t>КРЫМЭНЕРГО ГУП РК</t>
  </si>
  <si>
    <t>КУБАНЬ-ОХРАНА ООО ЧОО</t>
  </si>
  <si>
    <t>ОХРАНА РОСГВАРДИИ ФГУП</t>
  </si>
  <si>
    <t>ФГКУ "УВО ВНГ России по Республике Крым"</t>
  </si>
  <si>
    <r>
      <t xml:space="preserve">Потребление </t>
    </r>
    <r>
      <rPr>
        <b/>
        <u/>
        <sz val="11"/>
        <rFont val="Segoe UI"/>
        <family val="2"/>
        <charset val="204"/>
      </rPr>
      <t>электроэнергии</t>
    </r>
    <r>
      <rPr>
        <u/>
        <sz val="10"/>
        <rFont val="Segoe UI"/>
        <family val="2"/>
        <charset val="204"/>
      </rPr>
      <t xml:space="preserve"> за 2026 год </t>
    </r>
  </si>
  <si>
    <r>
      <t xml:space="preserve">Потребление </t>
    </r>
    <r>
      <rPr>
        <b/>
        <u/>
        <sz val="11"/>
        <rFont val="Segoe UI"/>
        <family val="2"/>
        <charset val="204"/>
      </rPr>
      <t>отопления</t>
    </r>
    <r>
      <rPr>
        <u/>
        <sz val="10"/>
        <rFont val="Segoe UI"/>
        <family val="2"/>
        <charset val="204"/>
      </rPr>
      <t xml:space="preserve"> за 2026 год </t>
    </r>
  </si>
  <si>
    <r>
      <t xml:space="preserve">Потребление </t>
    </r>
    <r>
      <rPr>
        <b/>
        <u/>
        <sz val="11"/>
        <rFont val="Segoe UI"/>
        <family val="2"/>
        <charset val="204"/>
      </rPr>
      <t>водоснабжения и водоотведения</t>
    </r>
    <r>
      <rPr>
        <u/>
        <sz val="10"/>
        <rFont val="Segoe UI"/>
        <family val="2"/>
        <charset val="204"/>
      </rPr>
      <t xml:space="preserve"> за 2026 год</t>
    </r>
  </si>
  <si>
    <r>
      <t xml:space="preserve">Потребление </t>
    </r>
    <r>
      <rPr>
        <b/>
        <sz val="10"/>
        <rFont val="Segoe UI"/>
        <family val="2"/>
        <charset val="204"/>
      </rPr>
      <t>ТКО</t>
    </r>
    <r>
      <rPr>
        <sz val="10"/>
        <rFont val="Segoe UI"/>
        <family val="2"/>
        <charset val="204"/>
      </rPr>
      <t xml:space="preserve"> за 2026 год </t>
    </r>
  </si>
  <si>
    <t>Техническое обслуживание тревожной кнопки</t>
  </si>
  <si>
    <t>Тревожная кнопка</t>
  </si>
  <si>
    <t>Бумага офисная, анцелярские товары</t>
  </si>
  <si>
    <t>Хозяйственные товары, хоз. Инвентарь</t>
  </si>
  <si>
    <t>Заправка картриджей</t>
  </si>
  <si>
    <t>Гидравлические испытания</t>
  </si>
  <si>
    <t>Г.А. Палий</t>
  </si>
  <si>
    <t>Заместитель директора по АХД</t>
  </si>
  <si>
    <t>Социальный пелагог</t>
  </si>
  <si>
    <t>Учитель - логопед</t>
  </si>
  <si>
    <t>Специалист по обслуживанию компьютерных систем</t>
  </si>
  <si>
    <t>Специалист по охране труда</t>
  </si>
  <si>
    <t>Лаборант</t>
  </si>
  <si>
    <t>Секретарь</t>
  </si>
  <si>
    <t>Электромонтер по ремонту и обслуживанию электрооборудования</t>
  </si>
  <si>
    <t>ИП Севров Дмитрий Владимирович</t>
  </si>
  <si>
    <t>32-1-ГУП/Б/140</t>
  </si>
  <si>
    <t>01/01-2026</t>
  </si>
  <si>
    <t>21098-26</t>
  </si>
  <si>
    <t>РК-ЯА06-7307</t>
  </si>
  <si>
    <t>КТТ1332</t>
  </si>
  <si>
    <t>10/26-А</t>
  </si>
  <si>
    <r>
      <t xml:space="preserve">материалов, применяемых в медицинских целях    </t>
    </r>
    <r>
      <rPr>
        <b/>
        <sz val="12"/>
        <color rgb="FFFF0000"/>
        <rFont val="Times New Roman"/>
        <family val="1"/>
        <charset val="204"/>
      </rPr>
      <t>244/ 340 (341)</t>
    </r>
  </si>
  <si>
    <r>
      <t xml:space="preserve">6.9. Увеличение стоимости продуктов питания   </t>
    </r>
    <r>
      <rPr>
        <b/>
        <sz val="12"/>
        <color rgb="FFFF0000"/>
        <rFont val="Times New Roman"/>
        <family val="1"/>
        <charset val="204"/>
      </rPr>
      <t xml:space="preserve">  244/340 (342)</t>
    </r>
  </si>
  <si>
    <r>
      <t xml:space="preserve">6.10. Увеличение стоимости горюче-смазочных материалов   </t>
    </r>
    <r>
      <rPr>
        <b/>
        <sz val="12"/>
        <color rgb="FFFF0000"/>
        <rFont val="Times New Roman"/>
        <family val="1"/>
        <charset val="204"/>
      </rPr>
      <t>244/340 (343)</t>
    </r>
  </si>
  <si>
    <r>
      <t xml:space="preserve">6.11. Расчет (обоснование) расходов на приобретение строительных материалов    </t>
    </r>
    <r>
      <rPr>
        <b/>
        <sz val="12"/>
        <color rgb="FFFF0000"/>
        <rFont val="Times New Roman"/>
        <family val="1"/>
        <charset val="204"/>
      </rPr>
      <t>244/ 340 (344)</t>
    </r>
  </si>
  <si>
    <r>
      <t xml:space="preserve">6.12. Увеличение стоимости мягкого инвентаря     </t>
    </r>
    <r>
      <rPr>
        <b/>
        <sz val="12"/>
        <color rgb="FFFF0000"/>
        <rFont val="Times New Roman"/>
        <family val="1"/>
        <charset val="204"/>
      </rPr>
      <t>244/ 340 (345)</t>
    </r>
  </si>
  <si>
    <t xml:space="preserve">6.13. Расчет (обоснование) расходов на приобретение </t>
  </si>
  <si>
    <r>
      <t xml:space="preserve">прочих оборотных запасов (материалов) </t>
    </r>
    <r>
      <rPr>
        <b/>
        <sz val="12"/>
        <color rgb="FFFF0000"/>
        <rFont val="Times New Roman"/>
        <family val="1"/>
        <charset val="204"/>
      </rPr>
      <t>244/ 340 (346)</t>
    </r>
  </si>
  <si>
    <r>
      <t xml:space="preserve">однократного применения   </t>
    </r>
    <r>
      <rPr>
        <b/>
        <sz val="12"/>
        <color rgb="FFFF0000"/>
        <rFont val="Times New Roman"/>
        <family val="1"/>
        <charset val="204"/>
      </rPr>
      <t>244/ 340 (349)</t>
    </r>
  </si>
  <si>
    <t>11/ТО</t>
  </si>
  <si>
    <t>ИП Матохин Михаил Иванович</t>
  </si>
  <si>
    <t>10/ТО</t>
  </si>
  <si>
    <t>08/ТО</t>
  </si>
  <si>
    <t>09/ТО</t>
  </si>
  <si>
    <t>Остаток прошлого года</t>
  </si>
  <si>
    <t>3-Д принтер (2 шт.) (в том числе остаток 2025)</t>
  </si>
  <si>
    <t>Катушки к 3-Д принтеру</t>
  </si>
  <si>
    <t>Доставка 3-Д принтера</t>
  </si>
  <si>
    <t>26150-ТП</t>
  </si>
  <si>
    <t>ИП Шитов Евгений Александрович (Р.Б.)</t>
  </si>
  <si>
    <t>остатки по договору</t>
  </si>
  <si>
    <t>ПЕРЕПЛАТА 1758,62</t>
  </si>
  <si>
    <t>сумма с "2"</t>
  </si>
  <si>
    <t>Фильтрация сайта</t>
  </si>
  <si>
    <t>ИП Рудакова Мария Юрьевна</t>
  </si>
  <si>
    <t>Ю0099/26</t>
  </si>
  <si>
    <t>Оценочные услуги по определению аренды</t>
  </si>
  <si>
    <t>Замена канализации в подвале</t>
  </si>
  <si>
    <t>не идет на сумму превышения</t>
  </si>
  <si>
    <t xml:space="preserve">УФК по Республике Крым ФБУЗ " ЦГиЭ </t>
  </si>
  <si>
    <t>ТРК АМОС ООО</t>
  </si>
  <si>
    <t>ПЛАТНЫЕ УСЛУГИ</t>
  </si>
  <si>
    <t>прочие расходы</t>
  </si>
  <si>
    <t>Итого по ПУ:</t>
  </si>
  <si>
    <t>Итого ПДД: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</si>
</sst>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\ _р_._-;\-* #,##0.00\ _р_._-;_-* \-??\ _р_._-;_-@_-"/>
    <numFmt numFmtId="165" formatCode="\ * #,##0.00&quot;    &quot;;\-* #,##0.00&quot;    &quot;;\ * \-#&quot;    &quot;;@\ "/>
    <numFmt numFmtId="166" formatCode="#,##0.00_ ;\-#,##0.00\ "/>
    <numFmt numFmtId="167" formatCode="_-* #,##0.00\ _р_._-;\-* #,##0.00\ _р_._-;_-* &quot;-&quot;??\ _р_._-;_-@_-"/>
    <numFmt numFmtId="168" formatCode="#,##0.00000"/>
  </numFmts>
  <fonts count="2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B050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Segoe UI"/>
      <family val="2"/>
      <charset val="204"/>
    </font>
    <font>
      <sz val="10"/>
      <color theme="1"/>
      <name val="Segoe UI"/>
      <family val="2"/>
      <charset val="204"/>
    </font>
    <font>
      <sz val="10"/>
      <name val="Segoe UI"/>
      <family val="2"/>
      <charset val="204"/>
    </font>
    <font>
      <u/>
      <sz val="10"/>
      <name val="Segoe UI"/>
      <family val="2"/>
      <charset val="204"/>
    </font>
    <font>
      <b/>
      <u/>
      <sz val="11"/>
      <name val="Segoe UI"/>
      <family val="2"/>
      <charset val="204"/>
    </font>
    <font>
      <b/>
      <sz val="10"/>
      <name val="Segoe UI"/>
      <family val="2"/>
      <charset val="204"/>
    </font>
    <font>
      <sz val="10"/>
      <color theme="4" tint="-0.249977111117893"/>
      <name val="Times New Roman"/>
      <family val="1"/>
      <charset val="204"/>
    </font>
    <font>
      <sz val="11"/>
      <color rgb="FF0070C0"/>
      <name val="Segoe UI"/>
      <family val="2"/>
      <charset val="204"/>
    </font>
    <font>
      <sz val="10"/>
      <color rgb="FF0070C0"/>
      <name val="Segoe UI"/>
      <family val="2"/>
      <charset val="204"/>
    </font>
    <font>
      <b/>
      <sz val="10"/>
      <color rgb="FFC00000"/>
      <name val="Segoe UI"/>
      <family val="2"/>
      <charset val="204"/>
    </font>
    <font>
      <sz val="10"/>
      <color rgb="FFFF0000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ill="0" applyBorder="0" applyAlignment="0" applyProtection="0"/>
    <xf numFmtId="167" fontId="12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4" fillId="0" borderId="0" xfId="1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1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164" fontId="6" fillId="2" borderId="1" xfId="1" applyFont="1" applyFill="1" applyBorder="1" applyAlignment="1" applyProtection="1">
      <alignment vertical="top"/>
      <protection locked="0"/>
    </xf>
    <xf numFmtId="165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1" xfId="1" applyFont="1" applyFill="1" applyBorder="1" applyAlignment="1" applyProtection="1">
      <alignment vertical="top"/>
      <protection locked="0"/>
    </xf>
    <xf numFmtId="165" fontId="6" fillId="0" borderId="0" xfId="0" applyNumberFormat="1" applyFont="1" applyAlignment="1">
      <alignment horizontal="left"/>
    </xf>
    <xf numFmtId="164" fontId="6" fillId="0" borderId="0" xfId="1" applyFont="1" applyFill="1" applyBorder="1" applyAlignment="1" applyProtection="1">
      <alignment horizontal="left"/>
    </xf>
    <xf numFmtId="49" fontId="1" fillId="0" borderId="0" xfId="0" applyNumberFormat="1" applyFont="1" applyAlignment="1">
      <alignment horizontal="center"/>
    </xf>
    <xf numFmtId="164" fontId="7" fillId="0" borderId="1" xfId="1" applyFont="1" applyFill="1" applyBorder="1" applyAlignment="1" applyProtection="1">
      <alignment vertical="top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1" applyFont="1" applyFill="1" applyBorder="1" applyAlignment="1" applyProtection="1">
      <alignment horizontal="left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164" fontId="6" fillId="0" borderId="4" xfId="1" applyFont="1" applyFill="1" applyBorder="1" applyAlignment="1" applyProtection="1">
      <alignment horizontal="right"/>
    </xf>
    <xf numFmtId="165" fontId="6" fillId="0" borderId="5" xfId="0" applyNumberFormat="1" applyFont="1" applyBorder="1" applyAlignment="1">
      <alignment horizontal="left"/>
    </xf>
    <xf numFmtId="4" fontId="6" fillId="0" borderId="5" xfId="0" applyNumberFormat="1" applyFont="1" applyBorder="1" applyAlignment="1">
      <alignment horizontal="left"/>
    </xf>
    <xf numFmtId="164" fontId="7" fillId="3" borderId="0" xfId="1" applyFont="1" applyFill="1" applyBorder="1" applyAlignment="1" applyProtection="1">
      <alignment horizontal="right"/>
    </xf>
    <xf numFmtId="165" fontId="7" fillId="3" borderId="5" xfId="0" applyNumberFormat="1" applyFont="1" applyFill="1" applyBorder="1" applyAlignment="1">
      <alignment horizontal="left"/>
    </xf>
    <xf numFmtId="164" fontId="7" fillId="3" borderId="0" xfId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/>
    </xf>
    <xf numFmtId="4" fontId="6" fillId="0" borderId="0" xfId="0" applyNumberFormat="1" applyFont="1"/>
    <xf numFmtId="0" fontId="6" fillId="4" borderId="0" xfId="0" applyFont="1" applyFill="1" applyAlignment="1">
      <alignment horizontal="left"/>
    </xf>
    <xf numFmtId="0" fontId="6" fillId="0" borderId="0" xfId="0" applyFont="1"/>
    <xf numFmtId="0" fontId="4" fillId="0" borderId="0" xfId="0" applyFont="1"/>
    <xf numFmtId="0" fontId="1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/>
    <xf numFmtId="0" fontId="6" fillId="3" borderId="13" xfId="0" applyFont="1" applyFill="1" applyBorder="1"/>
    <xf numFmtId="0" fontId="6" fillId="3" borderId="13" xfId="0" applyFont="1" applyFill="1" applyBorder="1" applyAlignment="1">
      <alignment horizontal="right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/>
    <xf numFmtId="4" fontId="6" fillId="3" borderId="13" xfId="0" applyNumberFormat="1" applyFont="1" applyFill="1" applyBorder="1"/>
    <xf numFmtId="4" fontId="7" fillId="0" borderId="14" xfId="0" applyNumberFormat="1" applyFont="1" applyBorder="1" applyAlignment="1">
      <alignment horizontal="center"/>
    </xf>
    <xf numFmtId="166" fontId="6" fillId="0" borderId="0" xfId="0" applyNumberFormat="1" applyFont="1"/>
    <xf numFmtId="0" fontId="11" fillId="0" borderId="13" xfId="0" applyFont="1" applyBorder="1"/>
    <xf numFmtId="0" fontId="6" fillId="0" borderId="13" xfId="0" applyFont="1" applyBorder="1" applyAlignment="1">
      <alignment vertical="center" wrapText="1"/>
    </xf>
    <xf numFmtId="0" fontId="7" fillId="0" borderId="13" xfId="0" applyFont="1" applyBorder="1"/>
    <xf numFmtId="0" fontId="6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3" borderId="15" xfId="0" applyFont="1" applyFill="1" applyBorder="1"/>
    <xf numFmtId="0" fontId="6" fillId="3" borderId="15" xfId="0" applyFont="1" applyFill="1" applyBorder="1" applyAlignment="1">
      <alignment horizontal="right"/>
    </xf>
    <xf numFmtId="4" fontId="6" fillId="3" borderId="15" xfId="0" applyNumberFormat="1" applyFont="1" applyFill="1" applyBorder="1"/>
    <xf numFmtId="0" fontId="6" fillId="0" borderId="17" xfId="0" applyFont="1" applyBorder="1"/>
    <xf numFmtId="0" fontId="6" fillId="0" borderId="18" xfId="0" applyFont="1" applyBorder="1"/>
    <xf numFmtId="0" fontId="6" fillId="0" borderId="20" xfId="0" applyFont="1" applyBorder="1"/>
    <xf numFmtId="0" fontId="6" fillId="0" borderId="22" xfId="0" applyFont="1" applyBorder="1"/>
    <xf numFmtId="0" fontId="6" fillId="0" borderId="23" xfId="0" applyFont="1" applyBorder="1"/>
    <xf numFmtId="0" fontId="7" fillId="0" borderId="18" xfId="0" applyFont="1" applyBorder="1"/>
    <xf numFmtId="0" fontId="7" fillId="0" borderId="23" xfId="0" applyFont="1" applyBorder="1"/>
    <xf numFmtId="0" fontId="9" fillId="0" borderId="0" xfId="0" applyFont="1"/>
    <xf numFmtId="14" fontId="6" fillId="0" borderId="0" xfId="0" applyNumberFormat="1" applyFont="1"/>
    <xf numFmtId="4" fontId="6" fillId="0" borderId="21" xfId="0" applyNumberFormat="1" applyFont="1" applyBorder="1"/>
    <xf numFmtId="4" fontId="9" fillId="0" borderId="24" xfId="0" applyNumberFormat="1" applyFont="1" applyBorder="1"/>
    <xf numFmtId="4" fontId="7" fillId="0" borderId="21" xfId="0" applyNumberFormat="1" applyFont="1" applyBorder="1"/>
    <xf numFmtId="4" fontId="7" fillId="0" borderId="19" xfId="0" applyNumberFormat="1" applyFont="1" applyBorder="1"/>
    <xf numFmtId="0" fontId="15" fillId="5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5" fillId="0" borderId="13" xfId="0" applyFont="1" applyBorder="1"/>
    <xf numFmtId="0" fontId="15" fillId="0" borderId="13" xfId="0" applyFont="1" applyBorder="1" applyAlignment="1">
      <alignment wrapText="1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/>
    <xf numFmtId="0" fontId="15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 wrapText="1"/>
    </xf>
    <xf numFmtId="4" fontId="15" fillId="0" borderId="13" xfId="0" applyNumberFormat="1" applyFont="1" applyBorder="1"/>
    <xf numFmtId="4" fontId="16" fillId="0" borderId="13" xfId="0" applyNumberFormat="1" applyFont="1" applyBorder="1"/>
    <xf numFmtId="49" fontId="16" fillId="0" borderId="13" xfId="0" applyNumberFormat="1" applyFont="1" applyBorder="1" applyAlignment="1">
      <alignment horizontal="center" vertical="center"/>
    </xf>
    <xf numFmtId="4" fontId="17" fillId="0" borderId="13" xfId="0" applyNumberFormat="1" applyFont="1" applyBorder="1"/>
    <xf numFmtId="4" fontId="15" fillId="4" borderId="13" xfId="0" applyNumberFormat="1" applyFont="1" applyFill="1" applyBorder="1"/>
    <xf numFmtId="0" fontId="17" fillId="0" borderId="0" xfId="0" applyFont="1"/>
    <xf numFmtId="4" fontId="18" fillId="0" borderId="0" xfId="0" applyNumberFormat="1" applyFont="1"/>
    <xf numFmtId="4" fontId="17" fillId="0" borderId="0" xfId="0" applyNumberFormat="1" applyFont="1"/>
    <xf numFmtId="4" fontId="17" fillId="0" borderId="0" xfId="0" applyNumberFormat="1" applyFont="1" applyAlignment="1">
      <alignment horizontal="center"/>
    </xf>
    <xf numFmtId="4" fontId="17" fillId="0" borderId="10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horizontal="left"/>
    </xf>
    <xf numFmtId="4" fontId="17" fillId="0" borderId="10" xfId="0" applyNumberFormat="1" applyFont="1" applyBorder="1"/>
    <xf numFmtId="0" fontId="17" fillId="0" borderId="13" xfId="0" applyFont="1" applyBorder="1" applyAlignment="1">
      <alignment horizontal="left"/>
    </xf>
    <xf numFmtId="0" fontId="17" fillId="0" borderId="13" xfId="0" applyFont="1" applyBorder="1"/>
    <xf numFmtId="4" fontId="17" fillId="0" borderId="10" xfId="0" applyNumberFormat="1" applyFont="1" applyBorder="1" applyAlignment="1">
      <alignment horizontal="left" wrapText="1"/>
    </xf>
    <xf numFmtId="4" fontId="17" fillId="0" borderId="0" xfId="0" applyNumberFormat="1" applyFont="1" applyAlignment="1">
      <alignment horizontal="left" wrapText="1"/>
    </xf>
    <xf numFmtId="4" fontId="17" fillId="5" borderId="0" xfId="0" applyNumberFormat="1" applyFont="1" applyFill="1"/>
    <xf numFmtId="0" fontId="17" fillId="0" borderId="10" xfId="0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3" borderId="13" xfId="0" applyNumberFormat="1" applyFont="1" applyFill="1" applyBorder="1" applyAlignment="1">
      <alignment horizontal="center"/>
    </xf>
    <xf numFmtId="0" fontId="21" fillId="0" borderId="13" xfId="0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 wrapText="1"/>
    </xf>
    <xf numFmtId="0" fontId="22" fillId="0" borderId="13" xfId="0" applyFont="1" applyBorder="1" applyAlignment="1">
      <alignment horizontal="left" wrapText="1"/>
    </xf>
    <xf numFmtId="0" fontId="23" fillId="0" borderId="13" xfId="0" applyFont="1" applyBorder="1" applyAlignment="1">
      <alignment horizontal="center" vertical="center"/>
    </xf>
    <xf numFmtId="4" fontId="22" fillId="0" borderId="13" xfId="0" applyNumberFormat="1" applyFont="1" applyBorder="1"/>
    <xf numFmtId="0" fontId="24" fillId="0" borderId="0" xfId="0" applyFont="1"/>
    <xf numFmtId="168" fontId="17" fillId="0" borderId="10" xfId="0" applyNumberFormat="1" applyFont="1" applyBorder="1"/>
    <xf numFmtId="4" fontId="7" fillId="0" borderId="0" xfId="0" applyNumberFormat="1" applyFont="1"/>
    <xf numFmtId="0" fontId="7" fillId="0" borderId="0" xfId="0" applyFont="1"/>
    <xf numFmtId="164" fontId="10" fillId="0" borderId="0" xfId="1"/>
    <xf numFmtId="43" fontId="25" fillId="0" borderId="0" xfId="0" applyNumberFormat="1" applyFont="1"/>
    <xf numFmtId="0" fontId="6" fillId="0" borderId="16" xfId="0" applyFont="1" applyBorder="1" applyAlignment="1">
      <alignment horizontal="right" vertical="center"/>
    </xf>
    <xf numFmtId="0" fontId="6" fillId="4" borderId="16" xfId="0" applyFont="1" applyFill="1" applyBorder="1" applyAlignment="1">
      <alignment horizontal="left" vertical="center" wrapText="1"/>
    </xf>
    <xf numFmtId="0" fontId="6" fillId="4" borderId="13" xfId="0" applyFont="1" applyFill="1" applyBorder="1"/>
    <xf numFmtId="4" fontId="7" fillId="4" borderId="13" xfId="0" applyNumberFormat="1" applyFont="1" applyFill="1" applyBorder="1"/>
    <xf numFmtId="0" fontId="7" fillId="4" borderId="13" xfId="0" applyFont="1" applyFill="1" applyBorder="1"/>
    <xf numFmtId="4" fontId="6" fillId="4" borderId="13" xfId="0" applyNumberFormat="1" applyFont="1" applyFill="1" applyBorder="1"/>
    <xf numFmtId="4" fontId="7" fillId="0" borderId="13" xfId="0" applyNumberFormat="1" applyFont="1" applyBorder="1"/>
    <xf numFmtId="0" fontId="7" fillId="3" borderId="5" xfId="0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center"/>
    </xf>
    <xf numFmtId="164" fontId="7" fillId="3" borderId="5" xfId="1" applyFont="1" applyFill="1" applyBorder="1" applyAlignment="1" applyProtection="1">
      <alignment horizontal="right"/>
    </xf>
    <xf numFmtId="2" fontId="7" fillId="3" borderId="5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64" fontId="6" fillId="0" borderId="5" xfId="1" applyFont="1" applyFill="1" applyBorder="1" applyAlignment="1" applyProtection="1">
      <alignment horizontal="right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C0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7826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CF42C"/>
      <color rgb="FFCFFF21"/>
      <color rgb="FF69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EC64"/>
  <sheetViews>
    <sheetView view="pageBreakPreview" topLeftCell="A25" zoomScaleSheetLayoutView="100" workbookViewId="0">
      <selection activeCell="DF44" sqref="DF44:DS44"/>
    </sheetView>
  </sheetViews>
  <sheetFormatPr defaultColWidth="1.140625" defaultRowHeight="15.75" x14ac:dyDescent="0.25"/>
  <cols>
    <col min="1" max="18" width="1.140625" style="1"/>
    <col min="19" max="19" width="10.140625" style="1" customWidth="1"/>
    <col min="20" max="20" width="0.42578125" style="1" customWidth="1"/>
    <col min="21" max="26" width="1.140625" style="1"/>
    <col min="27" max="27" width="0.7109375" style="1" customWidth="1"/>
    <col min="28" max="30" width="0" style="1" hidden="1" customWidth="1"/>
    <col min="31" max="37" width="1.140625" style="1"/>
    <col min="38" max="38" width="0.7109375" style="1" customWidth="1"/>
    <col min="39" max="41" width="0" style="1" hidden="1" customWidth="1"/>
    <col min="42" max="42" width="1" style="1" customWidth="1"/>
    <col min="43" max="43" width="0" style="1" hidden="1" customWidth="1"/>
    <col min="44" max="44" width="0.7109375" style="1" customWidth="1"/>
    <col min="45" max="46" width="0" style="1" hidden="1" customWidth="1"/>
    <col min="47" max="54" width="1.140625" style="1"/>
    <col min="55" max="55" width="0.7109375" style="1" customWidth="1"/>
    <col min="56" max="59" width="0" style="1" hidden="1" customWidth="1"/>
    <col min="60" max="110" width="1.140625" style="1"/>
    <col min="111" max="111" width="14" style="1" customWidth="1"/>
    <col min="112" max="123" width="1.140625" style="1"/>
    <col min="124" max="124" width="0.140625" style="1" customWidth="1"/>
    <col min="125" max="130" width="0" style="1" hidden="1" customWidth="1"/>
    <col min="131" max="131" width="0" style="2" hidden="1" customWidth="1"/>
    <col min="132" max="16384" width="1.140625" style="1"/>
  </cols>
  <sheetData>
    <row r="1" spans="1:131" s="3" customFormat="1" ht="11.25" x14ac:dyDescent="0.2">
      <c r="DS1" s="4" t="s">
        <v>0</v>
      </c>
      <c r="DT1" s="4"/>
      <c r="EA1" s="5"/>
    </row>
    <row r="2" spans="1:131" s="3" customFormat="1" ht="11.25" x14ac:dyDescent="0.2">
      <c r="DS2" s="4" t="s">
        <v>1</v>
      </c>
      <c r="DT2" s="4"/>
      <c r="EA2" s="5"/>
    </row>
    <row r="3" spans="1:131" s="3" customFormat="1" ht="11.25" x14ac:dyDescent="0.2">
      <c r="DS3" s="4" t="s">
        <v>2</v>
      </c>
      <c r="DT3" s="4"/>
      <c r="EA3" s="5"/>
    </row>
    <row r="4" spans="1:131" s="6" customFormat="1" ht="11.25" x14ac:dyDescent="0.2">
      <c r="DS4" s="4" t="s">
        <v>3</v>
      </c>
      <c r="DT4" s="4"/>
      <c r="EA4" s="7"/>
    </row>
    <row r="6" spans="1:131" s="9" customFormat="1" ht="30" customHeight="1" x14ac:dyDescent="0.25">
      <c r="A6" s="149" t="s">
        <v>160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8"/>
      <c r="EA6" s="10"/>
    </row>
    <row r="7" spans="1:131" s="12" customFormat="1" ht="9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EA7" s="13"/>
    </row>
    <row r="8" spans="1:131" s="9" customFormat="1" x14ac:dyDescent="0.25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4"/>
      <c r="DU8" s="9">
        <v>211</v>
      </c>
      <c r="DV8" s="15">
        <v>25513532</v>
      </c>
      <c r="DW8" s="151">
        <f>DV8-DF44</f>
        <v>-18828304.240000002</v>
      </c>
      <c r="DX8" s="151"/>
      <c r="DY8" s="16"/>
      <c r="EA8" s="10"/>
    </row>
    <row r="9" spans="1:131" s="17" customFormat="1" ht="12.75" x14ac:dyDescent="0.2">
      <c r="DV9" s="18"/>
      <c r="DY9" s="19"/>
      <c r="EA9" s="20"/>
    </row>
    <row r="10" spans="1:131" x14ac:dyDescent="0.25">
      <c r="A10" s="9" t="s">
        <v>5</v>
      </c>
      <c r="T10" s="152" t="s">
        <v>135</v>
      </c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21"/>
      <c r="DV10" s="22"/>
    </row>
    <row r="11" spans="1:131" s="23" customFormat="1" ht="12.75" x14ac:dyDescent="0.2">
      <c r="A11" s="12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V11" s="18"/>
      <c r="EA11" s="25"/>
    </row>
    <row r="12" spans="1:131" ht="15" customHeight="1" x14ac:dyDescent="0.25">
      <c r="A12" s="9" t="s">
        <v>6</v>
      </c>
      <c r="AH12" s="153" t="s">
        <v>7</v>
      </c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26"/>
      <c r="DV12" s="18"/>
    </row>
    <row r="13" spans="1:131" x14ac:dyDescent="0.25">
      <c r="DU13" s="1">
        <v>213</v>
      </c>
      <c r="DV13" s="15"/>
    </row>
    <row r="14" spans="1:131" x14ac:dyDescent="0.25">
      <c r="A14" s="150" t="s">
        <v>8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4"/>
    </row>
    <row r="15" spans="1:131" s="17" customFormat="1" ht="12.75" x14ac:dyDescent="0.2">
      <c r="EA15" s="20"/>
    </row>
    <row r="16" spans="1:131" s="17" customFormat="1" ht="12.75" customHeight="1" x14ac:dyDescent="0.2">
      <c r="A16" s="146" t="s">
        <v>9</v>
      </c>
      <c r="B16" s="146"/>
      <c r="C16" s="146"/>
      <c r="D16" s="146"/>
      <c r="E16" s="146" t="s">
        <v>10</v>
      </c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 t="s">
        <v>11</v>
      </c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7" t="s">
        <v>12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6" t="s">
        <v>13</v>
      </c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 t="s">
        <v>14</v>
      </c>
      <c r="CW16" s="146"/>
      <c r="CX16" s="146"/>
      <c r="CY16" s="146"/>
      <c r="CZ16" s="146"/>
      <c r="DA16" s="146"/>
      <c r="DB16" s="146"/>
      <c r="DC16" s="146"/>
      <c r="DD16" s="146"/>
      <c r="DE16" s="146"/>
      <c r="DF16" s="146" t="s">
        <v>15</v>
      </c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27"/>
      <c r="DU16" s="148" t="s">
        <v>16</v>
      </c>
      <c r="DV16" s="148" t="s">
        <v>17</v>
      </c>
      <c r="DW16" s="148" t="s">
        <v>18</v>
      </c>
      <c r="DX16" s="148" t="s">
        <v>19</v>
      </c>
      <c r="DY16" s="148" t="s">
        <v>20</v>
      </c>
      <c r="DZ16" s="148" t="s">
        <v>21</v>
      </c>
      <c r="EA16" s="20">
        <v>8052075</v>
      </c>
    </row>
    <row r="17" spans="1:131" s="17" customFormat="1" ht="12.75" x14ac:dyDescent="0.2">
      <c r="A17" s="145" t="s">
        <v>22</v>
      </c>
      <c r="B17" s="145"/>
      <c r="C17" s="145"/>
      <c r="D17" s="145"/>
      <c r="E17" s="145" t="s">
        <v>23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 t="s">
        <v>24</v>
      </c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6" t="s">
        <v>25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7" t="s">
        <v>26</v>
      </c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5" t="s">
        <v>27</v>
      </c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 t="s">
        <v>28</v>
      </c>
      <c r="CW17" s="145"/>
      <c r="CX17" s="145"/>
      <c r="CY17" s="145"/>
      <c r="CZ17" s="145"/>
      <c r="DA17" s="145"/>
      <c r="DB17" s="145"/>
      <c r="DC17" s="145"/>
      <c r="DD17" s="145"/>
      <c r="DE17" s="145"/>
      <c r="DF17" s="145" t="s">
        <v>29</v>
      </c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28"/>
      <c r="DU17" s="148"/>
      <c r="DV17" s="148"/>
      <c r="DW17" s="148"/>
      <c r="DX17" s="148"/>
      <c r="DY17" s="148"/>
      <c r="DZ17" s="148"/>
      <c r="EA17" s="20" t="e">
        <f>EA16-#REF!</f>
        <v>#REF!</v>
      </c>
    </row>
    <row r="18" spans="1:131" s="17" customFormat="1" ht="12.75" customHeight="1" x14ac:dyDescent="0.2">
      <c r="A18" s="145"/>
      <c r="B18" s="145"/>
      <c r="C18" s="145"/>
      <c r="D18" s="145"/>
      <c r="E18" s="145" t="s">
        <v>30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 t="s">
        <v>31</v>
      </c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6" t="s">
        <v>32</v>
      </c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 t="s">
        <v>33</v>
      </c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 t="s">
        <v>33</v>
      </c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5" t="s">
        <v>34</v>
      </c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 t="s">
        <v>35</v>
      </c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28"/>
      <c r="DU18" s="148"/>
      <c r="DV18" s="148"/>
      <c r="DW18" s="148"/>
      <c r="DX18" s="148"/>
      <c r="DY18" s="148"/>
      <c r="DZ18" s="148"/>
      <c r="EA18" s="20"/>
    </row>
    <row r="19" spans="1:131" s="17" customFormat="1" ht="12.75" x14ac:dyDescent="0.2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 t="s">
        <v>34</v>
      </c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 t="s">
        <v>36</v>
      </c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 t="s">
        <v>37</v>
      </c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 t="s">
        <v>38</v>
      </c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 t="s">
        <v>39</v>
      </c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28"/>
      <c r="DU19" s="148"/>
      <c r="DV19" s="148"/>
      <c r="DW19" s="148"/>
      <c r="DX19" s="148"/>
      <c r="DY19" s="148"/>
      <c r="DZ19" s="148"/>
      <c r="EA19" s="20">
        <v>2431726</v>
      </c>
    </row>
    <row r="20" spans="1:131" s="17" customFormat="1" ht="12.75" x14ac:dyDescent="0.2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 t="s">
        <v>40</v>
      </c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 t="s">
        <v>41</v>
      </c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 t="s">
        <v>41</v>
      </c>
      <c r="BX20" s="145"/>
      <c r="BY20" s="145"/>
      <c r="BZ20" s="145"/>
      <c r="CA20" s="145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 t="s">
        <v>42</v>
      </c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28"/>
      <c r="DU20" s="148"/>
      <c r="DV20" s="148"/>
      <c r="DW20" s="148"/>
      <c r="DX20" s="148"/>
      <c r="DY20" s="148"/>
      <c r="DZ20" s="148"/>
      <c r="EA20" s="20" t="e">
        <f>#REF!*30.2%</f>
        <v>#REF!</v>
      </c>
    </row>
    <row r="21" spans="1:131" s="17" customFormat="1" ht="12.75" x14ac:dyDescent="0.2">
      <c r="A21" s="147">
        <v>1</v>
      </c>
      <c r="B21" s="147"/>
      <c r="C21" s="147"/>
      <c r="D21" s="147"/>
      <c r="E21" s="147">
        <v>2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>
        <v>3</v>
      </c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>
        <v>4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>
        <v>5</v>
      </c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>
        <v>6</v>
      </c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>
        <v>7</v>
      </c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>
        <v>8</v>
      </c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>
        <v>9</v>
      </c>
      <c r="CW21" s="147"/>
      <c r="CX21" s="147"/>
      <c r="CY21" s="147"/>
      <c r="CZ21" s="147"/>
      <c r="DA21" s="147"/>
      <c r="DB21" s="147"/>
      <c r="DC21" s="147"/>
      <c r="DD21" s="147"/>
      <c r="DE21" s="147"/>
      <c r="DF21" s="147">
        <v>10</v>
      </c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29"/>
      <c r="DU21" s="30"/>
      <c r="DV21" s="30"/>
      <c r="DW21" s="30"/>
      <c r="DX21" s="30"/>
      <c r="DY21" s="30"/>
      <c r="DZ21" s="30"/>
      <c r="EA21" s="20"/>
    </row>
    <row r="22" spans="1:131" s="17" customFormat="1" ht="15.75" customHeight="1" x14ac:dyDescent="0.2">
      <c r="A22" s="139">
        <v>1</v>
      </c>
      <c r="B22" s="139"/>
      <c r="C22" s="139"/>
      <c r="D22" s="139"/>
      <c r="E22" s="139" t="s">
        <v>134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8">
        <v>1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31"/>
      <c r="DU22" s="32"/>
      <c r="DV22" s="32"/>
      <c r="DW22" s="33"/>
      <c r="DX22" s="33"/>
      <c r="DY22" s="33"/>
      <c r="DZ22" s="33"/>
      <c r="EA22" s="20"/>
    </row>
    <row r="23" spans="1:131" s="17" customFormat="1" ht="15.75" customHeight="1" x14ac:dyDescent="0.2">
      <c r="A23" s="139">
        <v>2</v>
      </c>
      <c r="B23" s="139"/>
      <c r="C23" s="139"/>
      <c r="D23" s="139"/>
      <c r="E23" s="139" t="s">
        <v>136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8">
        <v>3</v>
      </c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31"/>
      <c r="DU23" s="32"/>
      <c r="DV23" s="32"/>
      <c r="DW23" s="33"/>
      <c r="DX23" s="33"/>
      <c r="DY23" s="33"/>
      <c r="DZ23" s="33"/>
      <c r="EA23" s="20"/>
    </row>
    <row r="24" spans="1:131" s="17" customFormat="1" ht="15.75" customHeight="1" x14ac:dyDescent="0.2">
      <c r="A24" s="139">
        <v>3</v>
      </c>
      <c r="B24" s="139"/>
      <c r="C24" s="139"/>
      <c r="D24" s="139"/>
      <c r="E24" s="139" t="s">
        <v>318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8">
        <v>1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31"/>
      <c r="DU24" s="32"/>
      <c r="DV24" s="32"/>
      <c r="DW24" s="33"/>
      <c r="DX24" s="33"/>
      <c r="DY24" s="33"/>
      <c r="DZ24" s="33"/>
      <c r="EA24" s="20"/>
    </row>
    <row r="25" spans="1:131" s="17" customFormat="1" ht="15.75" customHeight="1" x14ac:dyDescent="0.2">
      <c r="A25" s="139">
        <v>4</v>
      </c>
      <c r="B25" s="139"/>
      <c r="C25" s="139"/>
      <c r="D25" s="139"/>
      <c r="E25" s="139" t="s">
        <v>127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8">
        <v>0.5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31"/>
      <c r="DU25" s="32"/>
      <c r="DV25" s="32"/>
      <c r="DW25" s="33"/>
      <c r="DX25" s="33"/>
      <c r="DY25" s="33"/>
      <c r="DZ25" s="33"/>
      <c r="EA25" s="20"/>
    </row>
    <row r="26" spans="1:131" s="17" customFormat="1" ht="15.75" customHeight="1" x14ac:dyDescent="0.2">
      <c r="A26" s="139">
        <v>5</v>
      </c>
      <c r="B26" s="139"/>
      <c r="C26" s="139"/>
      <c r="D26" s="139"/>
      <c r="E26" s="139" t="s">
        <v>319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8">
        <v>1</v>
      </c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41"/>
      <c r="BJ26" s="141"/>
      <c r="BK26" s="141"/>
      <c r="BL26" s="141"/>
      <c r="BM26" s="141"/>
      <c r="BN26" s="141"/>
      <c r="BO26" s="141"/>
      <c r="BP26" s="141"/>
      <c r="BQ26" s="141"/>
      <c r="BR26" s="141"/>
      <c r="BS26" s="141"/>
      <c r="BT26" s="141"/>
      <c r="BU26" s="141"/>
      <c r="BV26" s="141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31"/>
      <c r="DU26" s="32"/>
      <c r="DV26" s="32"/>
      <c r="DW26" s="33"/>
      <c r="DX26" s="33"/>
      <c r="DY26" s="33"/>
      <c r="DZ26" s="33"/>
      <c r="EA26" s="20"/>
    </row>
    <row r="27" spans="1:131" s="17" customFormat="1" ht="15.75" customHeight="1" x14ac:dyDescent="0.2">
      <c r="A27" s="139">
        <v>6</v>
      </c>
      <c r="B27" s="139"/>
      <c r="C27" s="139"/>
      <c r="D27" s="139"/>
      <c r="E27" s="139" t="s">
        <v>137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8">
        <v>1</v>
      </c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31"/>
      <c r="DU27" s="32"/>
      <c r="DV27" s="32"/>
      <c r="DW27" s="33"/>
      <c r="DX27" s="33"/>
      <c r="DY27" s="33"/>
      <c r="DZ27" s="33"/>
      <c r="EA27" s="20"/>
    </row>
    <row r="28" spans="1:131" s="17" customFormat="1" ht="15.75" customHeight="1" x14ac:dyDescent="0.2">
      <c r="A28" s="139">
        <v>7</v>
      </c>
      <c r="B28" s="139"/>
      <c r="C28" s="139"/>
      <c r="D28" s="139"/>
      <c r="E28" s="140" t="s">
        <v>138</v>
      </c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38">
        <v>2.7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31"/>
      <c r="DU28" s="32"/>
      <c r="DV28" s="32"/>
      <c r="DW28" s="33"/>
      <c r="DX28" s="33"/>
      <c r="DY28" s="33"/>
      <c r="DZ28" s="33"/>
      <c r="EA28" s="20"/>
    </row>
    <row r="29" spans="1:131" s="17" customFormat="1" ht="15.75" customHeight="1" x14ac:dyDescent="0.2">
      <c r="A29" s="139">
        <v>8</v>
      </c>
      <c r="B29" s="139"/>
      <c r="C29" s="139"/>
      <c r="D29" s="139"/>
      <c r="E29" s="139" t="s">
        <v>139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8">
        <v>1</v>
      </c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31"/>
      <c r="DU29" s="32"/>
      <c r="DV29" s="32"/>
      <c r="DW29" s="33"/>
      <c r="DX29" s="33"/>
      <c r="DY29" s="33"/>
      <c r="DZ29" s="33"/>
      <c r="EA29" s="20"/>
    </row>
    <row r="30" spans="1:131" s="17" customFormat="1" ht="15.75" customHeight="1" x14ac:dyDescent="0.2">
      <c r="A30" s="139">
        <v>9</v>
      </c>
      <c r="B30" s="139"/>
      <c r="C30" s="139"/>
      <c r="D30" s="139"/>
      <c r="E30" s="139" t="s">
        <v>140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8">
        <v>1</v>
      </c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31"/>
      <c r="DU30" s="32"/>
      <c r="DV30" s="32"/>
      <c r="DW30" s="33"/>
      <c r="DX30" s="33"/>
      <c r="DY30" s="33"/>
      <c r="DZ30" s="33"/>
      <c r="EA30" s="20"/>
    </row>
    <row r="31" spans="1:131" s="17" customFormat="1" ht="15.75" customHeight="1" x14ac:dyDescent="0.2">
      <c r="A31" s="139">
        <v>10</v>
      </c>
      <c r="B31" s="139"/>
      <c r="C31" s="139"/>
      <c r="D31" s="139"/>
      <c r="E31" s="139" t="s">
        <v>141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8">
        <v>66.89</v>
      </c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31"/>
      <c r="DU31" s="32"/>
      <c r="DV31" s="32"/>
      <c r="DW31" s="33"/>
      <c r="DX31" s="33"/>
      <c r="DY31" s="33"/>
      <c r="DZ31" s="33"/>
      <c r="EA31" s="20"/>
    </row>
    <row r="32" spans="1:131" s="17" customFormat="1" ht="15.75" customHeight="1" x14ac:dyDescent="0.2">
      <c r="A32" s="139">
        <v>11</v>
      </c>
      <c r="B32" s="139"/>
      <c r="C32" s="139"/>
      <c r="D32" s="139"/>
      <c r="E32" s="139" t="s">
        <v>320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8">
        <v>1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31"/>
      <c r="DU32" s="32"/>
      <c r="DV32" s="32"/>
      <c r="DW32" s="33"/>
      <c r="DX32" s="33"/>
      <c r="DY32" s="33"/>
      <c r="DZ32" s="33"/>
      <c r="EA32" s="20"/>
    </row>
    <row r="33" spans="1:131" s="17" customFormat="1" ht="27" customHeight="1" x14ac:dyDescent="0.2">
      <c r="A33" s="139">
        <v>12</v>
      </c>
      <c r="B33" s="139"/>
      <c r="C33" s="139"/>
      <c r="D33" s="139"/>
      <c r="E33" s="140" t="s">
        <v>321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38">
        <v>0.5</v>
      </c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31"/>
      <c r="DU33" s="32"/>
      <c r="DV33" s="32"/>
      <c r="DW33" s="33"/>
      <c r="DX33" s="33"/>
      <c r="DY33" s="33"/>
      <c r="DZ33" s="33"/>
      <c r="EA33" s="20"/>
    </row>
    <row r="34" spans="1:131" s="17" customFormat="1" ht="15.75" customHeight="1" x14ac:dyDescent="0.2">
      <c r="A34" s="139">
        <v>13</v>
      </c>
      <c r="B34" s="139"/>
      <c r="C34" s="139"/>
      <c r="D34" s="139"/>
      <c r="E34" s="140" t="s">
        <v>322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38">
        <v>0.5</v>
      </c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31"/>
      <c r="DU34" s="32"/>
      <c r="DV34" s="32"/>
      <c r="DW34" s="33"/>
      <c r="DX34" s="33"/>
      <c r="DY34" s="33"/>
      <c r="DZ34" s="33"/>
      <c r="EA34" s="20"/>
    </row>
    <row r="35" spans="1:131" s="17" customFormat="1" ht="15.75" customHeight="1" x14ac:dyDescent="0.2">
      <c r="A35" s="139">
        <v>14</v>
      </c>
      <c r="B35" s="139"/>
      <c r="C35" s="139"/>
      <c r="D35" s="139"/>
      <c r="E35" s="140" t="s">
        <v>323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38">
        <v>0.25</v>
      </c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31"/>
      <c r="DU35" s="32"/>
      <c r="DV35" s="32"/>
      <c r="DW35" s="33"/>
      <c r="DX35" s="33"/>
      <c r="DY35" s="33"/>
      <c r="DZ35" s="33"/>
      <c r="EA35" s="20"/>
    </row>
    <row r="36" spans="1:131" s="17" customFormat="1" ht="15.75" customHeight="1" x14ac:dyDescent="0.2">
      <c r="A36" s="139">
        <v>15</v>
      </c>
      <c r="B36" s="139"/>
      <c r="C36" s="139"/>
      <c r="D36" s="139"/>
      <c r="E36" s="140" t="s">
        <v>142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38">
        <v>1</v>
      </c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31"/>
      <c r="DU36" s="32"/>
      <c r="DV36" s="32"/>
      <c r="DW36" s="33"/>
      <c r="DX36" s="33"/>
      <c r="DY36" s="33"/>
      <c r="DZ36" s="33"/>
      <c r="EA36" s="20"/>
    </row>
    <row r="37" spans="1:131" s="17" customFormat="1" ht="15.75" customHeight="1" x14ac:dyDescent="0.2">
      <c r="A37" s="139">
        <v>16</v>
      </c>
      <c r="B37" s="139"/>
      <c r="C37" s="139"/>
      <c r="D37" s="139"/>
      <c r="E37" s="140" t="s">
        <v>324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38">
        <v>1</v>
      </c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31"/>
      <c r="DU37" s="32"/>
      <c r="DV37" s="32"/>
      <c r="DW37" s="33"/>
      <c r="DX37" s="33"/>
      <c r="DY37" s="33"/>
      <c r="DZ37" s="33"/>
      <c r="EA37" s="20"/>
    </row>
    <row r="38" spans="1:131" s="17" customFormat="1" ht="38.25" customHeight="1" x14ac:dyDescent="0.2">
      <c r="A38" s="139">
        <v>17</v>
      </c>
      <c r="B38" s="139"/>
      <c r="C38" s="139"/>
      <c r="D38" s="139"/>
      <c r="E38" s="140" t="s">
        <v>325</v>
      </c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38">
        <v>0.5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31"/>
      <c r="DU38" s="32"/>
      <c r="DV38" s="32"/>
      <c r="DW38" s="33"/>
      <c r="DX38" s="33"/>
      <c r="DY38" s="33"/>
      <c r="DZ38" s="33"/>
      <c r="EA38" s="20"/>
    </row>
    <row r="39" spans="1:131" s="17" customFormat="1" ht="37.5" customHeight="1" x14ac:dyDescent="0.2">
      <c r="A39" s="139">
        <v>18</v>
      </c>
      <c r="B39" s="139"/>
      <c r="C39" s="139"/>
      <c r="D39" s="139"/>
      <c r="E39" s="140" t="s">
        <v>143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38">
        <v>2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31"/>
      <c r="DU39" s="32"/>
      <c r="DV39" s="32"/>
      <c r="DW39" s="33"/>
      <c r="DX39" s="33"/>
      <c r="DY39" s="33"/>
      <c r="DZ39" s="33"/>
      <c r="EA39" s="20"/>
    </row>
    <row r="40" spans="1:131" s="17" customFormat="1" ht="27" customHeight="1" x14ac:dyDescent="0.2">
      <c r="A40" s="139">
        <v>19</v>
      </c>
      <c r="B40" s="139"/>
      <c r="C40" s="139"/>
      <c r="D40" s="139"/>
      <c r="E40" s="140" t="s">
        <v>144</v>
      </c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38">
        <v>8</v>
      </c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31"/>
      <c r="DU40" s="32"/>
      <c r="DV40" s="32"/>
      <c r="DW40" s="33"/>
      <c r="DX40" s="33"/>
      <c r="DY40" s="33"/>
      <c r="DZ40" s="33"/>
      <c r="EA40" s="20"/>
    </row>
    <row r="41" spans="1:131" s="17" customFormat="1" ht="15.75" customHeight="1" x14ac:dyDescent="0.2">
      <c r="A41" s="139">
        <v>20</v>
      </c>
      <c r="B41" s="139"/>
      <c r="C41" s="139"/>
      <c r="D41" s="139"/>
      <c r="E41" s="140" t="s">
        <v>145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38">
        <v>0.25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31"/>
      <c r="DU41" s="32"/>
      <c r="DV41" s="32"/>
      <c r="DW41" s="33"/>
      <c r="DX41" s="33"/>
      <c r="DY41" s="33"/>
      <c r="DZ41" s="33"/>
      <c r="EA41" s="20"/>
    </row>
    <row r="42" spans="1:131" s="17" customFormat="1" ht="15.75" customHeight="1" x14ac:dyDescent="0.2">
      <c r="A42" s="139">
        <v>21</v>
      </c>
      <c r="B42" s="139"/>
      <c r="C42" s="139"/>
      <c r="D42" s="139"/>
      <c r="E42" s="140" t="s">
        <v>146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38">
        <v>1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31"/>
      <c r="DU42" s="32"/>
      <c r="DV42" s="32"/>
      <c r="DW42" s="33"/>
      <c r="DX42" s="33"/>
      <c r="DY42" s="33"/>
      <c r="DZ42" s="33"/>
      <c r="EA42" s="20"/>
    </row>
    <row r="43" spans="1:131" s="17" customFormat="1" ht="15.75" customHeight="1" x14ac:dyDescent="0.2">
      <c r="A43" s="139">
        <v>22</v>
      </c>
      <c r="B43" s="139"/>
      <c r="C43" s="139"/>
      <c r="D43" s="139"/>
      <c r="E43" s="140" t="s">
        <v>147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38">
        <v>4</v>
      </c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31"/>
      <c r="DU43" s="32"/>
      <c r="DV43" s="32"/>
      <c r="DW43" s="33"/>
      <c r="DX43" s="33"/>
      <c r="DY43" s="33"/>
      <c r="DZ43" s="33"/>
      <c r="EA43" s="20"/>
    </row>
    <row r="44" spans="1:131" s="37" customFormat="1" ht="12.75" x14ac:dyDescent="0.2">
      <c r="A44" s="133" t="s">
        <v>43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4">
        <f>SUM(U22:AF43)</f>
        <v>99.09</v>
      </c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5">
        <f>SUM(AG22:AT43)</f>
        <v>0</v>
      </c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1" t="s">
        <v>44</v>
      </c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 t="s">
        <v>44</v>
      </c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6">
        <f>SUM(BW22:CJ43)</f>
        <v>0</v>
      </c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7" t="s">
        <v>44</v>
      </c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1" t="s">
        <v>44</v>
      </c>
      <c r="CW44" s="131"/>
      <c r="CX44" s="131"/>
      <c r="CY44" s="131"/>
      <c r="CZ44" s="131"/>
      <c r="DA44" s="131"/>
      <c r="DB44" s="131"/>
      <c r="DC44" s="131"/>
      <c r="DD44" s="131"/>
      <c r="DE44" s="131"/>
      <c r="DF44" s="132">
        <v>44341836.240000002</v>
      </c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34"/>
      <c r="DU44" s="35"/>
      <c r="DV44" s="35"/>
      <c r="DW44" s="35"/>
      <c r="DX44" s="35"/>
      <c r="DY44" s="35"/>
      <c r="DZ44" s="35"/>
      <c r="EA44" s="36"/>
    </row>
    <row r="45" spans="1:131" s="17" customFormat="1" ht="12.75" x14ac:dyDescent="0.2">
      <c r="H45" s="20"/>
    </row>
    <row r="46" spans="1:131" s="17" customFormat="1" ht="12.75" x14ac:dyDescent="0.2">
      <c r="B46" s="20"/>
      <c r="E46" s="20"/>
      <c r="H46" s="20"/>
    </row>
    <row r="47" spans="1:131" s="17" customFormat="1" ht="12.75" x14ac:dyDescent="0.2">
      <c r="B47" s="20"/>
      <c r="E47" s="20"/>
      <c r="H47" s="20"/>
    </row>
    <row r="48" spans="1:131" s="17" customFormat="1" ht="12.75" x14ac:dyDescent="0.2">
      <c r="B48" s="20"/>
      <c r="E48" s="20"/>
      <c r="H48" s="20"/>
      <c r="BO48" s="39"/>
    </row>
    <row r="49" spans="1:133" s="17" customFormat="1" ht="12.75" x14ac:dyDescent="0.2">
      <c r="B49" s="20"/>
      <c r="E49" s="20"/>
      <c r="H49" s="20"/>
    </row>
    <row r="50" spans="1:133" x14ac:dyDescent="0.25">
      <c r="A50" s="17"/>
      <c r="B50" s="20"/>
      <c r="C50" s="17"/>
      <c r="D50" s="17"/>
      <c r="E50" s="20"/>
      <c r="F50" s="17"/>
      <c r="G50" s="17"/>
      <c r="H50" s="20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</row>
    <row r="51" spans="1:133" s="3" customFormat="1" ht="12.75" x14ac:dyDescent="0.2">
      <c r="A51" s="4"/>
      <c r="H51" s="20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</row>
    <row r="52" spans="1:133" s="3" customFormat="1" ht="12.75" x14ac:dyDescent="0.2">
      <c r="A52" s="4"/>
      <c r="H52" s="20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</row>
    <row r="53" spans="1:133" s="3" customFormat="1" ht="12.75" x14ac:dyDescent="0.2">
      <c r="A53" s="4"/>
      <c r="H53" s="20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</row>
    <row r="54" spans="1:133" s="6" customFormat="1" ht="12.75" x14ac:dyDescent="0.2">
      <c r="A54" s="4"/>
      <c r="H54" s="20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</row>
    <row r="55" spans="1:133" x14ac:dyDescent="0.25">
      <c r="H55" s="20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</row>
    <row r="56" spans="1:133" s="17" customFormat="1" ht="15.75" customHeight="1" x14ac:dyDescent="0.25">
      <c r="A56" s="8"/>
      <c r="B56" s="9"/>
      <c r="C56" s="9"/>
      <c r="D56" s="9"/>
      <c r="E56" s="9"/>
      <c r="F56" s="9"/>
      <c r="G56" s="9"/>
      <c r="H56" s="20"/>
    </row>
    <row r="57" spans="1:133" s="17" customFormat="1" ht="12.75" x14ac:dyDescent="0.2">
      <c r="A57" s="11"/>
      <c r="B57" s="12"/>
      <c r="C57" s="12"/>
      <c r="D57" s="12"/>
      <c r="E57" s="12"/>
      <c r="F57" s="12"/>
      <c r="G57" s="12"/>
      <c r="H57" s="20"/>
    </row>
    <row r="58" spans="1:133" s="17" customFormat="1" x14ac:dyDescent="0.25">
      <c r="A58" s="14"/>
      <c r="B58" s="9"/>
      <c r="C58" s="9"/>
      <c r="D58" s="9"/>
      <c r="E58" s="9"/>
      <c r="F58" s="9"/>
      <c r="G58" s="9"/>
      <c r="H58" s="20"/>
    </row>
    <row r="59" spans="1:133" s="17" customFormat="1" ht="12.75" x14ac:dyDescent="0.2">
      <c r="H59" s="20"/>
    </row>
    <row r="60" spans="1:133" s="17" customFormat="1" x14ac:dyDescent="0.25">
      <c r="A60" s="21"/>
      <c r="B60" s="1"/>
      <c r="C60" s="1"/>
      <c r="D60" s="1"/>
      <c r="E60" s="1"/>
      <c r="F60" s="1"/>
      <c r="G60" s="1"/>
      <c r="H60" s="20"/>
    </row>
    <row r="61" spans="1:133" s="17" customFormat="1" ht="12.75" x14ac:dyDescent="0.2">
      <c r="A61" s="24"/>
      <c r="B61" s="23"/>
      <c r="C61" s="23"/>
      <c r="D61" s="23"/>
      <c r="E61" s="23"/>
      <c r="F61" s="23"/>
      <c r="G61" s="23"/>
      <c r="H61" s="20"/>
    </row>
    <row r="62" spans="1:133" s="17" customFormat="1" ht="15.75" customHeight="1" x14ac:dyDescent="0.25">
      <c r="A62" s="26"/>
      <c r="B62" s="1"/>
      <c r="C62" s="1"/>
      <c r="D62" s="1"/>
      <c r="E62" s="1"/>
      <c r="F62" s="1"/>
      <c r="G62" s="1"/>
      <c r="H62" s="20"/>
    </row>
    <row r="63" spans="1:133" x14ac:dyDescent="0.25">
      <c r="H63" s="20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</row>
    <row r="64" spans="1:133" s="17" customFormat="1" x14ac:dyDescent="0.25">
      <c r="A64" s="14"/>
      <c r="B64" s="1"/>
      <c r="C64" s="1"/>
      <c r="D64" s="1"/>
      <c r="E64" s="1"/>
      <c r="F64" s="1"/>
      <c r="G64" s="1"/>
      <c r="H64" s="20"/>
    </row>
  </sheetData>
  <sheetProtection selectLockedCells="1" selectUnlockedCells="1"/>
  <mergeCells count="296">
    <mergeCell ref="DF34:DS34"/>
    <mergeCell ref="A34:D34"/>
    <mergeCell ref="E34:T34"/>
    <mergeCell ref="U34:AF34"/>
    <mergeCell ref="AG34:AT34"/>
    <mergeCell ref="AU34:BH34"/>
    <mergeCell ref="BI34:BV34"/>
    <mergeCell ref="BW34:CJ34"/>
    <mergeCell ref="CK34:CU34"/>
    <mergeCell ref="CV34:DE34"/>
    <mergeCell ref="AU32:BH32"/>
    <mergeCell ref="BI32:BV32"/>
    <mergeCell ref="BW32:CJ32"/>
    <mergeCell ref="CK32:CU32"/>
    <mergeCell ref="CV32:DE32"/>
    <mergeCell ref="DF32:DS32"/>
    <mergeCell ref="A33:D33"/>
    <mergeCell ref="E33:T33"/>
    <mergeCell ref="U33:AF33"/>
    <mergeCell ref="AG33:AT33"/>
    <mergeCell ref="AU33:BH33"/>
    <mergeCell ref="BI33:BV33"/>
    <mergeCell ref="BW33:CJ33"/>
    <mergeCell ref="CK33:CU33"/>
    <mergeCell ref="CV33:DE33"/>
    <mergeCell ref="DF33:DS33"/>
    <mergeCell ref="DF24:DS24"/>
    <mergeCell ref="A26:D26"/>
    <mergeCell ref="E26:T26"/>
    <mergeCell ref="U26:AF26"/>
    <mergeCell ref="AG26:AT26"/>
    <mergeCell ref="AU26:BH26"/>
    <mergeCell ref="BI26:BV26"/>
    <mergeCell ref="BW26:CJ26"/>
    <mergeCell ref="CK26:CU26"/>
    <mergeCell ref="CV26:DE26"/>
    <mergeCell ref="DF26:DS26"/>
    <mergeCell ref="A24:D24"/>
    <mergeCell ref="E24:T24"/>
    <mergeCell ref="U24:AF24"/>
    <mergeCell ref="AG24:AT24"/>
    <mergeCell ref="AU24:BH24"/>
    <mergeCell ref="BI24:BV24"/>
    <mergeCell ref="BW24:CJ24"/>
    <mergeCell ref="CK24:CU24"/>
    <mergeCell ref="CV24:DE24"/>
    <mergeCell ref="DF25:DS25"/>
    <mergeCell ref="A25:D25"/>
    <mergeCell ref="E25:T25"/>
    <mergeCell ref="U25:AF25"/>
    <mergeCell ref="AG25:AT25"/>
    <mergeCell ref="AU25:BH25"/>
    <mergeCell ref="BI25:BV25"/>
    <mergeCell ref="BW25:CJ25"/>
    <mergeCell ref="CK25:CU25"/>
    <mergeCell ref="CV25:DE25"/>
    <mergeCell ref="A6:DS6"/>
    <mergeCell ref="A8:DS8"/>
    <mergeCell ref="DW8:DX8"/>
    <mergeCell ref="T10:DS10"/>
    <mergeCell ref="AH12:DS12"/>
    <mergeCell ref="A14:DS14"/>
    <mergeCell ref="DF18:DS18"/>
    <mergeCell ref="A19:D19"/>
    <mergeCell ref="E19:T19"/>
    <mergeCell ref="U19:AF19"/>
    <mergeCell ref="AG19:AT19"/>
    <mergeCell ref="AU19:BH19"/>
    <mergeCell ref="BI19:BV19"/>
    <mergeCell ref="BW19:CJ19"/>
    <mergeCell ref="E18:T18"/>
    <mergeCell ref="U18:AF18"/>
    <mergeCell ref="AG18:AT18"/>
    <mergeCell ref="AU18:BH18"/>
    <mergeCell ref="DZ16:DZ20"/>
    <mergeCell ref="A17:D17"/>
    <mergeCell ref="E17:T17"/>
    <mergeCell ref="U17:AF17"/>
    <mergeCell ref="AG17:AT17"/>
    <mergeCell ref="AU17:CJ17"/>
    <mergeCell ref="CK17:CU17"/>
    <mergeCell ref="CV17:DE17"/>
    <mergeCell ref="DF17:DS17"/>
    <mergeCell ref="A18:D18"/>
    <mergeCell ref="DF16:DS16"/>
    <mergeCell ref="DU16:DU20"/>
    <mergeCell ref="DV16:DV20"/>
    <mergeCell ref="DW16:DW20"/>
    <mergeCell ref="DX16:DX20"/>
    <mergeCell ref="DY16:DY20"/>
    <mergeCell ref="A16:D16"/>
    <mergeCell ref="E16:T16"/>
    <mergeCell ref="U16:AF16"/>
    <mergeCell ref="AG16:CJ16"/>
    <mergeCell ref="CK16:CU16"/>
    <mergeCell ref="CV16:DE16"/>
    <mergeCell ref="CK18:CU18"/>
    <mergeCell ref="CV18:DE18"/>
    <mergeCell ref="BI18:BV18"/>
    <mergeCell ref="BW18:CJ18"/>
    <mergeCell ref="CK19:CU19"/>
    <mergeCell ref="CV19:DE19"/>
    <mergeCell ref="DF19:DS19"/>
    <mergeCell ref="DF20:DS20"/>
    <mergeCell ref="A21:D21"/>
    <mergeCell ref="E21:T21"/>
    <mergeCell ref="U21:AF21"/>
    <mergeCell ref="AG21:AT21"/>
    <mergeCell ref="AU21:BH21"/>
    <mergeCell ref="BI21:BV21"/>
    <mergeCell ref="BW21:CJ21"/>
    <mergeCell ref="CK21:CU21"/>
    <mergeCell ref="CV21:DE21"/>
    <mergeCell ref="DF21:DS21"/>
    <mergeCell ref="A20:D20"/>
    <mergeCell ref="E20:T20"/>
    <mergeCell ref="U20:AF20"/>
    <mergeCell ref="AG20:AT20"/>
    <mergeCell ref="AU20:BH20"/>
    <mergeCell ref="BI20:BV20"/>
    <mergeCell ref="BW20:CJ20"/>
    <mergeCell ref="CK20:CU20"/>
    <mergeCell ref="CV20:DE20"/>
    <mergeCell ref="DF22:DS22"/>
    <mergeCell ref="A23:D23"/>
    <mergeCell ref="E23:T23"/>
    <mergeCell ref="U23:AF23"/>
    <mergeCell ref="AG23:AT23"/>
    <mergeCell ref="AU23:BH23"/>
    <mergeCell ref="BI23:BV23"/>
    <mergeCell ref="BW23:CJ23"/>
    <mergeCell ref="CK23:CU23"/>
    <mergeCell ref="CV23:DE23"/>
    <mergeCell ref="DF23:DS23"/>
    <mergeCell ref="A22:D22"/>
    <mergeCell ref="E22:T22"/>
    <mergeCell ref="U22:AF22"/>
    <mergeCell ref="AG22:AT22"/>
    <mergeCell ref="AU22:BH22"/>
    <mergeCell ref="BI22:BV22"/>
    <mergeCell ref="BW22:CJ22"/>
    <mergeCell ref="CK22:CU22"/>
    <mergeCell ref="CV22:DE22"/>
    <mergeCell ref="DF27:DS27"/>
    <mergeCell ref="A28:D28"/>
    <mergeCell ref="E28:T28"/>
    <mergeCell ref="U28:AF28"/>
    <mergeCell ref="AG28:AT28"/>
    <mergeCell ref="AU28:BH28"/>
    <mergeCell ref="BI28:BV28"/>
    <mergeCell ref="BW28:CJ28"/>
    <mergeCell ref="CK28:CU28"/>
    <mergeCell ref="CV28:DE28"/>
    <mergeCell ref="DF28:DS28"/>
    <mergeCell ref="A27:D27"/>
    <mergeCell ref="E27:T27"/>
    <mergeCell ref="U27:AF27"/>
    <mergeCell ref="AG27:AT27"/>
    <mergeCell ref="AU27:BH27"/>
    <mergeCell ref="BI27:BV27"/>
    <mergeCell ref="BW27:CJ27"/>
    <mergeCell ref="CK27:CU27"/>
    <mergeCell ref="CV27:DE27"/>
    <mergeCell ref="DF29:DS29"/>
    <mergeCell ref="A30:D30"/>
    <mergeCell ref="E30:T30"/>
    <mergeCell ref="U30:AF30"/>
    <mergeCell ref="AG30:AT30"/>
    <mergeCell ref="AU30:BH30"/>
    <mergeCell ref="BI30:BV30"/>
    <mergeCell ref="BW30:CJ30"/>
    <mergeCell ref="CK30:CU30"/>
    <mergeCell ref="CV30:DE30"/>
    <mergeCell ref="DF30:DS30"/>
    <mergeCell ref="A29:D29"/>
    <mergeCell ref="E29:T29"/>
    <mergeCell ref="U29:AF29"/>
    <mergeCell ref="AG29:AT29"/>
    <mergeCell ref="AU29:BH29"/>
    <mergeCell ref="BI29:BV29"/>
    <mergeCell ref="BW29:CJ29"/>
    <mergeCell ref="CK29:CU29"/>
    <mergeCell ref="CV29:DE29"/>
    <mergeCell ref="DF31:DS31"/>
    <mergeCell ref="A35:D35"/>
    <mergeCell ref="E35:T35"/>
    <mergeCell ref="U35:AF35"/>
    <mergeCell ref="AG35:AT35"/>
    <mergeCell ref="AU35:BH35"/>
    <mergeCell ref="BI35:BV35"/>
    <mergeCell ref="BW35:CJ35"/>
    <mergeCell ref="CK35:CU35"/>
    <mergeCell ref="CV35:DE35"/>
    <mergeCell ref="DF35:DS35"/>
    <mergeCell ref="A31:D31"/>
    <mergeCell ref="E31:T31"/>
    <mergeCell ref="U31:AF31"/>
    <mergeCell ref="AG31:AT31"/>
    <mergeCell ref="AU31:BH31"/>
    <mergeCell ref="BI31:BV31"/>
    <mergeCell ref="BW31:CJ31"/>
    <mergeCell ref="CK31:CU31"/>
    <mergeCell ref="CV31:DE31"/>
    <mergeCell ref="A32:D32"/>
    <mergeCell ref="E32:T32"/>
    <mergeCell ref="U32:AF32"/>
    <mergeCell ref="AG32:AT32"/>
    <mergeCell ref="DF36:DS36"/>
    <mergeCell ref="A37:D37"/>
    <mergeCell ref="E37:T37"/>
    <mergeCell ref="U37:AF37"/>
    <mergeCell ref="AG37:AT37"/>
    <mergeCell ref="AU37:BH37"/>
    <mergeCell ref="BI37:BV37"/>
    <mergeCell ref="BW37:CJ37"/>
    <mergeCell ref="CK37:CU37"/>
    <mergeCell ref="CV37:DE37"/>
    <mergeCell ref="DF37:DS37"/>
    <mergeCell ref="A36:D36"/>
    <mergeCell ref="E36:T36"/>
    <mergeCell ref="U36:AF36"/>
    <mergeCell ref="AG36:AT36"/>
    <mergeCell ref="AU36:BH36"/>
    <mergeCell ref="BI36:BV36"/>
    <mergeCell ref="BW36:CJ36"/>
    <mergeCell ref="CK36:CU36"/>
    <mergeCell ref="CV36:DE36"/>
    <mergeCell ref="DF38:DS38"/>
    <mergeCell ref="A38:D38"/>
    <mergeCell ref="E38:T38"/>
    <mergeCell ref="U38:AF38"/>
    <mergeCell ref="AG38:AT38"/>
    <mergeCell ref="AU38:BH38"/>
    <mergeCell ref="BI38:BV38"/>
    <mergeCell ref="BW38:CJ38"/>
    <mergeCell ref="CK38:CU38"/>
    <mergeCell ref="CV38:DE38"/>
    <mergeCell ref="DF39:DS39"/>
    <mergeCell ref="A40:D40"/>
    <mergeCell ref="E40:T40"/>
    <mergeCell ref="U40:AF40"/>
    <mergeCell ref="AG40:AT40"/>
    <mergeCell ref="AU40:BH40"/>
    <mergeCell ref="BI40:BV40"/>
    <mergeCell ref="BW40:CJ40"/>
    <mergeCell ref="CK40:CU40"/>
    <mergeCell ref="CV40:DE40"/>
    <mergeCell ref="DF40:DS40"/>
    <mergeCell ref="A39:D39"/>
    <mergeCell ref="E39:T39"/>
    <mergeCell ref="U39:AF39"/>
    <mergeCell ref="AG39:AT39"/>
    <mergeCell ref="AU39:BH39"/>
    <mergeCell ref="BI39:BV39"/>
    <mergeCell ref="BW39:CJ39"/>
    <mergeCell ref="CK39:CU39"/>
    <mergeCell ref="CV39:DE39"/>
    <mergeCell ref="DF41:DS41"/>
    <mergeCell ref="A42:D42"/>
    <mergeCell ref="E42:T42"/>
    <mergeCell ref="U42:AF42"/>
    <mergeCell ref="AG42:AT42"/>
    <mergeCell ref="AU42:BH42"/>
    <mergeCell ref="BI42:BV42"/>
    <mergeCell ref="BW42:CJ42"/>
    <mergeCell ref="CK42:CU42"/>
    <mergeCell ref="CV42:DE42"/>
    <mergeCell ref="DF42:DS42"/>
    <mergeCell ref="A41:D41"/>
    <mergeCell ref="E41:T41"/>
    <mergeCell ref="U41:AF41"/>
    <mergeCell ref="AG41:AT41"/>
    <mergeCell ref="AU41:BH41"/>
    <mergeCell ref="BI41:BV41"/>
    <mergeCell ref="BW41:CJ41"/>
    <mergeCell ref="CK41:CU41"/>
    <mergeCell ref="CV41:DE41"/>
    <mergeCell ref="DF43:DS43"/>
    <mergeCell ref="A43:D43"/>
    <mergeCell ref="E43:T43"/>
    <mergeCell ref="U43:AF43"/>
    <mergeCell ref="AG43:AT43"/>
    <mergeCell ref="AU43:BH43"/>
    <mergeCell ref="BI43:BV43"/>
    <mergeCell ref="BW43:CJ43"/>
    <mergeCell ref="CK43:CU43"/>
    <mergeCell ref="CV43:DE43"/>
    <mergeCell ref="CV44:DE44"/>
    <mergeCell ref="DF44:DS44"/>
    <mergeCell ref="A44:T44"/>
    <mergeCell ref="U44:AF44"/>
    <mergeCell ref="AG44:AT44"/>
    <mergeCell ref="AU44:BH44"/>
    <mergeCell ref="BI44:BV44"/>
    <mergeCell ref="BW44:CJ44"/>
    <mergeCell ref="CK44:CU44"/>
  </mergeCells>
  <pageMargins left="0.39374999999999999" right="0.39374999999999999" top="0.78749999999999998" bottom="0.39374999999999999" header="0.27569444444444446" footer="0.51180555555555551"/>
  <pageSetup paperSize="9" scale="66" firstPageNumber="0" orientation="portrait" horizontalDpi="300" verticalDpi="300" r:id="rId1"/>
  <headerFooter alignWithMargins="0">
    <oddHeader>&amp;L&amp;"Arial,Обычный"&amp;6Подготовлено с использованием системы ГАРАНТ</oddHeader>
  </headerFooter>
  <colBreaks count="2" manualBreakCount="2">
    <brk id="123" max="1048575" man="1"/>
    <brk id="1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K67"/>
  <sheetViews>
    <sheetView view="pageBreakPreview" topLeftCell="A52" zoomScaleNormal="100" zoomScaleSheetLayoutView="100" workbookViewId="0">
      <selection activeCell="C28" sqref="C28"/>
    </sheetView>
  </sheetViews>
  <sheetFormatPr defaultRowHeight="12.75" x14ac:dyDescent="0.2"/>
  <cols>
    <col min="1" max="1" width="3.7109375" style="40" customWidth="1"/>
    <col min="2" max="2" width="34.85546875" style="40" customWidth="1"/>
    <col min="3" max="3" width="21.5703125" style="40" customWidth="1"/>
    <col min="4" max="4" width="11.28515625" style="40" customWidth="1"/>
    <col min="5" max="5" width="11" style="40" customWidth="1"/>
    <col min="6" max="6" width="19.85546875" style="38" customWidth="1"/>
    <col min="7" max="10" width="21.7109375" style="38" customWidth="1"/>
    <col min="11" max="11" width="9.140625" style="113"/>
    <col min="12" max="16384" width="9.140625" style="40"/>
  </cols>
  <sheetData>
    <row r="1" spans="1:11" ht="15.75" x14ac:dyDescent="0.25">
      <c r="A1" s="41" t="s">
        <v>45</v>
      </c>
    </row>
    <row r="2" spans="1:11" ht="7.5" customHeight="1" x14ac:dyDescent="0.25">
      <c r="A2" s="41"/>
    </row>
    <row r="3" spans="1:11" ht="15.75" x14ac:dyDescent="0.25">
      <c r="A3" s="41" t="s">
        <v>161</v>
      </c>
      <c r="B3" s="41"/>
      <c r="C3" s="42" t="s">
        <v>96</v>
      </c>
    </row>
    <row r="4" spans="1:11" x14ac:dyDescent="0.2">
      <c r="A4" s="40" t="s">
        <v>162</v>
      </c>
      <c r="C4" s="40" t="s">
        <v>7</v>
      </c>
    </row>
    <row r="6" spans="1:11" s="44" customFormat="1" ht="40.5" customHeight="1" x14ac:dyDescent="0.2">
      <c r="A6" s="43" t="s">
        <v>163</v>
      </c>
      <c r="B6" s="43" t="s">
        <v>46</v>
      </c>
      <c r="C6" s="43" t="s">
        <v>170</v>
      </c>
      <c r="D6" s="43" t="s">
        <v>171</v>
      </c>
      <c r="E6" s="43" t="s">
        <v>172</v>
      </c>
      <c r="F6" s="51" t="s">
        <v>164</v>
      </c>
      <c r="G6" s="54" t="s">
        <v>48</v>
      </c>
      <c r="H6" s="54" t="s">
        <v>49</v>
      </c>
      <c r="I6" s="54" t="s">
        <v>50</v>
      </c>
      <c r="J6" s="54" t="s">
        <v>51</v>
      </c>
      <c r="K6" s="114"/>
    </row>
    <row r="7" spans="1:11" ht="14.25" customHeight="1" x14ac:dyDescent="0.2">
      <c r="A7" s="45">
        <v>1</v>
      </c>
      <c r="B7" s="45" t="s">
        <v>165</v>
      </c>
      <c r="C7" s="45"/>
      <c r="D7" s="45"/>
      <c r="E7" s="45"/>
      <c r="F7" s="52"/>
      <c r="G7" s="52"/>
      <c r="H7" s="52"/>
      <c r="I7" s="52">
        <f>G7-H7</f>
        <v>0</v>
      </c>
      <c r="J7" s="52">
        <f>F7-G7</f>
        <v>0</v>
      </c>
    </row>
    <row r="8" spans="1:11" ht="14.25" customHeight="1" x14ac:dyDescent="0.2">
      <c r="A8" s="45">
        <v>2</v>
      </c>
      <c r="B8" s="45" t="s">
        <v>166</v>
      </c>
      <c r="C8" s="45"/>
      <c r="D8" s="45"/>
      <c r="E8" s="45"/>
      <c r="F8" s="52"/>
      <c r="G8" s="52"/>
      <c r="H8" s="52"/>
      <c r="I8" s="52">
        <f t="shared" ref="I8:I10" si="0">G8-H8</f>
        <v>0</v>
      </c>
      <c r="J8" s="52">
        <f t="shared" ref="J8:J10" si="1">F8-G8</f>
        <v>0</v>
      </c>
    </row>
    <row r="9" spans="1:11" ht="14.25" customHeight="1" x14ac:dyDescent="0.2">
      <c r="A9" s="45">
        <v>3</v>
      </c>
      <c r="B9" s="45" t="s">
        <v>167</v>
      </c>
      <c r="C9" s="45"/>
      <c r="D9" s="45"/>
      <c r="E9" s="45"/>
      <c r="F9" s="52"/>
      <c r="G9" s="52"/>
      <c r="H9" s="52"/>
      <c r="I9" s="52">
        <f t="shared" si="0"/>
        <v>0</v>
      </c>
      <c r="J9" s="52">
        <f t="shared" si="1"/>
        <v>0</v>
      </c>
    </row>
    <row r="10" spans="1:11" ht="14.25" customHeight="1" x14ac:dyDescent="0.2">
      <c r="A10" s="45"/>
      <c r="B10" s="45"/>
      <c r="C10" s="45"/>
      <c r="D10" s="45"/>
      <c r="E10" s="45"/>
      <c r="F10" s="52"/>
      <c r="G10" s="52"/>
      <c r="H10" s="52"/>
      <c r="I10" s="52">
        <f t="shared" si="0"/>
        <v>0</v>
      </c>
      <c r="J10" s="52">
        <f t="shared" si="1"/>
        <v>0</v>
      </c>
    </row>
    <row r="11" spans="1:11" x14ac:dyDescent="0.2">
      <c r="A11" s="46"/>
      <c r="B11" s="47" t="s">
        <v>43</v>
      </c>
      <c r="C11" s="46"/>
      <c r="D11" s="46"/>
      <c r="E11" s="46"/>
      <c r="F11" s="53">
        <f>SUM(F7:F10)</f>
        <v>0</v>
      </c>
      <c r="G11" s="38">
        <f>SUM(G7:G10)</f>
        <v>0</v>
      </c>
      <c r="H11" s="38">
        <f t="shared" ref="H11:J11" si="2">SUM(H7:H10)</f>
        <v>0</v>
      </c>
      <c r="I11" s="38">
        <f t="shared" si="2"/>
        <v>0</v>
      </c>
      <c r="J11" s="38">
        <f t="shared" si="2"/>
        <v>0</v>
      </c>
    </row>
    <row r="13" spans="1:11" ht="15.75" x14ac:dyDescent="0.25">
      <c r="A13" s="154" t="s">
        <v>168</v>
      </c>
      <c r="B13" s="154"/>
      <c r="C13" s="154"/>
      <c r="D13" s="154"/>
      <c r="E13" s="154"/>
      <c r="F13" s="154"/>
    </row>
    <row r="14" spans="1:11" ht="7.5" customHeight="1" x14ac:dyDescent="0.25">
      <c r="A14" s="9"/>
      <c r="B14" s="9"/>
      <c r="C14" s="9"/>
      <c r="D14" s="9"/>
      <c r="E14" s="9"/>
      <c r="F14" s="9"/>
    </row>
    <row r="15" spans="1:11" ht="15.75" x14ac:dyDescent="0.25">
      <c r="A15" s="41" t="s">
        <v>161</v>
      </c>
      <c r="C15" s="42" t="s">
        <v>169</v>
      </c>
    </row>
    <row r="16" spans="1:11" x14ac:dyDescent="0.2">
      <c r="A16" s="40" t="s">
        <v>162</v>
      </c>
    </row>
    <row r="18" spans="1:10" ht="38.25" x14ac:dyDescent="0.2">
      <c r="A18" s="43" t="s">
        <v>163</v>
      </c>
      <c r="B18" s="43" t="s">
        <v>46</v>
      </c>
      <c r="C18" s="43" t="s">
        <v>170</v>
      </c>
      <c r="D18" s="43" t="s">
        <v>171</v>
      </c>
      <c r="E18" s="43" t="s">
        <v>172</v>
      </c>
      <c r="F18" s="51" t="s">
        <v>164</v>
      </c>
      <c r="G18" s="54" t="s">
        <v>48</v>
      </c>
      <c r="H18" s="54" t="s">
        <v>49</v>
      </c>
      <c r="I18" s="54" t="s">
        <v>50</v>
      </c>
      <c r="J18" s="54" t="s">
        <v>51</v>
      </c>
    </row>
    <row r="19" spans="1:10" ht="14.25" customHeight="1" x14ac:dyDescent="0.2">
      <c r="A19" s="45">
        <v>1</v>
      </c>
      <c r="B19" s="45" t="s">
        <v>52</v>
      </c>
      <c r="C19" s="45"/>
      <c r="D19" s="45"/>
      <c r="E19" s="45"/>
      <c r="F19" s="52"/>
      <c r="G19" s="52"/>
      <c r="H19" s="52"/>
      <c r="I19" s="52">
        <f t="shared" ref="I19:I20" si="3">G19-H19</f>
        <v>0</v>
      </c>
      <c r="J19" s="52">
        <f>F19-G19</f>
        <v>0</v>
      </c>
    </row>
    <row r="20" spans="1:10" ht="14.25" customHeight="1" x14ac:dyDescent="0.2">
      <c r="A20" s="45"/>
      <c r="B20" s="45"/>
      <c r="C20" s="45"/>
      <c r="D20" s="45"/>
      <c r="E20" s="45"/>
      <c r="F20" s="52"/>
      <c r="G20" s="52"/>
      <c r="H20" s="52"/>
      <c r="I20" s="52">
        <f t="shared" si="3"/>
        <v>0</v>
      </c>
      <c r="J20" s="52">
        <f>F22-G20</f>
        <v>0</v>
      </c>
    </row>
    <row r="21" spans="1:10" x14ac:dyDescent="0.2">
      <c r="A21" s="46"/>
      <c r="B21" s="47" t="s">
        <v>43</v>
      </c>
      <c r="C21" s="46"/>
      <c r="D21" s="46"/>
      <c r="E21" s="46"/>
      <c r="F21" s="53">
        <f>SUM(F19:F20)</f>
        <v>0</v>
      </c>
      <c r="G21" s="38">
        <f t="shared" ref="G21:I21" si="4">SUM(G19:G20)</f>
        <v>0</v>
      </c>
      <c r="H21" s="38">
        <f t="shared" si="4"/>
        <v>0</v>
      </c>
      <c r="I21" s="38">
        <f t="shared" si="4"/>
        <v>0</v>
      </c>
      <c r="J21" s="38">
        <f>SUM(J19:J20)</f>
        <v>0</v>
      </c>
    </row>
    <row r="23" spans="1:10" ht="15.75" x14ac:dyDescent="0.25">
      <c r="A23" s="154" t="s">
        <v>173</v>
      </c>
      <c r="B23" s="154"/>
      <c r="C23" s="154"/>
      <c r="D23" s="154"/>
      <c r="E23" s="154"/>
      <c r="F23" s="154"/>
    </row>
    <row r="24" spans="1:10" ht="7.5" customHeight="1" x14ac:dyDescent="0.25">
      <c r="A24" s="9"/>
      <c r="B24" s="9"/>
      <c r="C24" s="9"/>
      <c r="D24" s="9"/>
      <c r="E24" s="9"/>
      <c r="F24" s="9"/>
    </row>
    <row r="25" spans="1:10" ht="15.75" x14ac:dyDescent="0.25">
      <c r="A25" s="9" t="s">
        <v>174</v>
      </c>
      <c r="C25" s="42" t="s">
        <v>175</v>
      </c>
    </row>
    <row r="26" spans="1:10" x14ac:dyDescent="0.2">
      <c r="A26" s="40" t="s">
        <v>6</v>
      </c>
    </row>
    <row r="28" spans="1:10" ht="51" x14ac:dyDescent="0.2">
      <c r="A28" s="43" t="s">
        <v>163</v>
      </c>
      <c r="B28" s="43" t="s">
        <v>46</v>
      </c>
      <c r="C28" s="43" t="s">
        <v>178</v>
      </c>
      <c r="D28" s="43" t="s">
        <v>179</v>
      </c>
      <c r="E28" s="43" t="s">
        <v>180</v>
      </c>
      <c r="F28" s="51" t="s">
        <v>181</v>
      </c>
      <c r="G28" s="54" t="s">
        <v>48</v>
      </c>
      <c r="H28" s="54" t="s">
        <v>49</v>
      </c>
      <c r="I28" s="54" t="s">
        <v>50</v>
      </c>
      <c r="J28" s="54" t="s">
        <v>51</v>
      </c>
    </row>
    <row r="29" spans="1:10" ht="14.25" customHeight="1" x14ac:dyDescent="0.2">
      <c r="A29" s="45">
        <v>1</v>
      </c>
      <c r="B29" s="56" t="s">
        <v>97</v>
      </c>
      <c r="C29" s="45"/>
      <c r="D29" s="45"/>
      <c r="E29" s="45"/>
      <c r="F29" s="52">
        <v>4394936.7</v>
      </c>
      <c r="G29" s="52"/>
      <c r="H29" s="52"/>
      <c r="I29" s="52">
        <f t="shared" ref="I29:I38" si="5">G29-H29</f>
        <v>0</v>
      </c>
      <c r="J29" s="52">
        <f>F29-G29</f>
        <v>4394936.7</v>
      </c>
    </row>
    <row r="30" spans="1:10" ht="14.25" customHeight="1" x14ac:dyDescent="0.2">
      <c r="A30" s="45">
        <v>2</v>
      </c>
      <c r="B30" s="56" t="s">
        <v>95</v>
      </c>
      <c r="C30" s="45"/>
      <c r="D30" s="45"/>
      <c r="E30" s="45"/>
      <c r="F30" s="52">
        <v>1327270.8899999999</v>
      </c>
      <c r="G30" s="52"/>
      <c r="H30" s="52"/>
      <c r="I30" s="52">
        <f t="shared" si="5"/>
        <v>0</v>
      </c>
      <c r="J30" s="52">
        <f t="shared" ref="J30:J38" si="6">F30-G30</f>
        <v>1327270.8899999999</v>
      </c>
    </row>
    <row r="31" spans="1:10" ht="14.25" customHeight="1" x14ac:dyDescent="0.2">
      <c r="A31" s="45">
        <v>3</v>
      </c>
      <c r="B31" s="56" t="s">
        <v>128</v>
      </c>
      <c r="C31" s="45"/>
      <c r="D31" s="45"/>
      <c r="E31" s="45"/>
      <c r="F31" s="52">
        <v>193550.93</v>
      </c>
      <c r="G31" s="52"/>
      <c r="H31" s="52"/>
      <c r="I31" s="52">
        <f t="shared" si="5"/>
        <v>0</v>
      </c>
      <c r="J31" s="52">
        <f t="shared" si="6"/>
        <v>193550.93</v>
      </c>
    </row>
    <row r="32" spans="1:10" ht="14.25" customHeight="1" x14ac:dyDescent="0.2">
      <c r="A32" s="45">
        <v>4</v>
      </c>
      <c r="B32" s="56" t="s">
        <v>129</v>
      </c>
      <c r="C32" s="45"/>
      <c r="D32" s="45"/>
      <c r="E32" s="45"/>
      <c r="F32" s="52">
        <v>58452.38</v>
      </c>
      <c r="G32" s="52"/>
      <c r="H32" s="52"/>
      <c r="I32" s="52">
        <f t="shared" si="5"/>
        <v>0</v>
      </c>
      <c r="J32" s="52">
        <f t="shared" si="6"/>
        <v>58452.38</v>
      </c>
    </row>
    <row r="33" spans="1:10" ht="14.25" customHeight="1" x14ac:dyDescent="0.2">
      <c r="A33" s="45">
        <v>5</v>
      </c>
      <c r="B33" s="56" t="s">
        <v>130</v>
      </c>
      <c r="C33" s="45"/>
      <c r="D33" s="45"/>
      <c r="E33" s="45"/>
      <c r="F33" s="52">
        <v>1955.06</v>
      </c>
      <c r="G33" s="52"/>
      <c r="H33" s="52"/>
      <c r="I33" s="52">
        <f t="shared" si="5"/>
        <v>0</v>
      </c>
      <c r="J33" s="52">
        <f t="shared" si="6"/>
        <v>1955.06</v>
      </c>
    </row>
    <row r="34" spans="1:10" ht="14.25" customHeight="1" x14ac:dyDescent="0.2">
      <c r="A34" s="45">
        <v>6</v>
      </c>
      <c r="B34" s="56" t="s">
        <v>131</v>
      </c>
      <c r="C34" s="45"/>
      <c r="D34" s="45"/>
      <c r="E34" s="45"/>
      <c r="F34" s="52">
        <v>590.42999999999995</v>
      </c>
      <c r="G34" s="52"/>
      <c r="H34" s="52"/>
      <c r="I34" s="52">
        <f t="shared" si="5"/>
        <v>0</v>
      </c>
      <c r="J34" s="52">
        <f t="shared" si="6"/>
        <v>590.42999999999995</v>
      </c>
    </row>
    <row r="35" spans="1:10" ht="14.25" customHeight="1" x14ac:dyDescent="0.2">
      <c r="A35" s="45">
        <v>7</v>
      </c>
      <c r="B35" s="56" t="s">
        <v>132</v>
      </c>
      <c r="C35" s="45"/>
      <c r="D35" s="45"/>
      <c r="E35" s="45"/>
      <c r="F35" s="52">
        <v>195.7</v>
      </c>
      <c r="G35" s="52"/>
      <c r="H35" s="52"/>
      <c r="I35" s="52">
        <f t="shared" si="5"/>
        <v>0</v>
      </c>
      <c r="J35" s="52">
        <f t="shared" si="6"/>
        <v>195.7</v>
      </c>
    </row>
    <row r="36" spans="1:10" ht="14.25" customHeight="1" x14ac:dyDescent="0.2">
      <c r="A36" s="45">
        <v>8</v>
      </c>
      <c r="B36" s="56" t="s">
        <v>176</v>
      </c>
      <c r="C36" s="45"/>
      <c r="D36" s="45"/>
      <c r="E36" s="45"/>
      <c r="F36" s="52">
        <v>59.1</v>
      </c>
      <c r="G36" s="52"/>
      <c r="H36" s="52"/>
      <c r="I36" s="52">
        <f t="shared" si="5"/>
        <v>0</v>
      </c>
      <c r="J36" s="52">
        <f t="shared" si="6"/>
        <v>59.1</v>
      </c>
    </row>
    <row r="37" spans="1:10" ht="25.5" x14ac:dyDescent="0.2">
      <c r="A37" s="45">
        <v>9</v>
      </c>
      <c r="B37" s="48" t="s">
        <v>155</v>
      </c>
      <c r="C37" s="45"/>
      <c r="D37" s="45"/>
      <c r="E37" s="45"/>
      <c r="F37" s="52">
        <v>60000</v>
      </c>
      <c r="G37" s="52"/>
      <c r="H37" s="52"/>
      <c r="I37" s="52">
        <f t="shared" si="5"/>
        <v>0</v>
      </c>
      <c r="J37" s="52">
        <f t="shared" si="6"/>
        <v>60000</v>
      </c>
    </row>
    <row r="38" spans="1:10" ht="25.5" x14ac:dyDescent="0.2">
      <c r="A38" s="45">
        <v>10</v>
      </c>
      <c r="B38" s="48" t="s">
        <v>156</v>
      </c>
      <c r="C38" s="45"/>
      <c r="D38" s="45"/>
      <c r="E38" s="45"/>
      <c r="F38" s="52">
        <v>18120</v>
      </c>
      <c r="G38" s="52"/>
      <c r="H38" s="52"/>
      <c r="I38" s="52">
        <f t="shared" si="5"/>
        <v>0</v>
      </c>
      <c r="J38" s="52">
        <f t="shared" si="6"/>
        <v>18120</v>
      </c>
    </row>
    <row r="39" spans="1:10" x14ac:dyDescent="0.2">
      <c r="A39" s="46"/>
      <c r="B39" s="47" t="s">
        <v>43</v>
      </c>
      <c r="C39" s="46"/>
      <c r="D39" s="46"/>
      <c r="E39" s="46"/>
      <c r="F39" s="53">
        <f>SUM(F29:F38)</f>
        <v>6055131.1899999985</v>
      </c>
      <c r="G39" s="38">
        <f>SUM(G29:G38)</f>
        <v>0</v>
      </c>
      <c r="H39" s="38">
        <f>SUM(H29:H38)</f>
        <v>0</v>
      </c>
      <c r="I39" s="38">
        <f>SUM(I29:I38)</f>
        <v>0</v>
      </c>
      <c r="J39" s="38">
        <f>SUM(J29:J38)</f>
        <v>6055131.1899999985</v>
      </c>
    </row>
    <row r="41" spans="1:10" ht="15.75" x14ac:dyDescent="0.25">
      <c r="A41" s="9" t="s">
        <v>182</v>
      </c>
    </row>
    <row r="42" spans="1:10" ht="15.75" x14ac:dyDescent="0.25">
      <c r="A42" s="9" t="s">
        <v>53</v>
      </c>
    </row>
    <row r="43" spans="1:10" ht="15.75" x14ac:dyDescent="0.25">
      <c r="A43" s="9" t="s">
        <v>54</v>
      </c>
    </row>
    <row r="44" spans="1:10" ht="7.5" customHeight="1" x14ac:dyDescent="0.25">
      <c r="A44" s="9"/>
    </row>
    <row r="45" spans="1:10" ht="15.75" x14ac:dyDescent="0.25">
      <c r="A45" s="9" t="s">
        <v>174</v>
      </c>
      <c r="C45" s="42">
        <v>119</v>
      </c>
    </row>
    <row r="46" spans="1:10" x14ac:dyDescent="0.2">
      <c r="A46" s="40" t="s">
        <v>162</v>
      </c>
      <c r="C46" s="40" t="s">
        <v>7</v>
      </c>
    </row>
    <row r="48" spans="1:10" ht="37.5" customHeight="1" x14ac:dyDescent="0.2">
      <c r="A48" s="43" t="s">
        <v>163</v>
      </c>
      <c r="B48" s="155" t="s">
        <v>55</v>
      </c>
      <c r="C48" s="156"/>
      <c r="D48" s="45"/>
      <c r="E48" s="45"/>
      <c r="F48" s="52"/>
    </row>
    <row r="49" spans="1:6" x14ac:dyDescent="0.2">
      <c r="A49" s="49">
        <v>1</v>
      </c>
      <c r="B49" s="157" t="s">
        <v>56</v>
      </c>
      <c r="C49" s="158"/>
      <c r="D49" s="45"/>
      <c r="E49" s="45"/>
      <c r="F49" s="52"/>
    </row>
    <row r="50" spans="1:6" x14ac:dyDescent="0.2">
      <c r="A50" s="50"/>
      <c r="B50" s="159" t="s">
        <v>26</v>
      </c>
      <c r="C50" s="160"/>
      <c r="D50" s="45"/>
      <c r="E50" s="45"/>
      <c r="F50" s="52"/>
    </row>
    <row r="51" spans="1:6" x14ac:dyDescent="0.2">
      <c r="A51" s="50" t="s">
        <v>185</v>
      </c>
      <c r="B51" s="159" t="s">
        <v>57</v>
      </c>
      <c r="C51" s="160"/>
      <c r="D51" s="45"/>
      <c r="E51" s="45"/>
      <c r="F51" s="52"/>
    </row>
    <row r="52" spans="1:6" x14ac:dyDescent="0.2">
      <c r="A52" s="50" t="s">
        <v>186</v>
      </c>
      <c r="B52" s="159" t="s">
        <v>58</v>
      </c>
      <c r="C52" s="160"/>
      <c r="D52" s="45"/>
      <c r="E52" s="45"/>
      <c r="F52" s="52"/>
    </row>
    <row r="53" spans="1:6" ht="25.5" customHeight="1" x14ac:dyDescent="0.2">
      <c r="A53" s="50" t="s">
        <v>187</v>
      </c>
      <c r="B53" s="161" t="s">
        <v>183</v>
      </c>
      <c r="C53" s="162"/>
      <c r="D53" s="45"/>
      <c r="E53" s="45"/>
      <c r="F53" s="52"/>
    </row>
    <row r="54" spans="1:6" ht="24.75" customHeight="1" x14ac:dyDescent="0.2">
      <c r="A54" s="50" t="s">
        <v>188</v>
      </c>
      <c r="B54" s="161" t="s">
        <v>184</v>
      </c>
      <c r="C54" s="162"/>
      <c r="D54" s="45"/>
      <c r="E54" s="45"/>
      <c r="F54" s="52"/>
    </row>
    <row r="55" spans="1:6" x14ac:dyDescent="0.2">
      <c r="A55" s="50"/>
      <c r="B55" s="159" t="s">
        <v>26</v>
      </c>
      <c r="C55" s="160"/>
      <c r="D55" s="45"/>
      <c r="E55" s="45"/>
      <c r="F55" s="52"/>
    </row>
    <row r="56" spans="1:6" ht="24.75" customHeight="1" x14ac:dyDescent="0.2">
      <c r="A56" s="50" t="s">
        <v>190</v>
      </c>
      <c r="B56" s="161" t="s">
        <v>189</v>
      </c>
      <c r="C56" s="162"/>
      <c r="D56" s="45"/>
      <c r="E56" s="45"/>
      <c r="F56" s="52"/>
    </row>
    <row r="57" spans="1:6" ht="26.25" customHeight="1" x14ac:dyDescent="0.2">
      <c r="A57" s="50" t="s">
        <v>192</v>
      </c>
      <c r="B57" s="161" t="s">
        <v>191</v>
      </c>
      <c r="C57" s="162"/>
      <c r="D57" s="45"/>
      <c r="E57" s="45"/>
      <c r="F57" s="52"/>
    </row>
    <row r="58" spans="1:6" ht="24.75" customHeight="1" x14ac:dyDescent="0.2">
      <c r="A58" s="50" t="s">
        <v>194</v>
      </c>
      <c r="B58" s="161" t="s">
        <v>193</v>
      </c>
      <c r="C58" s="162"/>
      <c r="D58" s="45"/>
      <c r="E58" s="45"/>
      <c r="F58" s="52"/>
    </row>
    <row r="59" spans="1:6" ht="24.75" customHeight="1" x14ac:dyDescent="0.2">
      <c r="A59" s="50" t="s">
        <v>196</v>
      </c>
      <c r="B59" s="161" t="s">
        <v>195</v>
      </c>
      <c r="C59" s="162"/>
      <c r="D59" s="45"/>
      <c r="E59" s="45"/>
      <c r="F59" s="52"/>
    </row>
    <row r="60" spans="1:6" ht="25.5" customHeight="1" x14ac:dyDescent="0.2">
      <c r="A60" s="50" t="s">
        <v>198</v>
      </c>
      <c r="B60" s="161" t="s">
        <v>197</v>
      </c>
      <c r="C60" s="162"/>
      <c r="D60" s="45"/>
      <c r="E60" s="45"/>
      <c r="F60" s="52"/>
    </row>
    <row r="61" spans="1:6" ht="25.5" customHeight="1" x14ac:dyDescent="0.2">
      <c r="A61" s="50" t="s">
        <v>199</v>
      </c>
      <c r="B61" s="161" t="s">
        <v>200</v>
      </c>
      <c r="C61" s="162"/>
      <c r="D61" s="45"/>
      <c r="E61" s="45"/>
      <c r="F61" s="52"/>
    </row>
    <row r="62" spans="1:6" x14ac:dyDescent="0.2">
      <c r="A62" s="46"/>
      <c r="B62" s="47" t="s">
        <v>43</v>
      </c>
      <c r="C62" s="46"/>
      <c r="D62" s="46"/>
      <c r="E62" s="46"/>
      <c r="F62" s="53">
        <v>13391234.550000001</v>
      </c>
    </row>
    <row r="64" spans="1:6" x14ac:dyDescent="0.2">
      <c r="A64" s="40" t="s">
        <v>201</v>
      </c>
    </row>
    <row r="65" spans="1:1" x14ac:dyDescent="0.2">
      <c r="A65" s="40" t="s">
        <v>202</v>
      </c>
    </row>
    <row r="66" spans="1:1" x14ac:dyDescent="0.2">
      <c r="A66" s="40" t="s">
        <v>203</v>
      </c>
    </row>
    <row r="67" spans="1:1" x14ac:dyDescent="0.2">
      <c r="A67" s="40" t="s">
        <v>204</v>
      </c>
    </row>
  </sheetData>
  <mergeCells count="16">
    <mergeCell ref="B51:C51"/>
    <mergeCell ref="B52:C52"/>
    <mergeCell ref="B58:C58"/>
    <mergeCell ref="B59:C59"/>
    <mergeCell ref="B60:C60"/>
    <mergeCell ref="B61:C61"/>
    <mergeCell ref="B53:C53"/>
    <mergeCell ref="B54:C54"/>
    <mergeCell ref="B55:C55"/>
    <mergeCell ref="B56:C56"/>
    <mergeCell ref="B57:C57"/>
    <mergeCell ref="A13:F13"/>
    <mergeCell ref="A23:F23"/>
    <mergeCell ref="B48:C48"/>
    <mergeCell ref="B49:C49"/>
    <mergeCell ref="B50:C50"/>
  </mergeCells>
  <conditionalFormatting sqref="J7:J10 J19:J20 J29:J38">
    <cfRule type="cellIs" dxfId="74" priority="1" operator="lessThan">
      <formula>0</formula>
    </cfRule>
    <cfRule type="cellIs" dxfId="73" priority="2" operator="greaterThan">
      <formula>0</formula>
    </cfRule>
    <cfRule type="cellIs" dxfId="72" priority="3" operator="greaterThan">
      <formula>0</formula>
    </cfRule>
  </conditionalFormatting>
  <pageMargins left="0.7" right="0.7" top="0.75" bottom="0.75" header="0.3" footer="0.3"/>
  <pageSetup paperSize="9" scale="64" orientation="portrait" verticalDpi="0" r:id="rId1"/>
  <colBreaks count="1" manualBreakCount="1">
    <brk id="6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104"/>
  <sheetViews>
    <sheetView view="pageBreakPreview" topLeftCell="A31" zoomScaleNormal="100" zoomScaleSheetLayoutView="100" workbookViewId="0">
      <selection activeCell="F67" sqref="F67"/>
    </sheetView>
  </sheetViews>
  <sheetFormatPr defaultRowHeight="12.75" x14ac:dyDescent="0.2"/>
  <cols>
    <col min="1" max="1" width="4.85546875" style="40" customWidth="1"/>
    <col min="2" max="2" width="53.5703125" style="40" customWidth="1"/>
    <col min="3" max="4" width="12.5703125" style="40" customWidth="1"/>
    <col min="5" max="5" width="26.42578125" style="38" customWidth="1"/>
    <col min="6" max="9" width="21.140625" style="40" customWidth="1"/>
    <col min="10" max="16384" width="9.140625" style="40"/>
  </cols>
  <sheetData>
    <row r="1" spans="1:9" ht="15.75" x14ac:dyDescent="0.25">
      <c r="A1" s="41" t="s">
        <v>59</v>
      </c>
    </row>
    <row r="2" spans="1:9" ht="7.5" customHeight="1" x14ac:dyDescent="0.25">
      <c r="A2" s="41"/>
    </row>
    <row r="3" spans="1:9" ht="15.75" x14ac:dyDescent="0.25">
      <c r="A3" s="41" t="s">
        <v>161</v>
      </c>
      <c r="B3" s="41"/>
      <c r="C3" s="42">
        <v>851</v>
      </c>
    </row>
    <row r="4" spans="1:9" x14ac:dyDescent="0.2">
      <c r="A4" s="40" t="s">
        <v>162</v>
      </c>
      <c r="C4" s="40" t="s">
        <v>7</v>
      </c>
    </row>
    <row r="6" spans="1:9" ht="38.25" customHeight="1" x14ac:dyDescent="0.2">
      <c r="A6" s="43" t="s">
        <v>163</v>
      </c>
      <c r="B6" s="43" t="s">
        <v>46</v>
      </c>
      <c r="C6" s="43" t="s">
        <v>177</v>
      </c>
      <c r="D6" s="43" t="s">
        <v>205</v>
      </c>
      <c r="E6" s="51" t="s">
        <v>206</v>
      </c>
      <c r="F6" s="54" t="s">
        <v>48</v>
      </c>
      <c r="G6" s="54" t="s">
        <v>49</v>
      </c>
      <c r="H6" s="54" t="s">
        <v>60</v>
      </c>
      <c r="I6" s="54" t="s">
        <v>51</v>
      </c>
    </row>
    <row r="7" spans="1:9" x14ac:dyDescent="0.2">
      <c r="A7" s="45">
        <v>1</v>
      </c>
      <c r="B7" s="45" t="s">
        <v>98</v>
      </c>
      <c r="C7" s="45"/>
      <c r="D7" s="45"/>
      <c r="E7" s="52">
        <v>101173</v>
      </c>
      <c r="F7" s="52">
        <f>25498</f>
        <v>25498</v>
      </c>
      <c r="G7" s="52">
        <f>25498</f>
        <v>25498</v>
      </c>
      <c r="H7" s="52">
        <f>F7-G7</f>
        <v>0</v>
      </c>
      <c r="I7" s="52">
        <f>E7-F7</f>
        <v>75675</v>
      </c>
    </row>
    <row r="8" spans="1:9" x14ac:dyDescent="0.2">
      <c r="A8" s="45">
        <v>2</v>
      </c>
      <c r="B8" s="45" t="s">
        <v>99</v>
      </c>
      <c r="C8" s="45"/>
      <c r="D8" s="45"/>
      <c r="E8" s="52">
        <v>427849</v>
      </c>
      <c r="F8" s="52">
        <f>106962</f>
        <v>106962</v>
      </c>
      <c r="G8" s="52">
        <f>106962</f>
        <v>106962</v>
      </c>
      <c r="H8" s="52">
        <f t="shared" ref="H8:H9" si="0">F8-G8</f>
        <v>0</v>
      </c>
      <c r="I8" s="52">
        <f t="shared" ref="I8:I9" si="1">E8-F8</f>
        <v>320887</v>
      </c>
    </row>
    <row r="9" spans="1:9" x14ac:dyDescent="0.2">
      <c r="A9" s="45"/>
      <c r="B9" s="45"/>
      <c r="C9" s="45"/>
      <c r="D9" s="45"/>
      <c r="E9" s="52"/>
      <c r="F9" s="52"/>
      <c r="G9" s="52"/>
      <c r="H9" s="52">
        <f t="shared" si="0"/>
        <v>0</v>
      </c>
      <c r="I9" s="52">
        <f t="shared" si="1"/>
        <v>0</v>
      </c>
    </row>
    <row r="10" spans="1:9" x14ac:dyDescent="0.2">
      <c r="A10" s="46"/>
      <c r="B10" s="47" t="s">
        <v>43</v>
      </c>
      <c r="C10" s="46"/>
      <c r="D10" s="46"/>
      <c r="E10" s="53">
        <f>SUM(E7:E9)</f>
        <v>529022</v>
      </c>
      <c r="F10" s="55">
        <f>SUM(F7:F9)</f>
        <v>132460</v>
      </c>
      <c r="G10" s="55">
        <f t="shared" ref="G10:I10" si="2">SUM(G7:G9)</f>
        <v>132460</v>
      </c>
      <c r="H10" s="55">
        <f t="shared" si="2"/>
        <v>0</v>
      </c>
      <c r="I10" s="55">
        <f t="shared" si="2"/>
        <v>396562</v>
      </c>
    </row>
    <row r="12" spans="1:9" ht="15.75" x14ac:dyDescent="0.25">
      <c r="A12" s="41" t="s">
        <v>61</v>
      </c>
    </row>
    <row r="13" spans="1:9" ht="7.5" customHeight="1" x14ac:dyDescent="0.25">
      <c r="A13" s="41"/>
    </row>
    <row r="14" spans="1:9" ht="15.75" x14ac:dyDescent="0.25">
      <c r="A14" s="41" t="s">
        <v>161</v>
      </c>
      <c r="B14" s="41"/>
      <c r="C14" s="42">
        <v>852</v>
      </c>
    </row>
    <row r="15" spans="1:9" x14ac:dyDescent="0.2">
      <c r="A15" s="40" t="s">
        <v>162</v>
      </c>
      <c r="C15" s="40" t="s">
        <v>7</v>
      </c>
    </row>
    <row r="17" spans="1:9" ht="25.5" x14ac:dyDescent="0.2">
      <c r="A17" s="43" t="s">
        <v>163</v>
      </c>
      <c r="B17" s="43" t="s">
        <v>46</v>
      </c>
      <c r="C17" s="43" t="s">
        <v>177</v>
      </c>
      <c r="D17" s="43" t="s">
        <v>205</v>
      </c>
      <c r="E17" s="51" t="s">
        <v>206</v>
      </c>
      <c r="F17" s="54" t="s">
        <v>48</v>
      </c>
      <c r="G17" s="54" t="s">
        <v>49</v>
      </c>
      <c r="H17" s="54" t="s">
        <v>60</v>
      </c>
      <c r="I17" s="54" t="s">
        <v>51</v>
      </c>
    </row>
    <row r="18" spans="1:9" x14ac:dyDescent="0.2">
      <c r="A18" s="45">
        <v>1</v>
      </c>
      <c r="B18" s="45" t="s">
        <v>148</v>
      </c>
      <c r="C18" s="45"/>
      <c r="D18" s="45"/>
      <c r="E18" s="52"/>
      <c r="F18" s="52"/>
      <c r="G18" s="52"/>
      <c r="H18" s="52">
        <f t="shared" ref="H18:H20" si="3">F18-G18</f>
        <v>0</v>
      </c>
      <c r="I18" s="52">
        <f>E18-F18</f>
        <v>0</v>
      </c>
    </row>
    <row r="19" spans="1:9" x14ac:dyDescent="0.2">
      <c r="A19" s="45">
        <v>2</v>
      </c>
      <c r="B19" s="45" t="s">
        <v>150</v>
      </c>
      <c r="C19" s="45"/>
      <c r="D19" s="45"/>
      <c r="E19" s="52"/>
      <c r="F19" s="52"/>
      <c r="G19" s="52"/>
      <c r="H19" s="52">
        <f t="shared" si="3"/>
        <v>0</v>
      </c>
      <c r="I19" s="52">
        <f t="shared" ref="I19:I20" si="4">E19-F19</f>
        <v>0</v>
      </c>
    </row>
    <row r="20" spans="1:9" x14ac:dyDescent="0.2">
      <c r="A20" s="45"/>
      <c r="B20" s="45"/>
      <c r="C20" s="45"/>
      <c r="D20" s="45"/>
      <c r="E20" s="52"/>
      <c r="F20" s="52"/>
      <c r="G20" s="52"/>
      <c r="H20" s="52">
        <f t="shared" si="3"/>
        <v>0</v>
      </c>
      <c r="I20" s="52">
        <f t="shared" si="4"/>
        <v>0</v>
      </c>
    </row>
    <row r="21" spans="1:9" x14ac:dyDescent="0.2">
      <c r="A21" s="46"/>
      <c r="B21" s="47" t="s">
        <v>43</v>
      </c>
      <c r="C21" s="46"/>
      <c r="D21" s="46"/>
      <c r="E21" s="53">
        <f>SUM(E18:E20)</f>
        <v>0</v>
      </c>
      <c r="F21" s="55">
        <f>SUM(F18:F20)</f>
        <v>0</v>
      </c>
      <c r="G21" s="55">
        <f t="shared" ref="G21" si="5">SUM(G18:G20)</f>
        <v>0</v>
      </c>
      <c r="H21" s="55">
        <f t="shared" ref="H21" si="6">SUM(H18:H20)</f>
        <v>0</v>
      </c>
      <c r="I21" s="55">
        <f t="shared" ref="I21" si="7">SUM(I18:I20)</f>
        <v>0</v>
      </c>
    </row>
    <row r="23" spans="1:9" ht="15.75" x14ac:dyDescent="0.25">
      <c r="A23" s="41" t="s">
        <v>62</v>
      </c>
    </row>
    <row r="24" spans="1:9" ht="7.5" customHeight="1" x14ac:dyDescent="0.25">
      <c r="A24" s="41"/>
    </row>
    <row r="25" spans="1:9" ht="15.75" x14ac:dyDescent="0.25">
      <c r="A25" s="41" t="s">
        <v>161</v>
      </c>
      <c r="B25" s="41"/>
      <c r="C25" s="42">
        <v>853</v>
      </c>
    </row>
    <row r="26" spans="1:9" x14ac:dyDescent="0.2">
      <c r="A26" s="40" t="s">
        <v>162</v>
      </c>
      <c r="C26" s="40" t="s">
        <v>7</v>
      </c>
    </row>
    <row r="28" spans="1:9" ht="25.5" x14ac:dyDescent="0.2">
      <c r="A28" s="43" t="s">
        <v>163</v>
      </c>
      <c r="B28" s="43" t="s">
        <v>46</v>
      </c>
      <c r="C28" s="43" t="s">
        <v>177</v>
      </c>
      <c r="D28" s="43" t="s">
        <v>205</v>
      </c>
      <c r="E28" s="51" t="s">
        <v>206</v>
      </c>
      <c r="F28" s="54" t="s">
        <v>48</v>
      </c>
      <c r="G28" s="54" t="s">
        <v>49</v>
      </c>
      <c r="H28" s="54" t="s">
        <v>60</v>
      </c>
      <c r="I28" s="54" t="s">
        <v>51</v>
      </c>
    </row>
    <row r="29" spans="1:9" x14ac:dyDescent="0.2">
      <c r="A29" s="45">
        <v>1</v>
      </c>
      <c r="B29" s="45" t="s">
        <v>63</v>
      </c>
      <c r="C29" s="45"/>
      <c r="D29" s="45"/>
      <c r="E29" s="52">
        <v>500</v>
      </c>
      <c r="F29" s="52"/>
      <c r="G29" s="52"/>
      <c r="H29" s="52">
        <f t="shared" ref="H29:H32" si="8">F29-G29</f>
        <v>0</v>
      </c>
      <c r="I29" s="52">
        <f>E29-F29</f>
        <v>500</v>
      </c>
    </row>
    <row r="30" spans="1:9" x14ac:dyDescent="0.2">
      <c r="A30" s="45">
        <v>2</v>
      </c>
      <c r="B30" s="45" t="s">
        <v>207</v>
      </c>
      <c r="C30" s="45"/>
      <c r="D30" s="45"/>
      <c r="E30" s="52"/>
      <c r="F30" s="52"/>
      <c r="G30" s="52"/>
      <c r="H30" s="52">
        <f t="shared" si="8"/>
        <v>0</v>
      </c>
      <c r="I30" s="52">
        <f t="shared" ref="I30" si="9">E30-F30</f>
        <v>0</v>
      </c>
    </row>
    <row r="31" spans="1:9" x14ac:dyDescent="0.2">
      <c r="A31" s="45">
        <v>3</v>
      </c>
      <c r="B31" s="45" t="s">
        <v>208</v>
      </c>
      <c r="C31" s="45"/>
      <c r="D31" s="45"/>
      <c r="E31" s="52"/>
      <c r="F31" s="52"/>
      <c r="G31" s="52"/>
      <c r="H31" s="52">
        <f t="shared" si="8"/>
        <v>0</v>
      </c>
      <c r="I31" s="52">
        <f t="shared" ref="I31:I32" si="10">E31-F31</f>
        <v>0</v>
      </c>
    </row>
    <row r="32" spans="1:9" x14ac:dyDescent="0.2">
      <c r="A32" s="45"/>
      <c r="B32" s="45"/>
      <c r="C32" s="45"/>
      <c r="D32" s="45"/>
      <c r="E32" s="52"/>
      <c r="F32" s="52"/>
      <c r="G32" s="52"/>
      <c r="H32" s="52">
        <f t="shared" si="8"/>
        <v>0</v>
      </c>
      <c r="I32" s="52">
        <f t="shared" si="10"/>
        <v>0</v>
      </c>
    </row>
    <row r="33" spans="1:9" x14ac:dyDescent="0.2">
      <c r="A33" s="46"/>
      <c r="B33" s="47" t="s">
        <v>43</v>
      </c>
      <c r="C33" s="46"/>
      <c r="D33" s="46"/>
      <c r="E33" s="53">
        <f>SUM(E29:E32)</f>
        <v>500</v>
      </c>
      <c r="F33" s="55">
        <f>SUM(F29:F32)</f>
        <v>0</v>
      </c>
      <c r="G33" s="55">
        <f t="shared" ref="G33" si="11">SUM(G29:G32)</f>
        <v>0</v>
      </c>
      <c r="H33" s="55">
        <f>SUM(H29:H32)</f>
        <v>0</v>
      </c>
      <c r="I33" s="55">
        <f t="shared" ref="I33" si="12">SUM(I29:I32)</f>
        <v>500</v>
      </c>
    </row>
    <row r="35" spans="1:9" ht="15.75" x14ac:dyDescent="0.25">
      <c r="A35" s="41" t="s">
        <v>102</v>
      </c>
    </row>
    <row r="37" spans="1:9" ht="25.5" x14ac:dyDescent="0.2">
      <c r="A37" s="43" t="s">
        <v>163</v>
      </c>
      <c r="B37" s="43" t="s">
        <v>46</v>
      </c>
      <c r="C37" s="43" t="s">
        <v>177</v>
      </c>
      <c r="D37" s="43" t="s">
        <v>205</v>
      </c>
      <c r="E37" s="51" t="s">
        <v>206</v>
      </c>
    </row>
    <row r="38" spans="1:9" x14ac:dyDescent="0.2">
      <c r="A38" s="45">
        <v>1</v>
      </c>
      <c r="B38" s="45" t="s">
        <v>103</v>
      </c>
      <c r="C38" s="45"/>
      <c r="D38" s="45"/>
      <c r="E38" s="52">
        <v>470497.76</v>
      </c>
    </row>
    <row r="39" spans="1:9" x14ac:dyDescent="0.2">
      <c r="A39" s="45">
        <v>2</v>
      </c>
      <c r="B39" s="45" t="s">
        <v>209</v>
      </c>
      <c r="C39" s="45"/>
      <c r="D39" s="45"/>
      <c r="E39" s="52">
        <v>16511.98</v>
      </c>
    </row>
    <row r="40" spans="1:9" x14ac:dyDescent="0.2">
      <c r="A40" s="45">
        <v>3</v>
      </c>
      <c r="B40" s="45" t="s">
        <v>153</v>
      </c>
      <c r="C40" s="45"/>
      <c r="D40" s="45"/>
      <c r="E40" s="52">
        <v>331.8</v>
      </c>
    </row>
    <row r="41" spans="1:9" x14ac:dyDescent="0.2">
      <c r="A41" s="45">
        <v>4</v>
      </c>
      <c r="B41" s="45" t="s">
        <v>154</v>
      </c>
      <c r="C41" s="45"/>
      <c r="D41" s="45"/>
      <c r="E41" s="52"/>
    </row>
    <row r="42" spans="1:9" x14ac:dyDescent="0.2">
      <c r="A42" s="46"/>
      <c r="B42" s="47" t="s">
        <v>43</v>
      </c>
      <c r="C42" s="46"/>
      <c r="D42" s="46"/>
      <c r="E42" s="53">
        <f>SUM(E38:E41)</f>
        <v>487341.54</v>
      </c>
    </row>
    <row r="44" spans="1:9" ht="15.75" x14ac:dyDescent="0.25">
      <c r="A44" s="41" t="s">
        <v>64</v>
      </c>
    </row>
    <row r="45" spans="1:9" ht="7.5" customHeight="1" x14ac:dyDescent="0.25">
      <c r="A45" s="41"/>
    </row>
    <row r="46" spans="1:9" ht="15.75" x14ac:dyDescent="0.25">
      <c r="A46" s="41" t="s">
        <v>161</v>
      </c>
      <c r="C46" s="42">
        <v>243</v>
      </c>
      <c r="D46" s="42" t="s">
        <v>213</v>
      </c>
    </row>
    <row r="47" spans="1:9" x14ac:dyDescent="0.2">
      <c r="A47" s="40" t="s">
        <v>162</v>
      </c>
      <c r="C47" s="40" t="s">
        <v>210</v>
      </c>
    </row>
    <row r="48" spans="1:9" x14ac:dyDescent="0.2">
      <c r="C48" s="40" t="s">
        <v>211</v>
      </c>
    </row>
    <row r="50" spans="1:9" ht="15.75" x14ac:dyDescent="0.25">
      <c r="A50" s="41" t="s">
        <v>100</v>
      </c>
    </row>
    <row r="52" spans="1:9" ht="25.5" x14ac:dyDescent="0.2">
      <c r="A52" s="43" t="s">
        <v>163</v>
      </c>
      <c r="B52" s="43" t="s">
        <v>46</v>
      </c>
      <c r="C52" s="43"/>
      <c r="D52" s="43"/>
      <c r="E52" s="51" t="s">
        <v>65</v>
      </c>
      <c r="F52" s="54" t="s">
        <v>48</v>
      </c>
      <c r="G52" s="54" t="s">
        <v>49</v>
      </c>
      <c r="H52" s="54" t="s">
        <v>60</v>
      </c>
      <c r="I52" s="54" t="s">
        <v>51</v>
      </c>
    </row>
    <row r="53" spans="1:9" x14ac:dyDescent="0.2">
      <c r="A53" s="45">
        <v>1</v>
      </c>
      <c r="B53" s="45" t="s">
        <v>263</v>
      </c>
      <c r="C53" s="45"/>
      <c r="D53" s="45"/>
      <c r="E53" s="52"/>
      <c r="F53" s="52"/>
      <c r="G53" s="52"/>
      <c r="H53" s="52">
        <f t="shared" ref="H53:H54" si="13">F53-G53</f>
        <v>0</v>
      </c>
      <c r="I53" s="52">
        <f>E53-F53</f>
        <v>0</v>
      </c>
    </row>
    <row r="54" spans="1:9" x14ac:dyDescent="0.2">
      <c r="A54" s="45">
        <v>2</v>
      </c>
      <c r="B54" s="45"/>
      <c r="C54" s="45"/>
      <c r="D54" s="45"/>
      <c r="E54" s="52"/>
      <c r="F54" s="52"/>
      <c r="G54" s="52"/>
      <c r="H54" s="52">
        <f t="shared" si="13"/>
        <v>0</v>
      </c>
      <c r="I54" s="52">
        <f t="shared" ref="I54" si="14">E54-F54</f>
        <v>0</v>
      </c>
    </row>
    <row r="55" spans="1:9" x14ac:dyDescent="0.2">
      <c r="A55" s="46"/>
      <c r="B55" s="47" t="s">
        <v>43</v>
      </c>
      <c r="C55" s="46"/>
      <c r="D55" s="46"/>
      <c r="E55" s="53">
        <f>SUM(E53:E54)</f>
        <v>0</v>
      </c>
      <c r="F55" s="38">
        <f>SUM(F53:F54)</f>
        <v>0</v>
      </c>
      <c r="G55" s="38">
        <f t="shared" ref="G55:I55" si="15">SUM(G53:G54)</f>
        <v>0</v>
      </c>
      <c r="H55" s="38">
        <f t="shared" si="15"/>
        <v>0</v>
      </c>
      <c r="I55" s="38">
        <f t="shared" si="15"/>
        <v>0</v>
      </c>
    </row>
    <row r="57" spans="1:9" ht="15.75" x14ac:dyDescent="0.25">
      <c r="A57" s="41" t="s">
        <v>226</v>
      </c>
    </row>
    <row r="58" spans="1:9" ht="7.5" customHeight="1" x14ac:dyDescent="0.25">
      <c r="A58" s="41"/>
    </row>
    <row r="59" spans="1:9" ht="15.75" x14ac:dyDescent="0.25">
      <c r="A59" s="41" t="s">
        <v>161</v>
      </c>
      <c r="C59" s="42">
        <v>244</v>
      </c>
      <c r="D59" s="42" t="s">
        <v>213</v>
      </c>
    </row>
    <row r="60" spans="1:9" x14ac:dyDescent="0.2">
      <c r="A60" s="40" t="s">
        <v>162</v>
      </c>
      <c r="C60" s="40" t="s">
        <v>210</v>
      </c>
    </row>
    <row r="61" spans="1:9" x14ac:dyDescent="0.2">
      <c r="C61" s="40" t="s">
        <v>211</v>
      </c>
    </row>
    <row r="63" spans="1:9" ht="25.5" x14ac:dyDescent="0.2">
      <c r="A63" s="43" t="s">
        <v>163</v>
      </c>
      <c r="B63" s="43" t="s">
        <v>46</v>
      </c>
      <c r="C63" s="43"/>
      <c r="D63" s="43"/>
      <c r="E63" s="51" t="s">
        <v>65</v>
      </c>
      <c r="F63" s="54" t="s">
        <v>48</v>
      </c>
      <c r="G63" s="54" t="s">
        <v>49</v>
      </c>
      <c r="H63" s="54" t="s">
        <v>60</v>
      </c>
      <c r="I63" s="54" t="s">
        <v>51</v>
      </c>
    </row>
    <row r="64" spans="1:9" ht="15" customHeight="1" x14ac:dyDescent="0.2">
      <c r="A64" s="45">
        <v>1</v>
      </c>
      <c r="B64" s="56" t="s">
        <v>212</v>
      </c>
      <c r="C64" s="45"/>
      <c r="D64" s="45"/>
      <c r="E64" s="52">
        <v>6901254.3399999999</v>
      </c>
      <c r="F64" s="52">
        <f>554804.44+1166888.87</f>
        <v>1721693.31</v>
      </c>
      <c r="G64" s="52">
        <f>425141.2</f>
        <v>425141.2</v>
      </c>
      <c r="H64" s="52">
        <f t="shared" ref="H64:H68" si="16">F64-G64</f>
        <v>1296552.1100000001</v>
      </c>
      <c r="I64" s="52">
        <f>E64-F64</f>
        <v>5179561.0299999993</v>
      </c>
    </row>
    <row r="65" spans="1:9" x14ac:dyDescent="0.2">
      <c r="A65" s="45">
        <v>2</v>
      </c>
      <c r="B65" s="56" t="s">
        <v>67</v>
      </c>
      <c r="C65" s="45"/>
      <c r="D65" s="45"/>
      <c r="E65" s="52">
        <v>363223.91</v>
      </c>
      <c r="F65" s="52">
        <f>35413.05+74482.27</f>
        <v>109895.32</v>
      </c>
      <c r="G65" s="52">
        <f>27136.67</f>
        <v>27136.67</v>
      </c>
      <c r="H65" s="52">
        <f t="shared" si="16"/>
        <v>82758.650000000009</v>
      </c>
      <c r="I65" s="52">
        <f t="shared" ref="I65:I68" si="17">E65-F65</f>
        <v>253328.58999999997</v>
      </c>
    </row>
    <row r="66" spans="1:9" x14ac:dyDescent="0.2">
      <c r="A66" s="45">
        <v>3</v>
      </c>
      <c r="B66" s="56" t="s">
        <v>101</v>
      </c>
      <c r="C66" s="45"/>
      <c r="D66" s="45"/>
      <c r="E66" s="52">
        <v>7271.75</v>
      </c>
      <c r="F66" s="52">
        <f>590.81+1242.61</f>
        <v>1833.4199999999998</v>
      </c>
      <c r="G66" s="52">
        <f>452.73</f>
        <v>452.73</v>
      </c>
      <c r="H66" s="52">
        <f t="shared" si="16"/>
        <v>1380.6899999999998</v>
      </c>
      <c r="I66" s="52">
        <f t="shared" si="17"/>
        <v>5438.33</v>
      </c>
    </row>
    <row r="67" spans="1:9" ht="26.25" customHeight="1" x14ac:dyDescent="0.2">
      <c r="A67" s="45">
        <v>4</v>
      </c>
      <c r="B67" s="57" t="s">
        <v>104</v>
      </c>
      <c r="C67" s="45"/>
      <c r="D67" s="45"/>
      <c r="E67" s="52"/>
      <c r="F67" s="52"/>
      <c r="G67" s="52"/>
      <c r="H67" s="52">
        <f t="shared" si="16"/>
        <v>0</v>
      </c>
      <c r="I67" s="52">
        <f t="shared" si="17"/>
        <v>0</v>
      </c>
    </row>
    <row r="68" spans="1:9" x14ac:dyDescent="0.2">
      <c r="A68" s="45"/>
      <c r="B68" s="45"/>
      <c r="C68" s="45"/>
      <c r="D68" s="45"/>
      <c r="E68" s="52"/>
      <c r="F68" s="52"/>
      <c r="G68" s="52"/>
      <c r="H68" s="52">
        <f t="shared" si="16"/>
        <v>0</v>
      </c>
      <c r="I68" s="52">
        <f t="shared" si="17"/>
        <v>0</v>
      </c>
    </row>
    <row r="69" spans="1:9" x14ac:dyDescent="0.2">
      <c r="A69" s="46"/>
      <c r="B69" s="47" t="s">
        <v>43</v>
      </c>
      <c r="C69" s="46"/>
      <c r="D69" s="46"/>
      <c r="E69" s="53">
        <f>SUM(E64:E68)</f>
        <v>7271750</v>
      </c>
      <c r="F69" s="38">
        <f>SUM(F64:F68)</f>
        <v>1833422.05</v>
      </c>
      <c r="G69" s="38">
        <f>SUM(G64:G68)</f>
        <v>452730.6</v>
      </c>
      <c r="H69" s="38">
        <f>SUM(H64:H68)</f>
        <v>1380691.45</v>
      </c>
      <c r="I69" s="38">
        <f>SUM(I64:I68)</f>
        <v>5438327.9499999993</v>
      </c>
    </row>
    <row r="71" spans="1:9" ht="15.75" x14ac:dyDescent="0.25">
      <c r="A71" s="41" t="s">
        <v>217</v>
      </c>
    </row>
    <row r="72" spans="1:9" ht="7.5" customHeight="1" x14ac:dyDescent="0.25">
      <c r="A72" s="41"/>
    </row>
    <row r="73" spans="1:9" ht="15.75" x14ac:dyDescent="0.25">
      <c r="A73" s="41" t="s">
        <v>161</v>
      </c>
      <c r="C73" s="42" t="s">
        <v>214</v>
      </c>
      <c r="D73" s="42"/>
    </row>
    <row r="74" spans="1:9" x14ac:dyDescent="0.2">
      <c r="A74" s="40" t="s">
        <v>162</v>
      </c>
      <c r="C74" s="40" t="s">
        <v>215</v>
      </c>
    </row>
    <row r="75" spans="1:9" x14ac:dyDescent="0.2">
      <c r="C75" s="40" t="s">
        <v>216</v>
      </c>
    </row>
    <row r="77" spans="1:9" ht="25.5" x14ac:dyDescent="0.2">
      <c r="A77" s="43" t="s">
        <v>163</v>
      </c>
      <c r="B77" s="43" t="s">
        <v>46</v>
      </c>
      <c r="C77" s="43"/>
      <c r="D77" s="43"/>
      <c r="E77" s="51" t="s">
        <v>164</v>
      </c>
      <c r="F77" s="54" t="s">
        <v>48</v>
      </c>
      <c r="G77" s="54" t="s">
        <v>49</v>
      </c>
      <c r="H77" s="54" t="s">
        <v>60</v>
      </c>
      <c r="I77" s="54" t="s">
        <v>51</v>
      </c>
    </row>
    <row r="78" spans="1:9" x14ac:dyDescent="0.2">
      <c r="A78" s="45">
        <v>1</v>
      </c>
      <c r="B78" s="45" t="s">
        <v>218</v>
      </c>
      <c r="C78" s="45"/>
      <c r="D78" s="45"/>
      <c r="E78" s="130">
        <f>SUM(E79:E81)</f>
        <v>97955.13</v>
      </c>
      <c r="F78" s="52"/>
      <c r="G78" s="52"/>
      <c r="H78" s="52">
        <f t="shared" ref="H78:H92" si="18">F78-G78</f>
        <v>0</v>
      </c>
      <c r="I78" s="52">
        <f>E78-F78</f>
        <v>97955.13</v>
      </c>
    </row>
    <row r="79" spans="1:9" x14ac:dyDescent="0.2">
      <c r="A79" s="45"/>
      <c r="B79" s="58" t="s">
        <v>219</v>
      </c>
      <c r="C79" s="45"/>
      <c r="D79" s="45"/>
      <c r="E79" s="52">
        <v>7082.88</v>
      </c>
      <c r="F79" s="52">
        <v>7082.88</v>
      </c>
      <c r="G79" s="52">
        <v>7082.88</v>
      </c>
      <c r="H79" s="52">
        <f t="shared" si="18"/>
        <v>0</v>
      </c>
      <c r="I79" s="52">
        <f t="shared" ref="I79:I92" si="19">E79-F79</f>
        <v>0</v>
      </c>
    </row>
    <row r="80" spans="1:9" x14ac:dyDescent="0.2">
      <c r="A80" s="45"/>
      <c r="B80" s="58" t="s">
        <v>220</v>
      </c>
      <c r="C80" s="45"/>
      <c r="D80" s="45"/>
      <c r="E80" s="52"/>
      <c r="F80" s="52"/>
      <c r="G80" s="52"/>
      <c r="H80" s="52">
        <f t="shared" si="18"/>
        <v>0</v>
      </c>
      <c r="I80" s="52">
        <f t="shared" si="19"/>
        <v>0</v>
      </c>
    </row>
    <row r="81" spans="1:9" x14ac:dyDescent="0.2">
      <c r="A81" s="45"/>
      <c r="B81" s="58" t="s">
        <v>221</v>
      </c>
      <c r="C81" s="45"/>
      <c r="D81" s="45"/>
      <c r="E81" s="52">
        <v>90872.25</v>
      </c>
      <c r="F81" s="52">
        <v>90872.25</v>
      </c>
      <c r="G81" s="52">
        <v>90872.25</v>
      </c>
      <c r="H81" s="52">
        <f t="shared" si="18"/>
        <v>0</v>
      </c>
      <c r="I81" s="52">
        <f t="shared" ref="I81:I87" si="20">E81-F81</f>
        <v>0</v>
      </c>
    </row>
    <row r="82" spans="1:9" x14ac:dyDescent="0.2">
      <c r="A82" s="45">
        <v>2</v>
      </c>
      <c r="B82" s="45" t="s">
        <v>222</v>
      </c>
      <c r="C82" s="45"/>
      <c r="D82" s="45"/>
      <c r="E82" s="52"/>
      <c r="F82" s="52"/>
      <c r="G82" s="52"/>
      <c r="H82" s="52">
        <f t="shared" si="18"/>
        <v>0</v>
      </c>
      <c r="I82" s="52">
        <f t="shared" si="20"/>
        <v>0</v>
      </c>
    </row>
    <row r="83" spans="1:9" ht="12.75" customHeight="1" x14ac:dyDescent="0.2">
      <c r="A83" s="45">
        <v>3</v>
      </c>
      <c r="B83" s="45" t="s">
        <v>223</v>
      </c>
      <c r="C83" s="45"/>
      <c r="D83" s="45"/>
      <c r="E83" s="52">
        <v>3150</v>
      </c>
      <c r="F83" s="52">
        <v>3150</v>
      </c>
      <c r="G83" s="52">
        <f>1050+1050</f>
        <v>2100</v>
      </c>
      <c r="H83" s="52">
        <f t="shared" si="18"/>
        <v>1050</v>
      </c>
      <c r="I83" s="52">
        <f t="shared" si="20"/>
        <v>0</v>
      </c>
    </row>
    <row r="84" spans="1:9" x14ac:dyDescent="0.2">
      <c r="A84" s="45">
        <v>4</v>
      </c>
      <c r="B84" s="45" t="s">
        <v>224</v>
      </c>
      <c r="C84" s="45"/>
      <c r="D84" s="45"/>
      <c r="E84" s="52"/>
      <c r="F84" s="52"/>
      <c r="G84" s="52"/>
      <c r="H84" s="52">
        <f t="shared" si="18"/>
        <v>0</v>
      </c>
      <c r="I84" s="52">
        <f t="shared" si="20"/>
        <v>0</v>
      </c>
    </row>
    <row r="85" spans="1:9" x14ac:dyDescent="0.2">
      <c r="A85" s="45">
        <v>5</v>
      </c>
      <c r="B85" s="45" t="s">
        <v>225</v>
      </c>
      <c r="C85" s="45"/>
      <c r="D85" s="45"/>
      <c r="E85" s="52"/>
      <c r="F85" s="52"/>
      <c r="G85" s="52"/>
      <c r="H85" s="52">
        <f t="shared" si="18"/>
        <v>0</v>
      </c>
      <c r="I85" s="52">
        <f t="shared" si="20"/>
        <v>0</v>
      </c>
    </row>
    <row r="86" spans="1:9" x14ac:dyDescent="0.2">
      <c r="A86" s="165">
        <v>6</v>
      </c>
      <c r="B86" s="163" t="s">
        <v>157</v>
      </c>
      <c r="C86" s="45" t="s">
        <v>158</v>
      </c>
      <c r="D86" s="45"/>
      <c r="E86" s="52"/>
      <c r="F86" s="52"/>
      <c r="G86" s="52"/>
      <c r="H86" s="52">
        <f t="shared" si="18"/>
        <v>0</v>
      </c>
      <c r="I86" s="52">
        <f t="shared" si="20"/>
        <v>0</v>
      </c>
    </row>
    <row r="87" spans="1:9" x14ac:dyDescent="0.2">
      <c r="A87" s="166"/>
      <c r="B87" s="164"/>
      <c r="C87" s="45" t="s">
        <v>159</v>
      </c>
      <c r="D87" s="45"/>
      <c r="E87" s="52"/>
      <c r="F87" s="52"/>
      <c r="G87" s="52"/>
      <c r="H87" s="52">
        <f t="shared" si="18"/>
        <v>0</v>
      </c>
      <c r="I87" s="52">
        <f t="shared" si="20"/>
        <v>0</v>
      </c>
    </row>
    <row r="88" spans="1:9" x14ac:dyDescent="0.2">
      <c r="A88" s="124">
        <v>7</v>
      </c>
      <c r="B88" s="125" t="s">
        <v>363</v>
      </c>
      <c r="C88" s="126"/>
      <c r="D88" s="126"/>
      <c r="E88" s="127">
        <f>SUM(E89:E91)</f>
        <v>150000</v>
      </c>
      <c r="F88" s="52"/>
      <c r="G88" s="52"/>
      <c r="H88" s="52"/>
      <c r="I88" s="52"/>
    </row>
    <row r="89" spans="1:9" x14ac:dyDescent="0.2">
      <c r="A89" s="124"/>
      <c r="B89" s="128" t="s">
        <v>158</v>
      </c>
      <c r="C89" s="126"/>
      <c r="D89" s="126"/>
      <c r="E89" s="129">
        <v>23041.47</v>
      </c>
      <c r="F89" s="52"/>
      <c r="G89" s="52"/>
      <c r="H89" s="52"/>
      <c r="I89" s="52"/>
    </row>
    <row r="90" spans="1:9" x14ac:dyDescent="0.2">
      <c r="A90" s="124"/>
      <c r="B90" s="128" t="s">
        <v>159</v>
      </c>
      <c r="C90" s="126"/>
      <c r="D90" s="126"/>
      <c r="E90" s="129">
        <v>6958.53</v>
      </c>
      <c r="F90" s="52"/>
      <c r="G90" s="52"/>
      <c r="H90" s="52"/>
      <c r="I90" s="52"/>
    </row>
    <row r="91" spans="1:9" x14ac:dyDescent="0.2">
      <c r="A91" s="124"/>
      <c r="B91" s="128" t="s">
        <v>364</v>
      </c>
      <c r="C91" s="126"/>
      <c r="D91" s="126"/>
      <c r="E91" s="129">
        <v>120000</v>
      </c>
      <c r="F91" s="52"/>
      <c r="G91" s="52"/>
      <c r="H91" s="52"/>
      <c r="I91" s="52"/>
    </row>
    <row r="92" spans="1:9" x14ac:dyDescent="0.2">
      <c r="A92" s="45"/>
      <c r="B92" s="45" t="s">
        <v>346</v>
      </c>
      <c r="C92" s="45"/>
      <c r="D92" s="45"/>
      <c r="E92" s="130">
        <f>4260-316-3150</f>
        <v>794</v>
      </c>
      <c r="F92" s="52"/>
      <c r="G92" s="52"/>
      <c r="H92" s="52">
        <f t="shared" si="18"/>
        <v>0</v>
      </c>
      <c r="I92" s="52">
        <f t="shared" si="19"/>
        <v>794</v>
      </c>
    </row>
    <row r="93" spans="1:9" x14ac:dyDescent="0.2">
      <c r="A93" s="46"/>
      <c r="B93" s="47" t="s">
        <v>366</v>
      </c>
      <c r="C93" s="46"/>
      <c r="D93" s="46"/>
      <c r="E93" s="53">
        <f>SUM(E82:E87)+E78+E92</f>
        <v>101899.13</v>
      </c>
      <c r="F93" s="38">
        <f>SUM(F78:F92)</f>
        <v>101105.13</v>
      </c>
      <c r="G93" s="38">
        <f>SUM(G78:G92)</f>
        <v>100055.13</v>
      </c>
      <c r="H93" s="38">
        <f>SUM(H78:H92)</f>
        <v>1050</v>
      </c>
      <c r="I93" s="38">
        <f>SUM(I78:I92)</f>
        <v>98749.13</v>
      </c>
    </row>
    <row r="95" spans="1:9" ht="15.75" x14ac:dyDescent="0.25">
      <c r="A95" s="41" t="s">
        <v>226</v>
      </c>
    </row>
    <row r="96" spans="1:9" ht="7.5" customHeight="1" x14ac:dyDescent="0.25">
      <c r="A96" s="41"/>
    </row>
    <row r="97" spans="1:5" ht="15.75" x14ac:dyDescent="0.25">
      <c r="A97" s="41" t="s">
        <v>161</v>
      </c>
      <c r="C97" s="42">
        <v>244</v>
      </c>
      <c r="D97" s="42"/>
    </row>
    <row r="98" spans="1:5" x14ac:dyDescent="0.2">
      <c r="A98" s="40" t="s">
        <v>162</v>
      </c>
      <c r="C98" s="40" t="s">
        <v>229</v>
      </c>
    </row>
    <row r="99" spans="1:5" x14ac:dyDescent="0.2">
      <c r="C99" s="40" t="s">
        <v>227</v>
      </c>
    </row>
    <row r="101" spans="1:5" ht="25.5" x14ac:dyDescent="0.2">
      <c r="A101" s="43" t="s">
        <v>163</v>
      </c>
      <c r="B101" s="43" t="s">
        <v>46</v>
      </c>
      <c r="C101" s="43" t="s">
        <v>177</v>
      </c>
      <c r="D101" s="43" t="s">
        <v>205</v>
      </c>
      <c r="E101" s="51" t="s">
        <v>206</v>
      </c>
    </row>
    <row r="102" spans="1:5" ht="51" x14ac:dyDescent="0.2">
      <c r="A102" s="45">
        <v>1</v>
      </c>
      <c r="B102" s="59" t="s">
        <v>228</v>
      </c>
      <c r="C102" s="45"/>
      <c r="D102" s="45"/>
      <c r="E102" s="52"/>
    </row>
    <row r="103" spans="1:5" x14ac:dyDescent="0.2">
      <c r="A103" s="45"/>
      <c r="B103" s="45"/>
      <c r="C103" s="45"/>
      <c r="D103" s="45"/>
      <c r="E103" s="52"/>
    </row>
    <row r="104" spans="1:5" x14ac:dyDescent="0.2">
      <c r="A104" s="46"/>
      <c r="B104" s="47" t="s">
        <v>43</v>
      </c>
      <c r="C104" s="46"/>
      <c r="D104" s="46"/>
      <c r="E104" s="53">
        <f>SUM(E102:E103)</f>
        <v>0</v>
      </c>
    </row>
  </sheetData>
  <mergeCells count="2">
    <mergeCell ref="B86:B87"/>
    <mergeCell ref="A86:A87"/>
  </mergeCells>
  <conditionalFormatting sqref="I78:I92">
    <cfRule type="cellIs" dxfId="71" priority="1" operator="lessThan">
      <formula>0</formula>
    </cfRule>
    <cfRule type="cellIs" dxfId="70" priority="2" operator="greaterThan">
      <formula>0</formula>
    </cfRule>
    <cfRule type="cellIs" dxfId="69" priority="3" operator="greaterThan">
      <formula>0</formula>
    </cfRule>
  </conditionalFormatting>
  <conditionalFormatting sqref="I7:I9">
    <cfRule type="cellIs" dxfId="68" priority="16" operator="lessThan">
      <formula>0</formula>
    </cfRule>
    <cfRule type="cellIs" dxfId="67" priority="17" operator="greaterThan">
      <formula>0</formula>
    </cfRule>
    <cfRule type="cellIs" dxfId="66" priority="18" operator="greaterThan">
      <formula>0</formula>
    </cfRule>
  </conditionalFormatting>
  <conditionalFormatting sqref="I18:I20">
    <cfRule type="cellIs" dxfId="65" priority="13" operator="lessThan">
      <formula>0</formula>
    </cfRule>
    <cfRule type="cellIs" dxfId="64" priority="14" operator="greaterThan">
      <formula>0</formula>
    </cfRule>
    <cfRule type="cellIs" dxfId="63" priority="15" operator="greaterThan">
      <formula>0</formula>
    </cfRule>
  </conditionalFormatting>
  <conditionalFormatting sqref="I29:I32">
    <cfRule type="cellIs" dxfId="62" priority="10" operator="lessThan">
      <formula>0</formula>
    </cfRule>
    <cfRule type="cellIs" dxfId="61" priority="11" operator="greaterThan">
      <formula>0</formula>
    </cfRule>
    <cfRule type="cellIs" dxfId="60" priority="12" operator="greaterThan">
      <formula>0</formula>
    </cfRule>
  </conditionalFormatting>
  <conditionalFormatting sqref="I53:I54">
    <cfRule type="cellIs" dxfId="59" priority="7" operator="lessThan">
      <formula>0</formula>
    </cfRule>
    <cfRule type="cellIs" dxfId="58" priority="8" operator="greaterThan">
      <formula>0</formula>
    </cfRule>
    <cfRule type="cellIs" dxfId="57" priority="9" operator="greaterThan">
      <formula>0</formula>
    </cfRule>
  </conditionalFormatting>
  <conditionalFormatting sqref="I64:I68">
    <cfRule type="cellIs" dxfId="56" priority="4" operator="lessThan">
      <formula>0</formula>
    </cfRule>
    <cfRule type="cellIs" dxfId="55" priority="5" operator="greaterThan">
      <formula>0</formula>
    </cfRule>
    <cfRule type="cellIs" dxfId="54" priority="6" operator="greaterThan">
      <formula>0</formula>
    </cfRule>
  </conditionalFormatting>
  <pageMargins left="0.7" right="0.7" top="0.75" bottom="0.75" header="0.3" footer="0.3"/>
  <pageSetup paperSize="9" scale="81" orientation="portrait" verticalDpi="0" r:id="rId1"/>
  <rowBreaks count="1" manualBreakCount="1">
    <brk id="5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K87"/>
  <sheetViews>
    <sheetView tabSelected="1" view="pageBreakPreview" topLeftCell="A52" zoomScaleNormal="100" zoomScaleSheetLayoutView="100" workbookViewId="0">
      <selection activeCell="H76" sqref="H76"/>
    </sheetView>
  </sheetViews>
  <sheetFormatPr defaultRowHeight="12.75" x14ac:dyDescent="0.2"/>
  <cols>
    <col min="1" max="1" width="5.5703125" style="40" customWidth="1"/>
    <col min="2" max="2" width="43.7109375" style="40" customWidth="1"/>
    <col min="3" max="3" width="12.42578125" style="40" customWidth="1"/>
    <col min="4" max="4" width="13.140625" style="40" customWidth="1"/>
    <col min="5" max="5" width="16.42578125" style="40" customWidth="1"/>
    <col min="6" max="6" width="17" style="108" customWidth="1"/>
    <col min="7" max="10" width="21.140625" style="40" customWidth="1"/>
    <col min="11" max="16384" width="9.140625" style="40"/>
  </cols>
  <sheetData>
    <row r="1" spans="1:11" ht="15.75" x14ac:dyDescent="0.25">
      <c r="A1" s="41" t="s">
        <v>68</v>
      </c>
    </row>
    <row r="2" spans="1:11" ht="7.5" customHeight="1" x14ac:dyDescent="0.25">
      <c r="A2" s="41"/>
    </row>
    <row r="3" spans="1:11" ht="15.75" x14ac:dyDescent="0.25">
      <c r="A3" s="41" t="s">
        <v>161</v>
      </c>
      <c r="C3" s="42">
        <v>247</v>
      </c>
      <c r="D3" s="42"/>
      <c r="E3" s="38"/>
    </row>
    <row r="4" spans="1:11" x14ac:dyDescent="0.2">
      <c r="A4" s="40" t="s">
        <v>162</v>
      </c>
      <c r="C4" s="40" t="s">
        <v>7</v>
      </c>
      <c r="E4" s="38"/>
    </row>
    <row r="5" spans="1:11" x14ac:dyDescent="0.2">
      <c r="E5" s="38"/>
    </row>
    <row r="6" spans="1:11" ht="15.75" x14ac:dyDescent="0.25">
      <c r="A6" s="41" t="s">
        <v>230</v>
      </c>
    </row>
    <row r="8" spans="1:11" ht="37.5" customHeight="1" x14ac:dyDescent="0.2">
      <c r="A8" s="43" t="s">
        <v>163</v>
      </c>
      <c r="B8" s="43" t="s">
        <v>46</v>
      </c>
      <c r="C8" s="43" t="s">
        <v>231</v>
      </c>
      <c r="D8" s="43" t="s">
        <v>232</v>
      </c>
      <c r="E8" s="43" t="s">
        <v>233</v>
      </c>
      <c r="F8" s="51" t="s">
        <v>234</v>
      </c>
      <c r="G8" s="54" t="s">
        <v>48</v>
      </c>
      <c r="H8" s="54" t="s">
        <v>49</v>
      </c>
      <c r="I8" s="54" t="s">
        <v>352</v>
      </c>
      <c r="J8" s="54" t="s">
        <v>51</v>
      </c>
    </row>
    <row r="9" spans="1:11" ht="14.25" customHeight="1" x14ac:dyDescent="0.2">
      <c r="A9" s="45">
        <v>1</v>
      </c>
      <c r="B9" s="45" t="s">
        <v>72</v>
      </c>
      <c r="C9" s="45"/>
      <c r="D9" s="45"/>
      <c r="E9" s="45"/>
      <c r="F9" s="109">
        <v>491009.02</v>
      </c>
      <c r="G9" s="52">
        <f>444240.69</f>
        <v>444240.69</v>
      </c>
      <c r="H9" s="52">
        <f>40382.23+48682.07+35211.15</f>
        <v>124275.45000000001</v>
      </c>
      <c r="I9" s="52">
        <f>G9-H9</f>
        <v>319965.24</v>
      </c>
      <c r="J9" s="52">
        <f>F9-G9</f>
        <v>46768.330000000016</v>
      </c>
      <c r="K9" s="38">
        <f>G9+Лист3!F79</f>
        <v>451323.57</v>
      </c>
    </row>
    <row r="10" spans="1:11" ht="14.25" customHeight="1" x14ac:dyDescent="0.2">
      <c r="A10" s="45">
        <v>2</v>
      </c>
      <c r="B10" s="45" t="s">
        <v>235</v>
      </c>
      <c r="C10" s="45"/>
      <c r="D10" s="45"/>
      <c r="E10" s="45"/>
      <c r="F10" s="109">
        <f>2070647.97-257994.77</f>
        <v>1812653.2</v>
      </c>
      <c r="G10" s="52">
        <v>1478521.38</v>
      </c>
      <c r="H10" s="52">
        <f>242101.31+248836.78+230507.92</f>
        <v>721446.01</v>
      </c>
      <c r="I10" s="52">
        <f t="shared" ref="I10:I11" si="0">G10-H10</f>
        <v>757075.36999999988</v>
      </c>
      <c r="J10" s="52">
        <f t="shared" ref="J10" si="1">F10-G10</f>
        <v>334131.82000000007</v>
      </c>
    </row>
    <row r="11" spans="1:11" ht="14.25" customHeight="1" x14ac:dyDescent="0.2">
      <c r="A11" s="45">
        <v>4</v>
      </c>
      <c r="B11" s="45" t="s">
        <v>71</v>
      </c>
      <c r="C11" s="45"/>
      <c r="D11" s="45"/>
      <c r="E11" s="45"/>
      <c r="F11" s="109">
        <v>1156808.6399999999</v>
      </c>
      <c r="G11" s="52">
        <f>800318.68</f>
        <v>800318.68</v>
      </c>
      <c r="H11" s="52">
        <f>124160.92+150231.56</f>
        <v>274392.48</v>
      </c>
      <c r="I11" s="52">
        <f t="shared" si="0"/>
        <v>525926.20000000007</v>
      </c>
      <c r="J11" s="52">
        <f t="shared" ref="J11" si="2">F11-G11</f>
        <v>356489.95999999985</v>
      </c>
      <c r="K11" s="38">
        <f>G11+Лист3!F81</f>
        <v>891190.93</v>
      </c>
    </row>
    <row r="12" spans="1:11" x14ac:dyDescent="0.2">
      <c r="A12" s="46"/>
      <c r="B12" s="47" t="s">
        <v>43</v>
      </c>
      <c r="C12" s="46"/>
      <c r="D12" s="46"/>
      <c r="E12" s="53"/>
      <c r="F12" s="110">
        <f>SUM(F9:F11)</f>
        <v>3460470.8599999994</v>
      </c>
      <c r="G12" s="38">
        <f>SUM(G9:G11)</f>
        <v>2723080.75</v>
      </c>
      <c r="H12" s="38">
        <f>SUM(H9:H11)</f>
        <v>1120113.94</v>
      </c>
      <c r="I12" s="38">
        <f>SUM(I9:I11)</f>
        <v>1602966.81</v>
      </c>
      <c r="J12" s="38">
        <f>SUM(J9:J11)</f>
        <v>737390.10999999987</v>
      </c>
    </row>
    <row r="13" spans="1:11" x14ac:dyDescent="0.2">
      <c r="G13" s="120">
        <f>F12+Лист3!E78</f>
        <v>3558425.9899999993</v>
      </c>
      <c r="H13" s="120">
        <f>H12+Лист3!G81</f>
        <v>1210986.19</v>
      </c>
      <c r="I13" s="120"/>
      <c r="J13" s="121" t="s">
        <v>354</v>
      </c>
    </row>
    <row r="14" spans="1:11" ht="15.75" x14ac:dyDescent="0.25">
      <c r="A14" s="41" t="s">
        <v>161</v>
      </c>
      <c r="C14" s="42">
        <v>244</v>
      </c>
    </row>
    <row r="15" spans="1:11" x14ac:dyDescent="0.2">
      <c r="A15" s="40" t="s">
        <v>162</v>
      </c>
      <c r="C15" s="40" t="s">
        <v>7</v>
      </c>
    </row>
    <row r="16" spans="1:11" ht="7.5" customHeight="1" x14ac:dyDescent="0.2"/>
    <row r="17" spans="1:10" ht="15.75" x14ac:dyDescent="0.25">
      <c r="A17" s="41" t="s">
        <v>236</v>
      </c>
    </row>
    <row r="19" spans="1:10" ht="25.5" x14ac:dyDescent="0.2">
      <c r="A19" s="43" t="s">
        <v>163</v>
      </c>
      <c r="B19" s="43" t="s">
        <v>46</v>
      </c>
      <c r="C19" s="43" t="s">
        <v>231</v>
      </c>
      <c r="D19" s="43" t="s">
        <v>232</v>
      </c>
      <c r="E19" s="43" t="s">
        <v>233</v>
      </c>
      <c r="F19" s="51" t="s">
        <v>234</v>
      </c>
      <c r="G19" s="54" t="s">
        <v>48</v>
      </c>
      <c r="H19" s="54" t="s">
        <v>49</v>
      </c>
      <c r="I19" s="54" t="s">
        <v>352</v>
      </c>
      <c r="J19" s="54" t="s">
        <v>51</v>
      </c>
    </row>
    <row r="20" spans="1:10" ht="25.5" customHeight="1" x14ac:dyDescent="0.2">
      <c r="A20" s="45">
        <v>1</v>
      </c>
      <c r="B20" s="59" t="s">
        <v>69</v>
      </c>
      <c r="C20" s="45"/>
      <c r="D20" s="45"/>
      <c r="E20" s="45"/>
      <c r="F20" s="109">
        <v>8500</v>
      </c>
      <c r="G20" s="52">
        <v>8352</v>
      </c>
      <c r="H20" s="52">
        <f>696+696</f>
        <v>1392</v>
      </c>
      <c r="I20" s="52">
        <f t="shared" ref="I20:I21" si="3">G20-H20</f>
        <v>6960</v>
      </c>
      <c r="J20" s="52">
        <f>F20-G20</f>
        <v>148</v>
      </c>
    </row>
    <row r="21" spans="1:10" ht="14.25" customHeight="1" x14ac:dyDescent="0.2">
      <c r="A21" s="45">
        <v>2</v>
      </c>
      <c r="B21" s="45" t="s">
        <v>70</v>
      </c>
      <c r="C21" s="45"/>
      <c r="D21" s="45"/>
      <c r="E21" s="45"/>
      <c r="F21" s="109"/>
      <c r="G21" s="52"/>
      <c r="H21" s="52"/>
      <c r="I21" s="52">
        <f t="shared" si="3"/>
        <v>0</v>
      </c>
      <c r="J21" s="52">
        <f t="shared" ref="J21" si="4">F21-G21</f>
        <v>0</v>
      </c>
    </row>
    <row r="22" spans="1:10" x14ac:dyDescent="0.2">
      <c r="A22" s="46"/>
      <c r="B22" s="47" t="s">
        <v>43</v>
      </c>
      <c r="C22" s="46"/>
      <c r="D22" s="46"/>
      <c r="E22" s="53"/>
      <c r="F22" s="110">
        <f>SUM(F20:F21)</f>
        <v>8500</v>
      </c>
      <c r="G22" s="38">
        <f>SUM(G20:G21)</f>
        <v>8352</v>
      </c>
      <c r="H22" s="38">
        <f>SUM(H20:H21)</f>
        <v>1392</v>
      </c>
      <c r="I22" s="38">
        <f>SUM(I20:I21)</f>
        <v>6960</v>
      </c>
      <c r="J22" s="38">
        <f>SUM(J20:J21)</f>
        <v>148</v>
      </c>
    </row>
    <row r="24" spans="1:10" ht="15.75" x14ac:dyDescent="0.25">
      <c r="A24" s="41" t="s">
        <v>237</v>
      </c>
    </row>
    <row r="26" spans="1:10" ht="25.5" x14ac:dyDescent="0.2">
      <c r="A26" s="43" t="s">
        <v>163</v>
      </c>
      <c r="B26" s="43" t="s">
        <v>46</v>
      </c>
      <c r="C26" s="43" t="s">
        <v>231</v>
      </c>
      <c r="D26" s="43" t="s">
        <v>232</v>
      </c>
      <c r="E26" s="43" t="s">
        <v>233</v>
      </c>
      <c r="F26" s="51" t="s">
        <v>234</v>
      </c>
      <c r="G26" s="54" t="s">
        <v>48</v>
      </c>
      <c r="H26" s="54" t="s">
        <v>49</v>
      </c>
      <c r="I26" s="54" t="s">
        <v>352</v>
      </c>
      <c r="J26" s="54" t="s">
        <v>51</v>
      </c>
    </row>
    <row r="27" spans="1:10" ht="14.25" customHeight="1" x14ac:dyDescent="0.2">
      <c r="A27" s="45">
        <v>1</v>
      </c>
      <c r="B27" s="59" t="s">
        <v>238</v>
      </c>
      <c r="C27" s="45"/>
      <c r="D27" s="45"/>
      <c r="E27" s="45"/>
      <c r="F27" s="109">
        <f>151860.11-10000</f>
        <v>141860.10999999999</v>
      </c>
      <c r="G27" s="52">
        <v>116961.11</v>
      </c>
      <c r="H27" s="52">
        <f>16708.73+16708.73+16708.73</f>
        <v>50126.19</v>
      </c>
      <c r="I27" s="52">
        <f t="shared" ref="I27:I28" si="5">G27-H27</f>
        <v>66834.92</v>
      </c>
      <c r="J27" s="52">
        <f>F27-G27</f>
        <v>24898.999999999985</v>
      </c>
    </row>
    <row r="28" spans="1:10" x14ac:dyDescent="0.2">
      <c r="A28" s="45"/>
      <c r="B28" s="45"/>
      <c r="C28" s="45"/>
      <c r="D28" s="45"/>
      <c r="E28" s="45"/>
      <c r="F28" s="109"/>
      <c r="G28" s="52"/>
      <c r="H28" s="52"/>
      <c r="I28" s="52">
        <f t="shared" si="5"/>
        <v>0</v>
      </c>
      <c r="J28" s="52">
        <f t="shared" ref="J28" si="6">F28-G28</f>
        <v>0</v>
      </c>
    </row>
    <row r="29" spans="1:10" x14ac:dyDescent="0.2">
      <c r="A29" s="46"/>
      <c r="B29" s="47" t="s">
        <v>43</v>
      </c>
      <c r="C29" s="46"/>
      <c r="D29" s="46"/>
      <c r="E29" s="53"/>
      <c r="F29" s="110">
        <f>SUM(F27:F28)</f>
        <v>141860.10999999999</v>
      </c>
      <c r="G29" s="38">
        <f>SUM(G27:G28)</f>
        <v>116961.11</v>
      </c>
      <c r="H29" s="38">
        <f>SUM(H27:H28)</f>
        <v>50126.19</v>
      </c>
      <c r="I29" s="38">
        <f>SUM(I27:I28)</f>
        <v>66834.92</v>
      </c>
      <c r="J29" s="38">
        <f>SUM(J27:J28)</f>
        <v>24898.999999999985</v>
      </c>
    </row>
    <row r="31" spans="1:10" ht="22.5" customHeight="1" x14ac:dyDescent="0.25">
      <c r="A31" s="41" t="s">
        <v>239</v>
      </c>
    </row>
    <row r="33" spans="1:10" ht="25.5" x14ac:dyDescent="0.2">
      <c r="A33" s="43" t="s">
        <v>163</v>
      </c>
      <c r="B33" s="43" t="s">
        <v>46</v>
      </c>
      <c r="C33" s="43"/>
      <c r="D33" s="43" t="s">
        <v>73</v>
      </c>
      <c r="E33" s="43" t="s">
        <v>240</v>
      </c>
      <c r="F33" s="51" t="s">
        <v>241</v>
      </c>
      <c r="G33" s="54" t="s">
        <v>48</v>
      </c>
      <c r="H33" s="54" t="s">
        <v>49</v>
      </c>
      <c r="I33" s="54" t="s">
        <v>352</v>
      </c>
      <c r="J33" s="54" t="s">
        <v>51</v>
      </c>
    </row>
    <row r="34" spans="1:10" ht="14.25" customHeight="1" x14ac:dyDescent="0.2">
      <c r="A34" s="45">
        <v>1</v>
      </c>
      <c r="B34" s="59" t="s">
        <v>247</v>
      </c>
      <c r="C34" s="45"/>
      <c r="D34" s="45"/>
      <c r="E34" s="45"/>
      <c r="F34" s="109">
        <f>5000+2141.88</f>
        <v>7141.88</v>
      </c>
      <c r="G34" s="52">
        <v>7141.88</v>
      </c>
      <c r="H34" s="52"/>
      <c r="I34" s="52">
        <f t="shared" ref="I34:I51" si="7">G34-H34</f>
        <v>7141.88</v>
      </c>
      <c r="J34" s="52">
        <f>F34-G34</f>
        <v>0</v>
      </c>
    </row>
    <row r="35" spans="1:10" ht="14.25" customHeight="1" x14ac:dyDescent="0.2">
      <c r="A35" s="45">
        <v>2</v>
      </c>
      <c r="B35" s="59" t="s">
        <v>316</v>
      </c>
      <c r="C35" s="45"/>
      <c r="D35" s="45"/>
      <c r="E35" s="45"/>
      <c r="F35" s="109">
        <v>25000</v>
      </c>
      <c r="G35" s="52"/>
      <c r="H35" s="52"/>
      <c r="I35" s="52">
        <f t="shared" si="7"/>
        <v>0</v>
      </c>
      <c r="J35" s="52">
        <f t="shared" ref="J35:J46" si="8">F35-G35</f>
        <v>25000</v>
      </c>
    </row>
    <row r="36" spans="1:10" ht="14.25" customHeight="1" x14ac:dyDescent="0.2">
      <c r="A36" s="45">
        <v>3</v>
      </c>
      <c r="B36" s="59" t="s">
        <v>315</v>
      </c>
      <c r="C36" s="45"/>
      <c r="D36" s="45"/>
      <c r="E36" s="45"/>
      <c r="F36" s="109">
        <v>22500</v>
      </c>
      <c r="G36" s="52">
        <v>22500</v>
      </c>
      <c r="H36" s="52">
        <v>22500</v>
      </c>
      <c r="I36" s="52">
        <f t="shared" si="7"/>
        <v>0</v>
      </c>
      <c r="J36" s="52">
        <f t="shared" si="8"/>
        <v>0</v>
      </c>
    </row>
    <row r="37" spans="1:10" ht="14.25" customHeight="1" x14ac:dyDescent="0.2">
      <c r="A37" s="45">
        <v>4</v>
      </c>
      <c r="B37" s="45" t="s">
        <v>359</v>
      </c>
      <c r="C37" s="45"/>
      <c r="D37" s="45"/>
      <c r="E37" s="45"/>
      <c r="F37" s="109">
        <v>257994.77</v>
      </c>
      <c r="G37" s="52"/>
      <c r="H37" s="52"/>
      <c r="I37" s="52">
        <f t="shared" ref="I37" si="9">G37-H37</f>
        <v>0</v>
      </c>
      <c r="J37" s="52">
        <f t="shared" si="8"/>
        <v>257994.77</v>
      </c>
    </row>
    <row r="38" spans="1:10" ht="14.25" customHeight="1" x14ac:dyDescent="0.2">
      <c r="A38" s="45">
        <v>5</v>
      </c>
      <c r="B38" s="59" t="s">
        <v>75</v>
      </c>
      <c r="C38" s="45"/>
      <c r="D38" s="45"/>
      <c r="E38" s="45"/>
      <c r="F38" s="109">
        <v>12000</v>
      </c>
      <c r="G38" s="52"/>
      <c r="H38" s="52"/>
      <c r="I38" s="52">
        <f t="shared" si="7"/>
        <v>0</v>
      </c>
      <c r="J38" s="52">
        <f t="shared" si="8"/>
        <v>12000</v>
      </c>
    </row>
    <row r="39" spans="1:10" ht="14.25" customHeight="1" x14ac:dyDescent="0.2">
      <c r="A39" s="45">
        <v>6</v>
      </c>
      <c r="B39" s="59" t="s">
        <v>78</v>
      </c>
      <c r="C39" s="45"/>
      <c r="D39" s="45"/>
      <c r="E39" s="45"/>
      <c r="F39" s="109">
        <f>55000+24000</f>
        <v>79000</v>
      </c>
      <c r="G39" s="52">
        <f>54119.2+14676.6+5520.5</f>
        <v>74316.3</v>
      </c>
      <c r="H39" s="52">
        <f>14993.8+7338.3</f>
        <v>22332.1</v>
      </c>
      <c r="I39" s="52">
        <f t="shared" si="7"/>
        <v>51984.200000000004</v>
      </c>
      <c r="J39" s="52">
        <f t="shared" si="8"/>
        <v>4683.6999999999971</v>
      </c>
    </row>
    <row r="40" spans="1:10" ht="14.25" customHeight="1" x14ac:dyDescent="0.2">
      <c r="A40" s="45">
        <v>7</v>
      </c>
      <c r="B40" s="59" t="s">
        <v>246</v>
      </c>
      <c r="C40" s="45"/>
      <c r="D40" s="45"/>
      <c r="E40" s="45"/>
      <c r="F40" s="109"/>
      <c r="G40" s="52"/>
      <c r="H40" s="52"/>
      <c r="I40" s="52">
        <f t="shared" si="7"/>
        <v>0</v>
      </c>
      <c r="J40" s="52">
        <f t="shared" si="8"/>
        <v>0</v>
      </c>
    </row>
    <row r="41" spans="1:10" ht="14.25" customHeight="1" x14ac:dyDescent="0.2">
      <c r="A41" s="45">
        <v>8</v>
      </c>
      <c r="B41" s="59" t="s">
        <v>242</v>
      </c>
      <c r="C41" s="45"/>
      <c r="D41" s="45"/>
      <c r="E41" s="45"/>
      <c r="F41" s="109">
        <f>36000-24000</f>
        <v>12000</v>
      </c>
      <c r="G41" s="52">
        <v>12000</v>
      </c>
      <c r="H41" s="52">
        <v>12000</v>
      </c>
      <c r="I41" s="52">
        <f t="shared" si="7"/>
        <v>0</v>
      </c>
      <c r="J41" s="52">
        <f t="shared" si="8"/>
        <v>0</v>
      </c>
    </row>
    <row r="42" spans="1:10" ht="14.25" customHeight="1" x14ac:dyDescent="0.2">
      <c r="A42" s="45">
        <v>9</v>
      </c>
      <c r="B42" s="59" t="s">
        <v>79</v>
      </c>
      <c r="C42" s="45"/>
      <c r="D42" s="45"/>
      <c r="E42" s="45"/>
      <c r="F42" s="109">
        <v>15000</v>
      </c>
      <c r="G42" s="52"/>
      <c r="H42" s="52"/>
      <c r="I42" s="52">
        <f t="shared" si="7"/>
        <v>0</v>
      </c>
      <c r="J42" s="52">
        <f t="shared" si="8"/>
        <v>15000</v>
      </c>
    </row>
    <row r="43" spans="1:10" ht="14.25" customHeight="1" x14ac:dyDescent="0.2">
      <c r="A43" s="45">
        <v>10</v>
      </c>
      <c r="B43" s="59" t="s">
        <v>74</v>
      </c>
      <c r="C43" s="45"/>
      <c r="D43" s="45"/>
      <c r="E43" s="45"/>
      <c r="F43" s="109">
        <f>25000+1474</f>
        <v>26474</v>
      </c>
      <c r="G43" s="52">
        <v>26474</v>
      </c>
      <c r="H43" s="52">
        <f>8479</f>
        <v>8479</v>
      </c>
      <c r="I43" s="52">
        <f t="shared" si="7"/>
        <v>17995</v>
      </c>
      <c r="J43" s="52">
        <f t="shared" si="8"/>
        <v>0</v>
      </c>
    </row>
    <row r="44" spans="1:10" ht="14.25" customHeight="1" x14ac:dyDescent="0.2">
      <c r="A44" s="45">
        <v>11</v>
      </c>
      <c r="B44" s="59" t="s">
        <v>77</v>
      </c>
      <c r="C44" s="45"/>
      <c r="D44" s="45"/>
      <c r="E44" s="45"/>
      <c r="F44" s="109">
        <v>15000</v>
      </c>
      <c r="G44" s="52">
        <v>15000</v>
      </c>
      <c r="H44" s="52">
        <v>15000</v>
      </c>
      <c r="I44" s="52">
        <f t="shared" si="7"/>
        <v>0</v>
      </c>
      <c r="J44" s="52">
        <f t="shared" si="8"/>
        <v>0</v>
      </c>
    </row>
    <row r="45" spans="1:10" ht="14.25" customHeight="1" x14ac:dyDescent="0.2">
      <c r="A45" s="45">
        <v>12</v>
      </c>
      <c r="B45" s="59" t="s">
        <v>244</v>
      </c>
      <c r="C45" s="45"/>
      <c r="D45" s="45"/>
      <c r="E45" s="45"/>
      <c r="F45" s="109">
        <v>98000</v>
      </c>
      <c r="G45" s="52">
        <v>96000</v>
      </c>
      <c r="H45" s="52">
        <f>8000+8000</f>
        <v>16000</v>
      </c>
      <c r="I45" s="52">
        <f t="shared" si="7"/>
        <v>80000</v>
      </c>
      <c r="J45" s="52">
        <f t="shared" si="8"/>
        <v>2000</v>
      </c>
    </row>
    <row r="46" spans="1:10" ht="25.5" x14ac:dyDescent="0.2">
      <c r="A46" s="45">
        <v>13</v>
      </c>
      <c r="B46" s="59" t="s">
        <v>243</v>
      </c>
      <c r="C46" s="45"/>
      <c r="D46" s="45"/>
      <c r="E46" s="45"/>
      <c r="F46" s="109">
        <v>30000</v>
      </c>
      <c r="G46" s="52">
        <v>30000</v>
      </c>
      <c r="H46" s="52">
        <f>2500+2500</f>
        <v>5000</v>
      </c>
      <c r="I46" s="52">
        <f t="shared" si="7"/>
        <v>25000</v>
      </c>
      <c r="J46" s="52">
        <f t="shared" si="8"/>
        <v>0</v>
      </c>
    </row>
    <row r="47" spans="1:10" ht="25.5" x14ac:dyDescent="0.2">
      <c r="A47" s="45">
        <v>14</v>
      </c>
      <c r="B47" s="59" t="s">
        <v>245</v>
      </c>
      <c r="C47" s="45"/>
      <c r="D47" s="45"/>
      <c r="E47" s="45"/>
      <c r="F47" s="109">
        <v>54000</v>
      </c>
      <c r="G47" s="52">
        <v>54000</v>
      </c>
      <c r="H47" s="52">
        <f>4500+4500</f>
        <v>9000</v>
      </c>
      <c r="I47" s="52">
        <f t="shared" si="7"/>
        <v>45000</v>
      </c>
      <c r="J47" s="52">
        <f t="shared" ref="J47:J51" si="10">F47-G47</f>
        <v>0</v>
      </c>
    </row>
    <row r="48" spans="1:10" ht="25.5" x14ac:dyDescent="0.2">
      <c r="A48" s="45">
        <v>15</v>
      </c>
      <c r="B48" s="59" t="s">
        <v>76</v>
      </c>
      <c r="C48" s="45"/>
      <c r="D48" s="45"/>
      <c r="E48" s="45"/>
      <c r="F48" s="109">
        <f>56000-2141.88-1474</f>
        <v>52384.12</v>
      </c>
      <c r="G48" s="52">
        <v>51600</v>
      </c>
      <c r="H48" s="52">
        <f>4300+4300</f>
        <v>8600</v>
      </c>
      <c r="I48" s="52">
        <f t="shared" si="7"/>
        <v>43000</v>
      </c>
      <c r="J48" s="52">
        <f t="shared" si="10"/>
        <v>784.12000000000262</v>
      </c>
    </row>
    <row r="49" spans="1:10" x14ac:dyDescent="0.2">
      <c r="A49" s="45">
        <v>16</v>
      </c>
      <c r="B49" s="59" t="s">
        <v>311</v>
      </c>
      <c r="C49" s="45"/>
      <c r="D49" s="45"/>
      <c r="E49" s="45"/>
      <c r="F49" s="109">
        <f>8216.4+1146.36</f>
        <v>9362.76</v>
      </c>
      <c r="G49" s="52">
        <v>9362.76</v>
      </c>
      <c r="H49" s="52">
        <f>780.23+780.23</f>
        <v>1560.46</v>
      </c>
      <c r="I49" s="52">
        <f t="shared" si="7"/>
        <v>7802.3</v>
      </c>
      <c r="J49" s="52">
        <f t="shared" si="10"/>
        <v>0</v>
      </c>
    </row>
    <row r="50" spans="1:10" ht="14.25" customHeight="1" x14ac:dyDescent="0.2">
      <c r="A50" s="45">
        <v>17</v>
      </c>
      <c r="B50" s="59" t="s">
        <v>248</v>
      </c>
      <c r="C50" s="45"/>
      <c r="D50" s="45"/>
      <c r="E50" s="45"/>
      <c r="F50" s="109"/>
      <c r="G50" s="52"/>
      <c r="H50" s="52"/>
      <c r="I50" s="52">
        <f t="shared" si="7"/>
        <v>0</v>
      </c>
      <c r="J50" s="52">
        <f t="shared" si="10"/>
        <v>0</v>
      </c>
    </row>
    <row r="51" spans="1:10" ht="14.25" customHeight="1" x14ac:dyDescent="0.2">
      <c r="A51" s="45">
        <v>18</v>
      </c>
      <c r="B51" s="45"/>
      <c r="C51" s="45"/>
      <c r="D51" s="45"/>
      <c r="E51" s="45"/>
      <c r="F51" s="109"/>
      <c r="G51" s="52"/>
      <c r="H51" s="52"/>
      <c r="I51" s="52">
        <f t="shared" si="7"/>
        <v>0</v>
      </c>
      <c r="J51" s="52">
        <f t="shared" si="10"/>
        <v>0</v>
      </c>
    </row>
    <row r="52" spans="1:10" x14ac:dyDescent="0.2">
      <c r="A52" s="46"/>
      <c r="B52" s="47" t="s">
        <v>43</v>
      </c>
      <c r="C52" s="46"/>
      <c r="D52" s="46"/>
      <c r="E52" s="53"/>
      <c r="F52" s="110">
        <f>SUM(F34:F51)</f>
        <v>715857.53</v>
      </c>
      <c r="G52" s="38">
        <f>SUM(G34:G51)</f>
        <v>398394.94</v>
      </c>
      <c r="H52" s="38">
        <f>SUM(H34:H51)</f>
        <v>120471.56000000001</v>
      </c>
      <c r="I52" s="38">
        <f>SUM(I34:I51)</f>
        <v>277923.38</v>
      </c>
      <c r="J52" s="38">
        <f>SUM(J34:J51)</f>
        <v>317462.59000000003</v>
      </c>
    </row>
    <row r="54" spans="1:10" ht="15.75" x14ac:dyDescent="0.25">
      <c r="A54" s="41" t="s">
        <v>249</v>
      </c>
    </row>
    <row r="56" spans="1:10" ht="25.5" x14ac:dyDescent="0.2">
      <c r="A56" s="43" t="s">
        <v>163</v>
      </c>
      <c r="B56" s="43" t="s">
        <v>46</v>
      </c>
      <c r="C56" s="43"/>
      <c r="D56" s="43" t="s">
        <v>73</v>
      </c>
      <c r="E56" s="43" t="s">
        <v>240</v>
      </c>
      <c r="F56" s="51" t="s">
        <v>241</v>
      </c>
      <c r="G56" s="54" t="s">
        <v>48</v>
      </c>
      <c r="H56" s="54" t="s">
        <v>49</v>
      </c>
      <c r="I56" s="54" t="s">
        <v>352</v>
      </c>
      <c r="J56" s="54" t="s">
        <v>51</v>
      </c>
    </row>
    <row r="57" spans="1:10" ht="14.25" customHeight="1" x14ac:dyDescent="0.2">
      <c r="A57" s="45">
        <v>1</v>
      </c>
      <c r="B57" s="59" t="s">
        <v>256</v>
      </c>
      <c r="C57" s="45"/>
      <c r="D57" s="45"/>
      <c r="E57" s="45"/>
      <c r="F57" s="109">
        <v>78000</v>
      </c>
      <c r="G57" s="52"/>
      <c r="H57" s="52"/>
      <c r="I57" s="52">
        <f t="shared" ref="I57:I75" si="11">G57-H57</f>
        <v>0</v>
      </c>
      <c r="J57" s="52">
        <f>F57-G57</f>
        <v>78000</v>
      </c>
    </row>
    <row r="58" spans="1:10" ht="14.25" customHeight="1" x14ac:dyDescent="0.2">
      <c r="A58" s="45">
        <v>2</v>
      </c>
      <c r="B58" s="59" t="s">
        <v>349</v>
      </c>
      <c r="C58" s="45"/>
      <c r="D58" s="45"/>
      <c r="E58" s="45"/>
      <c r="F58" s="109">
        <f>2064.56+3535.44</f>
        <v>5600</v>
      </c>
      <c r="G58" s="52">
        <v>5600</v>
      </c>
      <c r="H58" s="52">
        <v>5600</v>
      </c>
      <c r="I58" s="52">
        <f t="shared" si="11"/>
        <v>0</v>
      </c>
      <c r="J58" s="52">
        <f t="shared" ref="J58:J67" si="12">F58-G58</f>
        <v>0</v>
      </c>
    </row>
    <row r="59" spans="1:10" ht="14.25" customHeight="1" x14ac:dyDescent="0.2">
      <c r="A59" s="45">
        <v>3</v>
      </c>
      <c r="B59" s="59" t="s">
        <v>83</v>
      </c>
      <c r="C59" s="45"/>
      <c r="D59" s="45"/>
      <c r="E59" s="45"/>
      <c r="F59" s="109">
        <f>96000-3535.44-9676.78</f>
        <v>82787.78</v>
      </c>
      <c r="G59" s="52"/>
      <c r="H59" s="52"/>
      <c r="I59" s="52">
        <f t="shared" si="11"/>
        <v>0</v>
      </c>
      <c r="J59" s="52">
        <f t="shared" si="12"/>
        <v>82787.78</v>
      </c>
    </row>
    <row r="60" spans="1:10" ht="14.25" customHeight="1" x14ac:dyDescent="0.2">
      <c r="A60" s="45">
        <v>4</v>
      </c>
      <c r="B60" s="59" t="s">
        <v>81</v>
      </c>
      <c r="C60" s="45"/>
      <c r="D60" s="45"/>
      <c r="E60" s="45"/>
      <c r="F60" s="109">
        <v>19800</v>
      </c>
      <c r="G60" s="52"/>
      <c r="H60" s="52"/>
      <c r="I60" s="52">
        <f t="shared" si="11"/>
        <v>0</v>
      </c>
      <c r="J60" s="52">
        <f t="shared" si="12"/>
        <v>19800</v>
      </c>
    </row>
    <row r="61" spans="1:10" ht="14.25" customHeight="1" x14ac:dyDescent="0.2">
      <c r="A61" s="45">
        <v>5</v>
      </c>
      <c r="B61" s="59" t="s">
        <v>358</v>
      </c>
      <c r="C61" s="45"/>
      <c r="D61" s="45"/>
      <c r="E61" s="45"/>
      <c r="F61" s="109">
        <v>10000</v>
      </c>
      <c r="G61" s="52">
        <v>10000</v>
      </c>
      <c r="H61" s="52">
        <v>10000</v>
      </c>
      <c r="I61" s="52">
        <f t="shared" ref="I61" si="13">G61-H61</f>
        <v>0</v>
      </c>
      <c r="J61" s="52">
        <f t="shared" si="12"/>
        <v>0</v>
      </c>
    </row>
    <row r="62" spans="1:10" ht="14.25" customHeight="1" x14ac:dyDescent="0.2">
      <c r="A62" s="45">
        <v>6</v>
      </c>
      <c r="B62" s="111" t="s">
        <v>251</v>
      </c>
      <c r="C62" s="45"/>
      <c r="D62" s="45"/>
      <c r="E62" s="45"/>
      <c r="F62" s="112">
        <v>1483127</v>
      </c>
      <c r="G62" s="52">
        <f>226285+256679+584500</f>
        <v>1067464</v>
      </c>
      <c r="H62" s="52">
        <f>226285+256679</f>
        <v>482964</v>
      </c>
      <c r="I62" s="52">
        <f t="shared" si="11"/>
        <v>584500</v>
      </c>
      <c r="J62" s="52">
        <f t="shared" si="12"/>
        <v>415663</v>
      </c>
    </row>
    <row r="63" spans="1:10" ht="14.25" customHeight="1" x14ac:dyDescent="0.2">
      <c r="A63" s="45">
        <v>7</v>
      </c>
      <c r="B63" s="111" t="s">
        <v>253</v>
      </c>
      <c r="C63" s="45"/>
      <c r="D63" s="45"/>
      <c r="E63" s="45"/>
      <c r="F63" s="112">
        <v>1446685</v>
      </c>
      <c r="G63" s="52">
        <f>245019.04+263084.96+617487.5</f>
        <v>1125591.5</v>
      </c>
      <c r="H63" s="52">
        <f>245019.04+263084.96</f>
        <v>508104</v>
      </c>
      <c r="I63" s="52">
        <f t="shared" si="11"/>
        <v>617487.5</v>
      </c>
      <c r="J63" s="52">
        <f t="shared" si="12"/>
        <v>321093.5</v>
      </c>
    </row>
    <row r="64" spans="1:10" ht="14.25" customHeight="1" x14ac:dyDescent="0.2">
      <c r="A64" s="45">
        <v>8</v>
      </c>
      <c r="B64" s="111" t="s">
        <v>252</v>
      </c>
      <c r="C64" s="45"/>
      <c r="D64" s="45"/>
      <c r="E64" s="45"/>
      <c r="F64" s="112">
        <v>1992190</v>
      </c>
      <c r="G64" s="52">
        <f>336825.88+362675.76+850325</f>
        <v>1549826.6400000001</v>
      </c>
      <c r="H64" s="52">
        <f>336825.88+362675.76</f>
        <v>699501.64</v>
      </c>
      <c r="I64" s="52">
        <f t="shared" si="11"/>
        <v>850325.00000000012</v>
      </c>
      <c r="J64" s="52">
        <f t="shared" si="12"/>
        <v>442363.35999999987</v>
      </c>
    </row>
    <row r="65" spans="1:10" ht="14.25" customHeight="1" x14ac:dyDescent="0.2">
      <c r="A65" s="45">
        <v>9</v>
      </c>
      <c r="B65" s="59" t="s">
        <v>80</v>
      </c>
      <c r="C65" s="45"/>
      <c r="D65" s="45"/>
      <c r="E65" s="45"/>
      <c r="F65" s="109">
        <v>25000</v>
      </c>
      <c r="G65" s="52">
        <f>6000+6000</f>
        <v>12000</v>
      </c>
      <c r="H65" s="52">
        <f>6000+6000</f>
        <v>12000</v>
      </c>
      <c r="I65" s="52">
        <f t="shared" si="11"/>
        <v>0</v>
      </c>
      <c r="J65" s="52">
        <f t="shared" si="12"/>
        <v>13000</v>
      </c>
    </row>
    <row r="66" spans="1:10" ht="14.25" customHeight="1" x14ac:dyDescent="0.2">
      <c r="A66" s="45">
        <v>10</v>
      </c>
      <c r="B66" s="59" t="s">
        <v>133</v>
      </c>
      <c r="C66" s="45"/>
      <c r="D66" s="45"/>
      <c r="E66" s="45"/>
      <c r="F66" s="109"/>
      <c r="G66" s="52"/>
      <c r="H66" s="52"/>
      <c r="I66" s="52">
        <f t="shared" si="11"/>
        <v>0</v>
      </c>
      <c r="J66" s="52">
        <f t="shared" si="12"/>
        <v>0</v>
      </c>
    </row>
    <row r="67" spans="1:10" ht="14.25" customHeight="1" x14ac:dyDescent="0.2">
      <c r="A67" s="45">
        <v>11</v>
      </c>
      <c r="B67" s="59" t="s">
        <v>312</v>
      </c>
      <c r="C67" s="45"/>
      <c r="D67" s="45"/>
      <c r="E67" s="45"/>
      <c r="F67" s="109">
        <f>25628.96-2064.56</f>
        <v>23564.399999999998</v>
      </c>
      <c r="G67" s="52">
        <v>23564.400000000001</v>
      </c>
      <c r="H67" s="52">
        <f>1963.7+1963.7+1963.7</f>
        <v>5891.1</v>
      </c>
      <c r="I67" s="52">
        <f t="shared" si="11"/>
        <v>17673.300000000003</v>
      </c>
      <c r="J67" s="52">
        <f t="shared" si="12"/>
        <v>0</v>
      </c>
    </row>
    <row r="68" spans="1:10" ht="14.25" customHeight="1" x14ac:dyDescent="0.2">
      <c r="A68" s="45">
        <v>12</v>
      </c>
      <c r="B68" s="59" t="s">
        <v>255</v>
      </c>
      <c r="C68" s="45"/>
      <c r="D68" s="45"/>
      <c r="E68" s="45"/>
      <c r="F68" s="109"/>
      <c r="G68" s="52"/>
      <c r="H68" s="52"/>
      <c r="I68" s="52">
        <f t="shared" si="11"/>
        <v>0</v>
      </c>
      <c r="J68" s="52">
        <f t="shared" ref="J68:J74" si="14">F68-G68</f>
        <v>0</v>
      </c>
    </row>
    <row r="69" spans="1:10" ht="14.25" customHeight="1" x14ac:dyDescent="0.2">
      <c r="A69" s="45">
        <v>13</v>
      </c>
      <c r="B69" s="59" t="s">
        <v>82</v>
      </c>
      <c r="C69" s="45"/>
      <c r="D69" s="45"/>
      <c r="E69" s="45"/>
      <c r="F69" s="109">
        <v>30000</v>
      </c>
      <c r="G69" s="52">
        <f>11700+8000</f>
        <v>19700</v>
      </c>
      <c r="H69" s="52">
        <f>11700+8000</f>
        <v>19700</v>
      </c>
      <c r="I69" s="52">
        <f t="shared" si="11"/>
        <v>0</v>
      </c>
      <c r="J69" s="52">
        <f t="shared" si="14"/>
        <v>10300</v>
      </c>
    </row>
    <row r="70" spans="1:10" ht="14.25" customHeight="1" x14ac:dyDescent="0.2">
      <c r="A70" s="45">
        <v>14</v>
      </c>
      <c r="B70" s="59" t="s">
        <v>250</v>
      </c>
      <c r="C70" s="45"/>
      <c r="D70" s="45"/>
      <c r="E70" s="45"/>
      <c r="F70" s="109">
        <f>210045+128364.85+124117.5</f>
        <v>462527.35</v>
      </c>
      <c r="G70" s="52">
        <v>177550</v>
      </c>
      <c r="H70" s="52">
        <f>50250+63650+63650</f>
        <v>177550</v>
      </c>
      <c r="I70" s="52">
        <f t="shared" si="11"/>
        <v>0</v>
      </c>
      <c r="J70" s="52">
        <f t="shared" si="14"/>
        <v>284977.34999999998</v>
      </c>
    </row>
    <row r="71" spans="1:10" ht="14.25" customHeight="1" x14ac:dyDescent="0.2">
      <c r="A71" s="45">
        <v>15</v>
      </c>
      <c r="B71" s="59" t="s">
        <v>254</v>
      </c>
      <c r="C71" s="45"/>
      <c r="D71" s="45"/>
      <c r="E71" s="45"/>
      <c r="F71" s="109"/>
      <c r="G71" s="52"/>
      <c r="H71" s="52"/>
      <c r="I71" s="52">
        <f t="shared" si="11"/>
        <v>0</v>
      </c>
      <c r="J71" s="52">
        <f t="shared" si="14"/>
        <v>0</v>
      </c>
    </row>
    <row r="72" spans="1:10" ht="14.25" customHeight="1" x14ac:dyDescent="0.2">
      <c r="A72" s="45">
        <v>16</v>
      </c>
      <c r="B72" s="59" t="s">
        <v>355</v>
      </c>
      <c r="C72" s="45"/>
      <c r="D72" s="45"/>
      <c r="E72" s="45"/>
      <c r="F72" s="109">
        <v>43200</v>
      </c>
      <c r="G72" s="52">
        <v>43200</v>
      </c>
      <c r="H72" s="52">
        <f>3600+3600+3600</f>
        <v>10800</v>
      </c>
      <c r="I72" s="52">
        <f>G72-H72</f>
        <v>32400</v>
      </c>
      <c r="J72" s="52">
        <f>F72-G72</f>
        <v>0</v>
      </c>
    </row>
    <row r="73" spans="1:10" ht="14.25" customHeight="1" x14ac:dyDescent="0.2">
      <c r="A73" s="45">
        <v>17</v>
      </c>
      <c r="B73" s="59" t="s">
        <v>151</v>
      </c>
      <c r="C73" s="45"/>
      <c r="D73" s="45"/>
      <c r="E73" s="45"/>
      <c r="F73" s="109">
        <v>168000</v>
      </c>
      <c r="G73" s="52">
        <v>168000</v>
      </c>
      <c r="H73" s="52">
        <f>14000+14000+14000</f>
        <v>42000</v>
      </c>
      <c r="I73" s="52">
        <f t="shared" si="11"/>
        <v>126000</v>
      </c>
      <c r="J73" s="52">
        <f t="shared" si="14"/>
        <v>0</v>
      </c>
    </row>
    <row r="74" spans="1:10" ht="14.25" customHeight="1" x14ac:dyDescent="0.2">
      <c r="A74" s="45">
        <v>18</v>
      </c>
      <c r="B74" s="59"/>
      <c r="C74" s="45"/>
      <c r="D74" s="45"/>
      <c r="E74" s="45"/>
      <c r="F74" s="109"/>
      <c r="G74" s="52"/>
      <c r="H74" s="52"/>
      <c r="I74" s="52">
        <f t="shared" si="11"/>
        <v>0</v>
      </c>
      <c r="J74" s="52">
        <f t="shared" si="14"/>
        <v>0</v>
      </c>
    </row>
    <row r="75" spans="1:10" ht="25.5" x14ac:dyDescent="0.2">
      <c r="A75" s="45">
        <v>19</v>
      </c>
      <c r="B75" s="60" t="s">
        <v>257</v>
      </c>
      <c r="C75" s="45"/>
      <c r="D75" s="45"/>
      <c r="E75" s="45"/>
      <c r="F75" s="109">
        <v>14400</v>
      </c>
      <c r="G75" s="52">
        <v>14400</v>
      </c>
      <c r="H75" s="52">
        <v>3600</v>
      </c>
      <c r="I75" s="52">
        <f t="shared" si="11"/>
        <v>10800</v>
      </c>
      <c r="J75" s="52">
        <f t="shared" ref="J75" si="15">F75-G75</f>
        <v>0</v>
      </c>
    </row>
    <row r="76" spans="1:10" x14ac:dyDescent="0.2">
      <c r="A76" s="46"/>
      <c r="B76" s="47" t="s">
        <v>87</v>
      </c>
      <c r="C76" s="46"/>
      <c r="D76" s="46"/>
      <c r="E76" s="53"/>
      <c r="F76" s="110">
        <f>SUM(F57:F74)</f>
        <v>5870481.5300000003</v>
      </c>
      <c r="G76" s="38">
        <f>SUM(G57:G75)</f>
        <v>4216896.54</v>
      </c>
      <c r="H76" s="38">
        <f>SUM(H57:H74)</f>
        <v>1974110.7400000002</v>
      </c>
      <c r="I76" s="38">
        <f>SUM(I57:I74)</f>
        <v>2228385.7999999998</v>
      </c>
      <c r="J76" s="38">
        <f>SUM(J57:J74)</f>
        <v>1667984.9899999998</v>
      </c>
    </row>
    <row r="77" spans="1:10" x14ac:dyDescent="0.2">
      <c r="A77" s="46"/>
      <c r="B77" s="47" t="s">
        <v>88</v>
      </c>
      <c r="C77" s="46"/>
      <c r="D77" s="46"/>
      <c r="E77" s="53"/>
      <c r="F77" s="110">
        <f>F75</f>
        <v>14400</v>
      </c>
      <c r="G77" s="38">
        <f>G75</f>
        <v>14400</v>
      </c>
      <c r="H77" s="38">
        <f t="shared" ref="H77:J77" si="16">H75</f>
        <v>3600</v>
      </c>
      <c r="I77" s="38">
        <f t="shared" si="16"/>
        <v>10800</v>
      </c>
      <c r="J77" s="38">
        <f t="shared" si="16"/>
        <v>0</v>
      </c>
    </row>
    <row r="79" spans="1:10" ht="15.75" x14ac:dyDescent="0.25">
      <c r="A79" s="41" t="s">
        <v>258</v>
      </c>
    </row>
    <row r="81" spans="1:10" ht="25.5" x14ac:dyDescent="0.2">
      <c r="A81" s="43" t="s">
        <v>163</v>
      </c>
      <c r="B81" s="43" t="s">
        <v>46</v>
      </c>
      <c r="C81" s="43"/>
      <c r="D81" s="43"/>
      <c r="E81" s="43"/>
      <c r="F81" s="51" t="s">
        <v>259</v>
      </c>
      <c r="G81" s="54" t="s">
        <v>48</v>
      </c>
      <c r="H81" s="54" t="s">
        <v>49</v>
      </c>
      <c r="I81" s="54" t="s">
        <v>352</v>
      </c>
      <c r="J81" s="54" t="s">
        <v>51</v>
      </c>
    </row>
    <row r="82" spans="1:10" x14ac:dyDescent="0.2">
      <c r="A82" s="45">
        <v>1</v>
      </c>
      <c r="B82" s="59" t="s">
        <v>260</v>
      </c>
      <c r="C82" s="45"/>
      <c r="D82" s="45"/>
      <c r="E82" s="45"/>
      <c r="F82" s="109"/>
      <c r="G82" s="52"/>
      <c r="H82" s="52"/>
      <c r="I82" s="52">
        <f t="shared" ref="I82:I86" si="17">G82-H82</f>
        <v>0</v>
      </c>
      <c r="J82" s="52">
        <f>F82-G82</f>
        <v>0</v>
      </c>
    </row>
    <row r="83" spans="1:10" x14ac:dyDescent="0.2">
      <c r="A83" s="45">
        <v>2</v>
      </c>
      <c r="B83" s="59" t="s">
        <v>85</v>
      </c>
      <c r="C83" s="45"/>
      <c r="D83" s="45"/>
      <c r="E83" s="45"/>
      <c r="F83" s="109"/>
      <c r="G83" s="52"/>
      <c r="H83" s="52"/>
      <c r="I83" s="52">
        <f>G83-H83</f>
        <v>0</v>
      </c>
      <c r="J83" s="52">
        <f t="shared" ref="J83:J86" si="18">F83-G83</f>
        <v>0</v>
      </c>
    </row>
    <row r="84" spans="1:10" x14ac:dyDescent="0.2">
      <c r="A84" s="45">
        <v>3</v>
      </c>
      <c r="B84" s="59" t="s">
        <v>84</v>
      </c>
      <c r="C84" s="45"/>
      <c r="D84" s="45"/>
      <c r="E84" s="45"/>
      <c r="F84" s="109"/>
      <c r="G84" s="52"/>
      <c r="H84" s="52"/>
      <c r="I84" s="52">
        <f t="shared" si="17"/>
        <v>0</v>
      </c>
      <c r="J84" s="52">
        <f t="shared" si="18"/>
        <v>0</v>
      </c>
    </row>
    <row r="85" spans="1:10" x14ac:dyDescent="0.2">
      <c r="A85" s="45">
        <v>4</v>
      </c>
      <c r="B85" s="59" t="s">
        <v>86</v>
      </c>
      <c r="C85" s="45"/>
      <c r="D85" s="45"/>
      <c r="E85" s="45"/>
      <c r="F85" s="109"/>
      <c r="G85" s="52"/>
      <c r="H85" s="52"/>
      <c r="I85" s="52">
        <f t="shared" si="17"/>
        <v>0</v>
      </c>
      <c r="J85" s="52">
        <f t="shared" si="18"/>
        <v>0</v>
      </c>
    </row>
    <row r="86" spans="1:10" x14ac:dyDescent="0.2">
      <c r="A86" s="45">
        <v>5</v>
      </c>
      <c r="B86" s="45" t="s">
        <v>261</v>
      </c>
      <c r="C86" s="45"/>
      <c r="D86" s="45"/>
      <c r="E86" s="45"/>
      <c r="F86" s="109"/>
      <c r="G86" s="52"/>
      <c r="H86" s="52"/>
      <c r="I86" s="52">
        <f t="shared" si="17"/>
        <v>0</v>
      </c>
      <c r="J86" s="52">
        <f t="shared" si="18"/>
        <v>0</v>
      </c>
    </row>
    <row r="87" spans="1:10" x14ac:dyDescent="0.2">
      <c r="A87" s="46"/>
      <c r="B87" s="47" t="s">
        <v>43</v>
      </c>
      <c r="C87" s="46"/>
      <c r="D87" s="46"/>
      <c r="E87" s="53"/>
      <c r="F87" s="110">
        <f>SUM(F82:F86)</f>
        <v>0</v>
      </c>
      <c r="G87" s="38">
        <f>SUM(G82:G86)</f>
        <v>0</v>
      </c>
      <c r="H87" s="38">
        <f>SUM(H82:H86)</f>
        <v>0</v>
      </c>
      <c r="I87" s="38">
        <f>SUM(I82:I86)</f>
        <v>0</v>
      </c>
      <c r="J87" s="38">
        <f>SUM(J82:J86)</f>
        <v>0</v>
      </c>
    </row>
  </sheetData>
  <sortState ref="B34:F53">
    <sortCondition ref="B62:B79"/>
  </sortState>
  <conditionalFormatting sqref="J82:J86 J57:J60 J62:J72">
    <cfRule type="cellIs" dxfId="53" priority="7" operator="lessThan">
      <formula>0</formula>
    </cfRule>
    <cfRule type="cellIs" dxfId="52" priority="8" operator="greaterThan">
      <formula>0</formula>
    </cfRule>
    <cfRule type="cellIs" dxfId="51" priority="9" operator="greaterThan">
      <formula>0</formula>
    </cfRule>
  </conditionalFormatting>
  <conditionalFormatting sqref="J9:J11">
    <cfRule type="cellIs" dxfId="50" priority="22" operator="lessThan">
      <formula>0</formula>
    </cfRule>
    <cfRule type="cellIs" dxfId="49" priority="23" operator="greaterThan">
      <formula>0</formula>
    </cfRule>
    <cfRule type="cellIs" dxfId="48" priority="24" operator="greaterThan">
      <formula>0</formula>
    </cfRule>
  </conditionalFormatting>
  <conditionalFormatting sqref="J20:J21">
    <cfRule type="cellIs" dxfId="47" priority="19" operator="lessThan">
      <formula>0</formula>
    </cfRule>
    <cfRule type="cellIs" dxfId="46" priority="20" operator="greaterThan">
      <formula>0</formula>
    </cfRule>
    <cfRule type="cellIs" dxfId="45" priority="21" operator="greaterThan">
      <formula>0</formula>
    </cfRule>
  </conditionalFormatting>
  <conditionalFormatting sqref="J27:J28">
    <cfRule type="cellIs" dxfId="44" priority="16" operator="lessThan">
      <formula>0</formula>
    </cfRule>
    <cfRule type="cellIs" dxfId="43" priority="17" operator="greaterThan">
      <formula>0</formula>
    </cfRule>
    <cfRule type="cellIs" dxfId="42" priority="18" operator="greaterThan">
      <formula>0</formula>
    </cfRule>
  </conditionalFormatting>
  <conditionalFormatting sqref="J34:J36 J38:J51">
    <cfRule type="cellIs" dxfId="41" priority="13" operator="lessThan">
      <formula>0</formula>
    </cfRule>
    <cfRule type="cellIs" dxfId="40" priority="14" operator="greaterThan">
      <formula>0</formula>
    </cfRule>
    <cfRule type="cellIs" dxfId="39" priority="15" operator="greaterThan">
      <formula>0</formula>
    </cfRule>
  </conditionalFormatting>
  <conditionalFormatting sqref="J73:J75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greaterThan">
      <formula>0</formula>
    </cfRule>
  </conditionalFormatting>
  <conditionalFormatting sqref="J61">
    <cfRule type="cellIs" dxfId="35" priority="4" operator="lessThan">
      <formula>0</formula>
    </cfRule>
    <cfRule type="cellIs" dxfId="34" priority="5" operator="greaterThan">
      <formula>0</formula>
    </cfRule>
    <cfRule type="cellIs" dxfId="33" priority="6" operator="greaterThan">
      <formula>0</formula>
    </cfRule>
  </conditionalFormatting>
  <conditionalFormatting sqref="J37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paperSize="9" scale="79" orientation="portrait" verticalDpi="0" r:id="rId1"/>
  <rowBreaks count="1" manualBreakCount="1">
    <brk id="5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2:I84"/>
  <sheetViews>
    <sheetView view="pageBreakPreview" topLeftCell="A58" zoomScaleNormal="100" zoomScaleSheetLayoutView="100" workbookViewId="0">
      <selection activeCell="G86" sqref="G86"/>
    </sheetView>
  </sheetViews>
  <sheetFormatPr defaultRowHeight="12.75" x14ac:dyDescent="0.2"/>
  <cols>
    <col min="1" max="1" width="5.5703125" style="40" customWidth="1"/>
    <col min="2" max="2" width="54.28515625" style="40" customWidth="1"/>
    <col min="3" max="3" width="12.7109375" style="40" customWidth="1"/>
    <col min="4" max="4" width="13.7109375" style="40" customWidth="1"/>
    <col min="5" max="5" width="20.7109375" style="40" customWidth="1"/>
    <col min="6" max="9" width="21.140625" style="40" customWidth="1"/>
    <col min="10" max="16384" width="9.140625" style="40"/>
  </cols>
  <sheetData>
    <row r="2" spans="1:9" ht="15.75" x14ac:dyDescent="0.25">
      <c r="A2" s="41" t="s">
        <v>262</v>
      </c>
    </row>
    <row r="3" spans="1:9" ht="7.5" customHeight="1" x14ac:dyDescent="0.2"/>
    <row r="4" spans="1:9" ht="25.5" x14ac:dyDescent="0.2">
      <c r="A4" s="43" t="s">
        <v>163</v>
      </c>
      <c r="B4" s="43" t="s">
        <v>46</v>
      </c>
      <c r="C4" s="43" t="s">
        <v>47</v>
      </c>
      <c r="D4" s="43" t="s">
        <v>267</v>
      </c>
      <c r="E4" s="51" t="s">
        <v>268</v>
      </c>
      <c r="F4" s="54" t="s">
        <v>48</v>
      </c>
      <c r="G4" s="54" t="s">
        <v>49</v>
      </c>
      <c r="H4" s="54" t="s">
        <v>60</v>
      </c>
      <c r="I4" s="54" t="s">
        <v>51</v>
      </c>
    </row>
    <row r="5" spans="1:9" ht="14.25" customHeight="1" x14ac:dyDescent="0.2">
      <c r="A5" s="45">
        <v>1</v>
      </c>
      <c r="B5" s="56" t="s">
        <v>264</v>
      </c>
      <c r="C5" s="45"/>
      <c r="D5" s="45"/>
      <c r="E5" s="52">
        <f>1354000-84292.57-11500-14400</f>
        <v>1243807.43</v>
      </c>
      <c r="F5" s="52"/>
      <c r="G5" s="52"/>
      <c r="H5" s="52">
        <f>F5-G5</f>
        <v>0</v>
      </c>
      <c r="I5" s="52">
        <f>E5-F5</f>
        <v>1243807.43</v>
      </c>
    </row>
    <row r="6" spans="1:9" ht="14.25" customHeight="1" x14ac:dyDescent="0.2">
      <c r="A6" s="45">
        <v>2</v>
      </c>
      <c r="B6" s="56" t="s">
        <v>347</v>
      </c>
      <c r="C6" s="45"/>
      <c r="D6" s="45"/>
      <c r="E6" s="52">
        <f>52607.43+84292.57+7900</f>
        <v>144800</v>
      </c>
      <c r="F6" s="52">
        <v>144800</v>
      </c>
      <c r="G6" s="52">
        <v>144800</v>
      </c>
      <c r="H6" s="52">
        <f t="shared" ref="H6:H8" si="0">F6-G6</f>
        <v>0</v>
      </c>
      <c r="I6" s="52">
        <f t="shared" ref="I6:I8" si="1">E6-F6</f>
        <v>0</v>
      </c>
    </row>
    <row r="7" spans="1:9" ht="14.25" customHeight="1" x14ac:dyDescent="0.2">
      <c r="A7" s="45">
        <v>3</v>
      </c>
      <c r="B7" s="45"/>
      <c r="C7" s="45"/>
      <c r="D7" s="45"/>
      <c r="E7" s="52"/>
      <c r="F7" s="52"/>
      <c r="G7" s="52"/>
      <c r="H7" s="52">
        <f t="shared" si="0"/>
        <v>0</v>
      </c>
      <c r="I7" s="52">
        <f t="shared" si="1"/>
        <v>0</v>
      </c>
    </row>
    <row r="8" spans="1:9" ht="14.25" customHeight="1" x14ac:dyDescent="0.2">
      <c r="A8" s="45"/>
      <c r="B8" s="45"/>
      <c r="C8" s="45"/>
      <c r="D8" s="45"/>
      <c r="E8" s="52"/>
      <c r="F8" s="52"/>
      <c r="G8" s="52"/>
      <c r="H8" s="52">
        <f t="shared" si="0"/>
        <v>0</v>
      </c>
      <c r="I8" s="52">
        <f t="shared" si="1"/>
        <v>0</v>
      </c>
    </row>
    <row r="9" spans="1:9" x14ac:dyDescent="0.2">
      <c r="A9" s="46"/>
      <c r="B9" s="47" t="s">
        <v>87</v>
      </c>
      <c r="C9" s="46"/>
      <c r="D9" s="46"/>
      <c r="E9" s="53">
        <f>SUM(E7:E8)</f>
        <v>0</v>
      </c>
      <c r="F9" s="38">
        <f>SUM(F7:F8)</f>
        <v>0</v>
      </c>
      <c r="G9" s="38">
        <f>SUM(G7:G8)</f>
        <v>0</v>
      </c>
      <c r="H9" s="38">
        <f>SUM(H7:H8)</f>
        <v>0</v>
      </c>
      <c r="I9" s="38">
        <f>SUM(I7:I8)</f>
        <v>0</v>
      </c>
    </row>
    <row r="10" spans="1:9" x14ac:dyDescent="0.2">
      <c r="A10" s="46"/>
      <c r="B10" s="47" t="s">
        <v>88</v>
      </c>
      <c r="C10" s="46"/>
      <c r="D10" s="46"/>
      <c r="E10" s="53">
        <f>SUM(E5:E6)</f>
        <v>1388607.43</v>
      </c>
      <c r="F10" s="38">
        <f>SUM(F5:F6)</f>
        <v>144800</v>
      </c>
      <c r="G10" s="38">
        <f>SUM(G5:G6)</f>
        <v>144800</v>
      </c>
      <c r="H10" s="38">
        <f>SUM(H5:H6)</f>
        <v>0</v>
      </c>
      <c r="I10" s="38">
        <f>SUM(I5:I6)</f>
        <v>1243807.43</v>
      </c>
    </row>
    <row r="12" spans="1:9" ht="15.75" x14ac:dyDescent="0.25">
      <c r="A12" s="41" t="s">
        <v>265</v>
      </c>
    </row>
    <row r="13" spans="1:9" ht="15.75" x14ac:dyDescent="0.25">
      <c r="A13" s="41" t="s">
        <v>333</v>
      </c>
    </row>
    <row r="14" spans="1:9" ht="7.5" customHeight="1" x14ac:dyDescent="0.2"/>
    <row r="15" spans="1:9" ht="25.5" x14ac:dyDescent="0.2">
      <c r="A15" s="43" t="s">
        <v>163</v>
      </c>
      <c r="B15" s="43" t="s">
        <v>46</v>
      </c>
      <c r="C15" s="43" t="s">
        <v>47</v>
      </c>
      <c r="D15" s="43" t="s">
        <v>267</v>
      </c>
      <c r="E15" s="51" t="s">
        <v>268</v>
      </c>
      <c r="F15" s="54" t="s">
        <v>48</v>
      </c>
      <c r="G15" s="54" t="s">
        <v>49</v>
      </c>
      <c r="H15" s="54" t="s">
        <v>60</v>
      </c>
      <c r="I15" s="54" t="s">
        <v>51</v>
      </c>
    </row>
    <row r="16" spans="1:9" ht="14.25" customHeight="1" x14ac:dyDescent="0.2">
      <c r="A16" s="45">
        <v>1</v>
      </c>
      <c r="B16" s="45" t="s">
        <v>266</v>
      </c>
      <c r="C16" s="45"/>
      <c r="D16" s="45"/>
      <c r="E16" s="52"/>
      <c r="F16" s="52"/>
      <c r="G16" s="52"/>
      <c r="H16" s="52">
        <f t="shared" ref="H16:H17" si="2">F16-G16</f>
        <v>0</v>
      </c>
      <c r="I16" s="52">
        <f>E16-F16</f>
        <v>0</v>
      </c>
    </row>
    <row r="17" spans="1:9" ht="14.25" customHeight="1" x14ac:dyDescent="0.2">
      <c r="A17" s="45"/>
      <c r="B17" s="45"/>
      <c r="C17" s="45"/>
      <c r="D17" s="45"/>
      <c r="E17" s="52"/>
      <c r="F17" s="52"/>
      <c r="G17" s="52"/>
      <c r="H17" s="52">
        <f t="shared" si="2"/>
        <v>0</v>
      </c>
      <c r="I17" s="52">
        <f>E17-F17</f>
        <v>0</v>
      </c>
    </row>
    <row r="18" spans="1:9" x14ac:dyDescent="0.2">
      <c r="A18" s="46"/>
      <c r="B18" s="47" t="s">
        <v>87</v>
      </c>
      <c r="C18" s="46"/>
      <c r="D18" s="46"/>
      <c r="E18" s="53">
        <f>SUM(E16:E17)</f>
        <v>0</v>
      </c>
      <c r="F18" s="38">
        <f>SUM(F16:F17)</f>
        <v>0</v>
      </c>
      <c r="G18" s="38">
        <f t="shared" ref="G18:I18" si="3">SUM(G16:G17)</f>
        <v>0</v>
      </c>
      <c r="H18" s="38">
        <f t="shared" si="3"/>
        <v>0</v>
      </c>
      <c r="I18" s="38">
        <f t="shared" si="3"/>
        <v>0</v>
      </c>
    </row>
    <row r="20" spans="1:9" ht="15.75" x14ac:dyDescent="0.25">
      <c r="A20" s="41" t="s">
        <v>334</v>
      </c>
    </row>
    <row r="21" spans="1:9" ht="7.5" customHeight="1" x14ac:dyDescent="0.2"/>
    <row r="22" spans="1:9" ht="25.5" x14ac:dyDescent="0.2">
      <c r="A22" s="43" t="s">
        <v>163</v>
      </c>
      <c r="B22" s="43" t="s">
        <v>46</v>
      </c>
      <c r="C22" s="43" t="s">
        <v>47</v>
      </c>
      <c r="D22" s="43" t="s">
        <v>267</v>
      </c>
      <c r="E22" s="51" t="s">
        <v>268</v>
      </c>
      <c r="F22" s="54" t="s">
        <v>48</v>
      </c>
      <c r="G22" s="54" t="s">
        <v>49</v>
      </c>
      <c r="H22" s="54" t="s">
        <v>60</v>
      </c>
      <c r="I22" s="54" t="s">
        <v>51</v>
      </c>
    </row>
    <row r="23" spans="1:9" ht="14.25" customHeight="1" x14ac:dyDescent="0.2">
      <c r="A23" s="45">
        <v>1</v>
      </c>
      <c r="B23" s="45" t="s">
        <v>269</v>
      </c>
      <c r="C23" s="45"/>
      <c r="D23" s="45"/>
      <c r="E23" s="52"/>
      <c r="F23" s="52"/>
      <c r="G23" s="52"/>
      <c r="H23" s="52">
        <f t="shared" ref="H23:H24" si="4">F23-G23</f>
        <v>0</v>
      </c>
      <c r="I23" s="52">
        <f>E23-F23</f>
        <v>0</v>
      </c>
    </row>
    <row r="24" spans="1:9" ht="14.25" customHeight="1" x14ac:dyDescent="0.2">
      <c r="A24" s="45"/>
      <c r="B24" s="45"/>
      <c r="C24" s="45"/>
      <c r="D24" s="45"/>
      <c r="E24" s="52"/>
      <c r="F24" s="52"/>
      <c r="G24" s="52"/>
      <c r="H24" s="52">
        <f t="shared" si="4"/>
        <v>0</v>
      </c>
      <c r="I24" s="52">
        <f>E24-F24</f>
        <v>0</v>
      </c>
    </row>
    <row r="25" spans="1:9" x14ac:dyDescent="0.2">
      <c r="A25" s="46"/>
      <c r="B25" s="47" t="s">
        <v>87</v>
      </c>
      <c r="C25" s="46"/>
      <c r="D25" s="46"/>
      <c r="E25" s="53">
        <f>SUM(E23:E24)</f>
        <v>0</v>
      </c>
      <c r="F25" s="38">
        <f>SUM(F23:F24)</f>
        <v>0</v>
      </c>
      <c r="G25" s="38">
        <f t="shared" ref="G25" si="5">SUM(G23:G24)</f>
        <v>0</v>
      </c>
      <c r="H25" s="38">
        <f t="shared" ref="H25" si="6">SUM(H23:H24)</f>
        <v>0</v>
      </c>
      <c r="I25" s="38">
        <f t="shared" ref="I25" si="7">SUM(I23:I24)</f>
        <v>0</v>
      </c>
    </row>
    <row r="27" spans="1:9" ht="15.75" x14ac:dyDescent="0.25">
      <c r="A27" s="41" t="s">
        <v>335</v>
      </c>
    </row>
    <row r="28" spans="1:9" ht="7.5" customHeight="1" x14ac:dyDescent="0.2"/>
    <row r="29" spans="1:9" ht="25.5" x14ac:dyDescent="0.2">
      <c r="A29" s="43" t="s">
        <v>163</v>
      </c>
      <c r="B29" s="43" t="s">
        <v>46</v>
      </c>
      <c r="C29" s="43" t="s">
        <v>47</v>
      </c>
      <c r="D29" s="43" t="s">
        <v>267</v>
      </c>
      <c r="E29" s="51" t="s">
        <v>268</v>
      </c>
      <c r="F29" s="54" t="s">
        <v>48</v>
      </c>
      <c r="G29" s="54" t="s">
        <v>49</v>
      </c>
      <c r="H29" s="54" t="s">
        <v>60</v>
      </c>
      <c r="I29" s="54" t="s">
        <v>51</v>
      </c>
    </row>
    <row r="30" spans="1:9" ht="14.25" customHeight="1" x14ac:dyDescent="0.2">
      <c r="A30" s="45">
        <v>1</v>
      </c>
      <c r="B30" s="45" t="s">
        <v>149</v>
      </c>
      <c r="C30" s="45"/>
      <c r="D30" s="45"/>
      <c r="E30" s="52"/>
      <c r="F30" s="52"/>
      <c r="G30" s="52"/>
      <c r="H30" s="52">
        <f t="shared" ref="H30:H32" si="8">F30-G30</f>
        <v>0</v>
      </c>
      <c r="I30" s="52">
        <f>E30-F30</f>
        <v>0</v>
      </c>
    </row>
    <row r="31" spans="1:9" ht="14.25" customHeight="1" x14ac:dyDescent="0.2">
      <c r="A31" s="45">
        <v>2</v>
      </c>
      <c r="B31" s="45" t="s">
        <v>152</v>
      </c>
      <c r="C31" s="45"/>
      <c r="D31" s="45"/>
      <c r="E31" s="52">
        <v>14300</v>
      </c>
      <c r="F31" s="52"/>
      <c r="G31" s="52"/>
      <c r="H31" s="52">
        <f t="shared" si="8"/>
        <v>0</v>
      </c>
      <c r="I31" s="52">
        <f t="shared" ref="I31:I32" si="9">E31-F31</f>
        <v>14300</v>
      </c>
    </row>
    <row r="32" spans="1:9" ht="14.25" customHeight="1" x14ac:dyDescent="0.2">
      <c r="A32" s="45">
        <v>3</v>
      </c>
      <c r="B32" s="45" t="s">
        <v>89</v>
      </c>
      <c r="C32" s="45"/>
      <c r="D32" s="45"/>
      <c r="E32" s="52"/>
      <c r="F32" s="52"/>
      <c r="G32" s="52"/>
      <c r="H32" s="52">
        <f t="shared" si="8"/>
        <v>0</v>
      </c>
      <c r="I32" s="52">
        <f t="shared" si="9"/>
        <v>0</v>
      </c>
    </row>
    <row r="33" spans="1:9" x14ac:dyDescent="0.2">
      <c r="A33" s="46"/>
      <c r="B33" s="47" t="s">
        <v>87</v>
      </c>
      <c r="C33" s="46"/>
      <c r="D33" s="46"/>
      <c r="E33" s="53">
        <f>SUM(E30:E32)</f>
        <v>14300</v>
      </c>
      <c r="F33" s="38">
        <f>SUM(F30:F32)</f>
        <v>0</v>
      </c>
      <c r="G33" s="38">
        <f>SUM(G30:G32)</f>
        <v>0</v>
      </c>
      <c r="H33" s="38">
        <f>SUM(H30:H32)</f>
        <v>0</v>
      </c>
      <c r="I33" s="38">
        <f>SUM(I30:I32)</f>
        <v>14300</v>
      </c>
    </row>
    <row r="35" spans="1:9" ht="15.75" x14ac:dyDescent="0.25">
      <c r="A35" s="41" t="s">
        <v>336</v>
      </c>
    </row>
    <row r="36" spans="1:9" ht="7.5" customHeight="1" x14ac:dyDescent="0.2"/>
    <row r="37" spans="1:9" ht="25.5" x14ac:dyDescent="0.2">
      <c r="A37" s="43" t="s">
        <v>163</v>
      </c>
      <c r="B37" s="43" t="s">
        <v>46</v>
      </c>
      <c r="C37" s="43" t="s">
        <v>47</v>
      </c>
      <c r="D37" s="43" t="s">
        <v>267</v>
      </c>
      <c r="E37" s="51" t="s">
        <v>268</v>
      </c>
      <c r="F37" s="54" t="s">
        <v>48</v>
      </c>
      <c r="G37" s="54" t="s">
        <v>49</v>
      </c>
      <c r="H37" s="54" t="s">
        <v>60</v>
      </c>
      <c r="I37" s="54" t="s">
        <v>51</v>
      </c>
    </row>
    <row r="38" spans="1:9" x14ac:dyDescent="0.2">
      <c r="A38" s="45">
        <v>1</v>
      </c>
      <c r="B38" s="45" t="s">
        <v>90</v>
      </c>
      <c r="C38" s="45"/>
      <c r="D38" s="45"/>
      <c r="E38" s="52">
        <f>97236-1146.36</f>
        <v>96089.64</v>
      </c>
      <c r="F38" s="52">
        <f>37600+58489.64</f>
        <v>96089.64</v>
      </c>
      <c r="G38" s="52">
        <f>37600+58489.64</f>
        <v>96089.64</v>
      </c>
      <c r="H38" s="52">
        <f t="shared" ref="H38:H40" si="10">F38-G38</f>
        <v>0</v>
      </c>
      <c r="I38" s="52">
        <f>E38-F38</f>
        <v>0</v>
      </c>
    </row>
    <row r="39" spans="1:9" x14ac:dyDescent="0.2">
      <c r="A39" s="45"/>
      <c r="B39" s="45"/>
      <c r="C39" s="45"/>
      <c r="D39" s="45"/>
      <c r="E39" s="52"/>
      <c r="F39" s="52"/>
      <c r="G39" s="52"/>
      <c r="H39" s="52"/>
      <c r="I39" s="52">
        <f t="shared" ref="I39:I40" si="11">E39-F39</f>
        <v>0</v>
      </c>
    </row>
    <row r="40" spans="1:9" x14ac:dyDescent="0.2">
      <c r="A40" s="45"/>
      <c r="B40" s="56" t="s">
        <v>348</v>
      </c>
      <c r="C40" s="45"/>
      <c r="D40" s="45"/>
      <c r="E40" s="52">
        <v>3600</v>
      </c>
      <c r="F40" s="52">
        <v>3600</v>
      </c>
      <c r="G40" s="52">
        <v>3600</v>
      </c>
      <c r="H40" s="52">
        <f t="shared" si="10"/>
        <v>0</v>
      </c>
      <c r="I40" s="52">
        <f t="shared" si="11"/>
        <v>0</v>
      </c>
    </row>
    <row r="41" spans="1:9" x14ac:dyDescent="0.2">
      <c r="A41" s="46"/>
      <c r="B41" s="47" t="s">
        <v>87</v>
      </c>
      <c r="C41" s="46"/>
      <c r="D41" s="46"/>
      <c r="E41" s="53">
        <f>SUM(E38:E39)</f>
        <v>96089.64</v>
      </c>
      <c r="F41" s="38">
        <f>SUM(F38:F39)</f>
        <v>96089.64</v>
      </c>
      <c r="G41" s="38">
        <f t="shared" ref="G41:I41" si="12">SUM(G38:G39)</f>
        <v>96089.64</v>
      </c>
      <c r="H41" s="38">
        <f t="shared" si="12"/>
        <v>0</v>
      </c>
      <c r="I41" s="38">
        <f t="shared" si="12"/>
        <v>0</v>
      </c>
    </row>
    <row r="42" spans="1:9" x14ac:dyDescent="0.2">
      <c r="A42" s="46"/>
      <c r="B42" s="47" t="s">
        <v>88</v>
      </c>
      <c r="C42" s="46"/>
      <c r="D42" s="46"/>
      <c r="E42" s="53">
        <f>E40</f>
        <v>3600</v>
      </c>
      <c r="F42" s="38">
        <f>SUM(F40)</f>
        <v>3600</v>
      </c>
      <c r="G42" s="38">
        <f t="shared" ref="G42:I42" si="13">SUM(G40)</f>
        <v>3600</v>
      </c>
      <c r="H42" s="38">
        <f t="shared" si="13"/>
        <v>0</v>
      </c>
      <c r="I42" s="38">
        <f t="shared" si="13"/>
        <v>0</v>
      </c>
    </row>
    <row r="44" spans="1:9" ht="15.75" x14ac:dyDescent="0.25">
      <c r="A44" s="41" t="s">
        <v>337</v>
      </c>
    </row>
    <row r="45" spans="1:9" ht="7.5" customHeight="1" x14ac:dyDescent="0.2"/>
    <row r="46" spans="1:9" ht="25.5" x14ac:dyDescent="0.2">
      <c r="A46" s="43" t="s">
        <v>163</v>
      </c>
      <c r="B46" s="43" t="s">
        <v>46</v>
      </c>
      <c r="C46" s="43" t="s">
        <v>47</v>
      </c>
      <c r="D46" s="43" t="s">
        <v>267</v>
      </c>
      <c r="E46" s="51" t="s">
        <v>268</v>
      </c>
      <c r="F46" s="54" t="s">
        <v>48</v>
      </c>
      <c r="G46" s="54" t="s">
        <v>49</v>
      </c>
      <c r="H46" s="54" t="s">
        <v>60</v>
      </c>
      <c r="I46" s="54" t="s">
        <v>51</v>
      </c>
    </row>
    <row r="47" spans="1:9" x14ac:dyDescent="0.2">
      <c r="A47" s="45">
        <v>1</v>
      </c>
      <c r="B47" s="45" t="s">
        <v>270</v>
      </c>
      <c r="C47" s="45"/>
      <c r="D47" s="45"/>
      <c r="E47" s="52"/>
      <c r="F47" s="52"/>
      <c r="G47" s="52"/>
      <c r="H47" s="52">
        <f t="shared" ref="H47:H48" si="14">F47-G47</f>
        <v>0</v>
      </c>
      <c r="I47" s="52">
        <f>E47-F47</f>
        <v>0</v>
      </c>
    </row>
    <row r="48" spans="1:9" x14ac:dyDescent="0.2">
      <c r="A48" s="45"/>
      <c r="B48" s="45"/>
      <c r="C48" s="45"/>
      <c r="D48" s="45"/>
      <c r="E48" s="52"/>
      <c r="F48" s="52"/>
      <c r="G48" s="52"/>
      <c r="H48" s="52">
        <f t="shared" si="14"/>
        <v>0</v>
      </c>
      <c r="I48" s="52">
        <f t="shared" ref="I48" si="15">E48-F48</f>
        <v>0</v>
      </c>
    </row>
    <row r="49" spans="1:9" x14ac:dyDescent="0.2">
      <c r="A49" s="46"/>
      <c r="B49" s="47" t="s">
        <v>87</v>
      </c>
      <c r="C49" s="46"/>
      <c r="D49" s="46"/>
      <c r="E49" s="53">
        <f>SUM(E47:E48)</f>
        <v>0</v>
      </c>
      <c r="F49" s="38">
        <f>SUM(F47:F48)</f>
        <v>0</v>
      </c>
      <c r="G49" s="38">
        <f>SUM(G47:G48)</f>
        <v>0</v>
      </c>
      <c r="H49" s="38">
        <f>SUM(H47:H48)</f>
        <v>0</v>
      </c>
      <c r="I49" s="38">
        <f>SUM(I47:I48)</f>
        <v>0</v>
      </c>
    </row>
    <row r="51" spans="1:9" ht="15.75" x14ac:dyDescent="0.25">
      <c r="A51" s="41" t="s">
        <v>338</v>
      </c>
    </row>
    <row r="52" spans="1:9" ht="15.75" x14ac:dyDescent="0.25">
      <c r="A52" s="41" t="s">
        <v>339</v>
      </c>
    </row>
    <row r="53" spans="1:9" ht="7.5" customHeight="1" x14ac:dyDescent="0.2"/>
    <row r="54" spans="1:9" ht="25.5" x14ac:dyDescent="0.2">
      <c r="A54" s="43" t="s">
        <v>163</v>
      </c>
      <c r="B54" s="43" t="s">
        <v>46</v>
      </c>
      <c r="C54" s="43" t="s">
        <v>47</v>
      </c>
      <c r="D54" s="43" t="s">
        <v>267</v>
      </c>
      <c r="E54" s="51" t="s">
        <v>268</v>
      </c>
      <c r="F54" s="54" t="s">
        <v>48</v>
      </c>
      <c r="G54" s="54" t="s">
        <v>49</v>
      </c>
      <c r="H54" s="54" t="s">
        <v>60</v>
      </c>
      <c r="I54" s="54" t="s">
        <v>51</v>
      </c>
    </row>
    <row r="55" spans="1:9" ht="14.25" customHeight="1" x14ac:dyDescent="0.2">
      <c r="A55" s="45">
        <v>1</v>
      </c>
      <c r="B55" s="45" t="s">
        <v>313</v>
      </c>
      <c r="C55" s="45"/>
      <c r="D55" s="45"/>
      <c r="E55" s="52">
        <v>48450</v>
      </c>
      <c r="F55" s="52">
        <v>48450</v>
      </c>
      <c r="G55" s="52">
        <v>48450</v>
      </c>
      <c r="H55" s="52">
        <f t="shared" ref="H55:H57" si="16">F55-G55</f>
        <v>0</v>
      </c>
      <c r="I55" s="52">
        <f>E55-F55</f>
        <v>0</v>
      </c>
    </row>
    <row r="56" spans="1:9" ht="14.25" customHeight="1" x14ac:dyDescent="0.2">
      <c r="A56" s="45">
        <v>2</v>
      </c>
      <c r="B56" s="45" t="s">
        <v>271</v>
      </c>
      <c r="C56" s="45"/>
      <c r="D56" s="45"/>
      <c r="E56" s="52">
        <f>61600-33523.22</f>
        <v>28076.78</v>
      </c>
      <c r="F56" s="52">
        <v>28076.78</v>
      </c>
      <c r="G56" s="52">
        <v>28076.78</v>
      </c>
      <c r="H56" s="52">
        <f t="shared" si="16"/>
        <v>0</v>
      </c>
      <c r="I56" s="52">
        <f t="shared" ref="I56:I57" si="17">E56-F56</f>
        <v>0</v>
      </c>
    </row>
    <row r="57" spans="1:9" ht="14.25" customHeight="1" x14ac:dyDescent="0.2">
      <c r="A57" s="45">
        <v>3</v>
      </c>
      <c r="B57" s="45" t="s">
        <v>314</v>
      </c>
      <c r="C57" s="45"/>
      <c r="D57" s="45"/>
      <c r="E57" s="52"/>
      <c r="F57" s="52"/>
      <c r="G57" s="52"/>
      <c r="H57" s="52">
        <f t="shared" si="16"/>
        <v>0</v>
      </c>
      <c r="I57" s="52">
        <f t="shared" si="17"/>
        <v>0</v>
      </c>
    </row>
    <row r="58" spans="1:9" ht="14.25" customHeight="1" x14ac:dyDescent="0.2">
      <c r="A58" s="45"/>
      <c r="B58" s="45"/>
      <c r="C58" s="45"/>
      <c r="D58" s="45"/>
      <c r="E58" s="52"/>
      <c r="F58" s="38"/>
      <c r="G58" s="38"/>
      <c r="H58" s="38"/>
      <c r="I58" s="38"/>
    </row>
    <row r="59" spans="1:9" x14ac:dyDescent="0.2">
      <c r="A59" s="46"/>
      <c r="B59" s="47" t="s">
        <v>87</v>
      </c>
      <c r="C59" s="46"/>
      <c r="D59" s="46"/>
      <c r="E59" s="53">
        <f>SUM(E55:E58)</f>
        <v>76526.78</v>
      </c>
      <c r="F59" s="38">
        <f>SUM(F55:F58)</f>
        <v>76526.78</v>
      </c>
      <c r="G59" s="38">
        <f>SUM(G55:G58)</f>
        <v>76526.78</v>
      </c>
      <c r="H59" s="38">
        <f>SUM(H55:H58)</f>
        <v>0</v>
      </c>
      <c r="I59" s="38">
        <f>SUM(I55:I58)</f>
        <v>0</v>
      </c>
    </row>
    <row r="61" spans="1:9" ht="15.75" x14ac:dyDescent="0.25">
      <c r="A61" s="41" t="s">
        <v>272</v>
      </c>
    </row>
    <row r="62" spans="1:9" ht="15.75" x14ac:dyDescent="0.25">
      <c r="A62" s="41" t="s">
        <v>340</v>
      </c>
    </row>
    <row r="64" spans="1:9" ht="25.5" x14ac:dyDescent="0.2">
      <c r="A64" s="43" t="s">
        <v>163</v>
      </c>
      <c r="B64" s="43" t="s">
        <v>46</v>
      </c>
      <c r="C64" s="43" t="s">
        <v>47</v>
      </c>
      <c r="D64" s="43" t="s">
        <v>267</v>
      </c>
      <c r="E64" s="51" t="s">
        <v>268</v>
      </c>
      <c r="F64" s="54" t="s">
        <v>48</v>
      </c>
      <c r="G64" s="54" t="s">
        <v>49</v>
      </c>
      <c r="H64" s="54" t="s">
        <v>60</v>
      </c>
      <c r="I64" s="54" t="s">
        <v>51</v>
      </c>
    </row>
    <row r="65" spans="1:9" x14ac:dyDescent="0.2">
      <c r="A65" s="45">
        <v>1</v>
      </c>
      <c r="B65" s="45" t="s">
        <v>274</v>
      </c>
      <c r="C65" s="45"/>
      <c r="D65" s="45"/>
      <c r="E65" s="52"/>
      <c r="F65" s="52"/>
      <c r="G65" s="52"/>
      <c r="H65" s="52">
        <f t="shared" ref="H65:H69" si="18">F65-G65</f>
        <v>0</v>
      </c>
      <c r="I65" s="52">
        <f>E65-F65</f>
        <v>0</v>
      </c>
    </row>
    <row r="66" spans="1:9" x14ac:dyDescent="0.2">
      <c r="A66" s="45">
        <v>2</v>
      </c>
      <c r="B66" s="45" t="s">
        <v>275</v>
      </c>
      <c r="C66" s="45"/>
      <c r="D66" s="45"/>
      <c r="E66" s="52"/>
      <c r="F66" s="52"/>
      <c r="G66" s="52"/>
      <c r="H66" s="52">
        <f t="shared" si="18"/>
        <v>0</v>
      </c>
      <c r="I66" s="52">
        <f t="shared" ref="I66:I69" si="19">E66-F66</f>
        <v>0</v>
      </c>
    </row>
    <row r="67" spans="1:9" x14ac:dyDescent="0.2">
      <c r="A67" s="45">
        <v>3</v>
      </c>
      <c r="B67" s="45" t="s">
        <v>273</v>
      </c>
      <c r="C67" s="45"/>
      <c r="D67" s="45"/>
      <c r="E67" s="52"/>
      <c r="F67" s="52"/>
      <c r="G67" s="52"/>
      <c r="H67" s="52">
        <f t="shared" si="18"/>
        <v>0</v>
      </c>
      <c r="I67" s="52">
        <f t="shared" si="19"/>
        <v>0</v>
      </c>
    </row>
    <row r="68" spans="1:9" x14ac:dyDescent="0.2">
      <c r="A68" s="45">
        <v>4</v>
      </c>
      <c r="B68" s="56" t="s">
        <v>276</v>
      </c>
      <c r="C68" s="45"/>
      <c r="D68" s="45"/>
      <c r="E68" s="52"/>
      <c r="F68" s="52"/>
      <c r="G68" s="52"/>
      <c r="H68" s="52">
        <f t="shared" si="18"/>
        <v>0</v>
      </c>
      <c r="I68" s="52">
        <f t="shared" si="19"/>
        <v>0</v>
      </c>
    </row>
    <row r="69" spans="1:9" x14ac:dyDescent="0.2">
      <c r="A69" s="45">
        <v>5</v>
      </c>
      <c r="B69" s="56" t="s">
        <v>277</v>
      </c>
      <c r="C69" s="45"/>
      <c r="D69" s="45"/>
      <c r="E69" s="52"/>
      <c r="F69" s="52"/>
      <c r="G69" s="52"/>
      <c r="H69" s="52">
        <f t="shared" si="18"/>
        <v>0</v>
      </c>
      <c r="I69" s="52">
        <f t="shared" si="19"/>
        <v>0</v>
      </c>
    </row>
    <row r="70" spans="1:9" x14ac:dyDescent="0.2">
      <c r="A70" s="46"/>
      <c r="B70" s="47" t="s">
        <v>87</v>
      </c>
      <c r="C70" s="46"/>
      <c r="D70" s="46"/>
      <c r="E70" s="53">
        <f>SUM(E65:E67)</f>
        <v>0</v>
      </c>
      <c r="F70" s="38">
        <f>SUM(F65:F67)</f>
        <v>0</v>
      </c>
      <c r="G70" s="38">
        <f t="shared" ref="G70:I70" si="20">SUM(G65:G67)</f>
        <v>0</v>
      </c>
      <c r="H70" s="38">
        <f t="shared" si="20"/>
        <v>0</v>
      </c>
      <c r="I70" s="38">
        <f t="shared" si="20"/>
        <v>0</v>
      </c>
    </row>
    <row r="71" spans="1:9" ht="13.5" thickBot="1" x14ac:dyDescent="0.25">
      <c r="A71" s="61"/>
      <c r="B71" s="62" t="s">
        <v>88</v>
      </c>
      <c r="C71" s="61"/>
      <c r="D71" s="61"/>
      <c r="E71" s="63">
        <f>SUM(E68:E69)</f>
        <v>0</v>
      </c>
      <c r="F71" s="38">
        <f>SUM(F68:F69)</f>
        <v>0</v>
      </c>
      <c r="G71" s="38">
        <f t="shared" ref="G71:I71" si="21">SUM(G68:G69)</f>
        <v>0</v>
      </c>
      <c r="H71" s="38">
        <f t="shared" si="21"/>
        <v>0</v>
      </c>
      <c r="I71" s="38">
        <f t="shared" si="21"/>
        <v>0</v>
      </c>
    </row>
    <row r="72" spans="1:9" ht="18" customHeight="1" x14ac:dyDescent="0.2">
      <c r="A72" s="64"/>
      <c r="B72" s="69" t="s">
        <v>91</v>
      </c>
      <c r="C72" s="65"/>
      <c r="D72" s="65"/>
      <c r="E72" s="76">
        <f>E73+E74</f>
        <v>70053286.670000002</v>
      </c>
    </row>
    <row r="73" spans="1:9" ht="18" customHeight="1" x14ac:dyDescent="0.2">
      <c r="A73" s="66"/>
      <c r="B73" s="45" t="s">
        <v>92</v>
      </c>
      <c r="C73" s="45"/>
      <c r="D73" s="45"/>
      <c r="E73" s="73">
        <f>Лист1!DF44+Лист2!F62+Лист4!F77+E10+E71+E42</f>
        <v>59139678.220000006</v>
      </c>
    </row>
    <row r="74" spans="1:9" ht="18" customHeight="1" x14ac:dyDescent="0.2">
      <c r="A74" s="66"/>
      <c r="B74" s="45" t="s">
        <v>93</v>
      </c>
      <c r="C74" s="45"/>
      <c r="D74" s="45"/>
      <c r="E74" s="73">
        <f>Лист2!F11+Лист3!E10+Лист3!E21+Лист3!E33+Лист4!F12+Лист4!F22+Лист4!F29+Лист4!F52+Лист4!F76+Лист4!F87+E9+E18+E25+E33+E41+E49+E59+E70</f>
        <v>10913608.449999999</v>
      </c>
    </row>
    <row r="75" spans="1:9" ht="18" customHeight="1" x14ac:dyDescent="0.2">
      <c r="A75" s="66"/>
      <c r="B75" s="58" t="s">
        <v>278</v>
      </c>
      <c r="C75" s="45"/>
      <c r="D75" s="45"/>
      <c r="E75" s="75">
        <f>Лист2!F21+Лист2!F39+Лист3!E42+Лист3!E69+Лист3!E55</f>
        <v>13814222.729999999</v>
      </c>
    </row>
    <row r="76" spans="1:9" ht="18" customHeight="1" x14ac:dyDescent="0.2">
      <c r="A76" s="66"/>
      <c r="B76" s="58" t="s">
        <v>365</v>
      </c>
      <c r="C76" s="45"/>
      <c r="D76" s="45"/>
      <c r="E76" s="75">
        <f>Лист3!E88</f>
        <v>150000</v>
      </c>
    </row>
    <row r="77" spans="1:9" ht="18" customHeight="1" x14ac:dyDescent="0.2">
      <c r="A77" s="66"/>
      <c r="B77" s="58" t="s">
        <v>279</v>
      </c>
      <c r="C77" s="45"/>
      <c r="D77" s="45"/>
      <c r="E77" s="75">
        <f>Лист3!E93+Лист3!E104</f>
        <v>101899.13</v>
      </c>
    </row>
    <row r="78" spans="1:9" ht="18" customHeight="1" thickBot="1" x14ac:dyDescent="0.25">
      <c r="A78" s="67"/>
      <c r="B78" s="70" t="s">
        <v>94</v>
      </c>
      <c r="C78" s="68"/>
      <c r="D78" s="68"/>
      <c r="E78" s="74">
        <f>E72+E75+E77+E76</f>
        <v>84119408.530000001</v>
      </c>
    </row>
    <row r="82" spans="2:4" ht="14.25" x14ac:dyDescent="0.2">
      <c r="B82" s="71" t="s">
        <v>134</v>
      </c>
      <c r="D82" s="71" t="s">
        <v>317</v>
      </c>
    </row>
    <row r="84" spans="2:4" x14ac:dyDescent="0.2">
      <c r="D84" s="72">
        <v>46107</v>
      </c>
    </row>
  </sheetData>
  <sortState ref="B64:B66">
    <sortCondition ref="B64:B66"/>
  </sortState>
  <conditionalFormatting sqref="I65:I69">
    <cfRule type="cellIs" dxfId="29" priority="22" operator="lessThan">
      <formula>0</formula>
    </cfRule>
    <cfRule type="cellIs" dxfId="28" priority="23" operator="greaterThan">
      <formula>0</formula>
    </cfRule>
    <cfRule type="cellIs" dxfId="27" priority="24" operator="greaterThan">
      <formula>0</formula>
    </cfRule>
  </conditionalFormatting>
  <conditionalFormatting sqref="I55:I57">
    <cfRule type="cellIs" dxfId="26" priority="19" operator="lessThan">
      <formula>0</formula>
    </cfRule>
    <cfRule type="cellIs" dxfId="25" priority="20" operator="greaterThan">
      <formula>0</formula>
    </cfRule>
    <cfRule type="cellIs" dxfId="24" priority="21" operator="greaterThan">
      <formula>0</formula>
    </cfRule>
  </conditionalFormatting>
  <conditionalFormatting sqref="I47:I48">
    <cfRule type="cellIs" dxfId="23" priority="16" operator="lessThan">
      <formula>0</formula>
    </cfRule>
    <cfRule type="cellIs" dxfId="22" priority="17" operator="greaterThan">
      <formula>0</formula>
    </cfRule>
    <cfRule type="cellIs" dxfId="21" priority="18" operator="greaterThan">
      <formula>0</formula>
    </cfRule>
  </conditionalFormatting>
  <conditionalFormatting sqref="I5:I8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0</formula>
    </cfRule>
  </conditionalFormatting>
  <conditionalFormatting sqref="I38:I40">
    <cfRule type="cellIs" dxfId="17" priority="13" operator="lessThan">
      <formula>0</formula>
    </cfRule>
    <cfRule type="cellIs" dxfId="16" priority="14" operator="greaterThan">
      <formula>0</formula>
    </cfRule>
    <cfRule type="cellIs" dxfId="15" priority="15" operator="greaterThan">
      <formula>0</formula>
    </cfRule>
  </conditionalFormatting>
  <conditionalFormatting sqref="I30:I32">
    <cfRule type="cellIs" dxfId="14" priority="10" operator="lessThan">
      <formula>0</formula>
    </cfRule>
    <cfRule type="cellIs" dxfId="13" priority="11" operator="greaterThan">
      <formula>0</formula>
    </cfRule>
    <cfRule type="cellIs" dxfId="12" priority="12" operator="greaterThan">
      <formula>0</formula>
    </cfRule>
  </conditionalFormatting>
  <conditionalFormatting sqref="I23:I24">
    <cfRule type="cellIs" dxfId="11" priority="7" operator="lessThan">
      <formula>0</formula>
    </cfRule>
    <cfRule type="cellIs" dxfId="10" priority="8" operator="greaterThan">
      <formula>0</formula>
    </cfRule>
    <cfRule type="cellIs" dxfId="9" priority="9" operator="greaterThan">
      <formula>0</formula>
    </cfRule>
  </conditionalFormatting>
  <conditionalFormatting sqref="I16:I17">
    <cfRule type="cellIs" dxfId="8" priority="4" operator="lessThan">
      <formula>0</formula>
    </cfRule>
    <cfRule type="cellIs" dxfId="7" priority="5" operator="greaterThan">
      <formula>0</formula>
    </cfRule>
    <cfRule type="cellIs" dxfId="6" priority="6" operator="greaterThan">
      <formula>0</formula>
    </cfRule>
  </conditionalFormatting>
  <pageMargins left="0.7" right="0.7" top="0.75" bottom="0.75" header="0.3" footer="0.3"/>
  <pageSetup paperSize="9" scale="60" orientation="portrait" verticalDpi="0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8"/>
  <sheetViews>
    <sheetView zoomScale="85" zoomScaleNormal="85" workbookViewId="0">
      <selection activeCell="N8" sqref="N8"/>
    </sheetView>
  </sheetViews>
  <sheetFormatPr defaultRowHeight="14.25" x14ac:dyDescent="0.25"/>
  <cols>
    <col min="1" max="1" width="3.140625" style="91" customWidth="1"/>
    <col min="2" max="4" width="9.140625" style="91"/>
    <col min="5" max="7" width="10.7109375" style="93" customWidth="1"/>
    <col min="8" max="8" width="7.7109375" style="91" customWidth="1"/>
    <col min="9" max="11" width="9.140625" style="91"/>
    <col min="12" max="14" width="11.5703125" style="93" customWidth="1"/>
    <col min="15" max="15" width="7" style="91" customWidth="1"/>
    <col min="16" max="17" width="9.140625" style="91"/>
    <col min="18" max="18" width="8" style="91" customWidth="1"/>
    <col min="19" max="20" width="9.5703125" style="91" customWidth="1"/>
    <col min="21" max="21" width="9.7109375" style="91" customWidth="1"/>
    <col min="22" max="22" width="9.7109375" style="93" customWidth="1"/>
    <col min="23" max="23" width="10.7109375" style="93" customWidth="1"/>
    <col min="24" max="24" width="9.7109375" style="93" customWidth="1"/>
    <col min="25" max="25" width="12.5703125" style="91" bestFit="1" customWidth="1"/>
    <col min="26" max="26" width="11" style="91" bestFit="1" customWidth="1"/>
    <col min="27" max="16384" width="9.140625" style="91"/>
  </cols>
  <sheetData>
    <row r="2" spans="2:27" ht="16.5" x14ac:dyDescent="0.3">
      <c r="B2" s="92" t="s">
        <v>307</v>
      </c>
      <c r="C2" s="93"/>
      <c r="D2" s="93"/>
      <c r="I2" s="92" t="s">
        <v>308</v>
      </c>
      <c r="M2" s="94"/>
      <c r="N2" s="94"/>
      <c r="P2" s="92" t="s">
        <v>309</v>
      </c>
      <c r="Q2" s="93"/>
      <c r="R2" s="93"/>
      <c r="S2" s="93"/>
      <c r="T2" s="93"/>
      <c r="U2" s="93"/>
    </row>
    <row r="3" spans="2:27" x14ac:dyDescent="0.25">
      <c r="B3" s="93"/>
      <c r="C3" s="93"/>
      <c r="D3" s="93"/>
      <c r="M3" s="94"/>
      <c r="N3" s="94"/>
      <c r="P3" s="93"/>
      <c r="Q3" s="93"/>
      <c r="R3" s="93"/>
      <c r="S3" s="93"/>
      <c r="T3" s="93"/>
      <c r="U3" s="93"/>
    </row>
    <row r="4" spans="2:27" ht="63" customHeight="1" x14ac:dyDescent="0.25">
      <c r="B4" s="95" t="s">
        <v>105</v>
      </c>
      <c r="C4" s="95" t="s">
        <v>106</v>
      </c>
      <c r="D4" s="95" t="s">
        <v>107</v>
      </c>
      <c r="E4" s="95" t="s">
        <v>108</v>
      </c>
      <c r="F4" s="95" t="s">
        <v>109</v>
      </c>
      <c r="G4" s="95" t="s">
        <v>110</v>
      </c>
      <c r="I4" s="96" t="s">
        <v>105</v>
      </c>
      <c r="J4" s="96" t="s">
        <v>106</v>
      </c>
      <c r="K4" s="96" t="s">
        <v>111</v>
      </c>
      <c r="L4" s="97" t="s">
        <v>108</v>
      </c>
      <c r="M4" s="97" t="s">
        <v>112</v>
      </c>
      <c r="N4" s="97" t="s">
        <v>113</v>
      </c>
      <c r="P4" s="97" t="s">
        <v>105</v>
      </c>
      <c r="Q4" s="97" t="s">
        <v>106</v>
      </c>
      <c r="R4" s="97" t="s">
        <v>114</v>
      </c>
      <c r="S4" s="97" t="s">
        <v>281</v>
      </c>
      <c r="T4" s="97" t="s">
        <v>282</v>
      </c>
      <c r="U4" s="97" t="s">
        <v>280</v>
      </c>
      <c r="V4" s="97" t="s">
        <v>112</v>
      </c>
      <c r="W4" s="97" t="s">
        <v>108</v>
      </c>
      <c r="X4" s="97" t="s">
        <v>113</v>
      </c>
    </row>
    <row r="5" spans="2:27" x14ac:dyDescent="0.25">
      <c r="B5" s="98" t="s">
        <v>115</v>
      </c>
      <c r="C5" s="119">
        <v>8.7283500000000007</v>
      </c>
      <c r="D5" s="99">
        <v>11825</v>
      </c>
      <c r="E5" s="99">
        <f t="shared" ref="E5:E10" si="0">C5*D5</f>
        <v>103212.73875</v>
      </c>
      <c r="F5" s="99">
        <f>E5*22%</f>
        <v>22706.802525000003</v>
      </c>
      <c r="G5" s="99">
        <f>E5+F5</f>
        <v>125919.54127500001</v>
      </c>
      <c r="I5" s="100" t="s">
        <v>115</v>
      </c>
      <c r="J5" s="101">
        <v>3239.95</v>
      </c>
      <c r="K5" s="101">
        <v>61.249000000000002</v>
      </c>
      <c r="L5" s="89">
        <f t="shared" ref="L5:L16" si="1">K5*J5</f>
        <v>198443.69754999998</v>
      </c>
      <c r="M5" s="89">
        <f>L5*22%</f>
        <v>43657.613460999994</v>
      </c>
      <c r="N5" s="89">
        <f>L5+M5</f>
        <v>242101.31101099998</v>
      </c>
      <c r="P5" s="89" t="s">
        <v>115</v>
      </c>
      <c r="Q5" s="89">
        <f>54.83+47.89</f>
        <v>102.72</v>
      </c>
      <c r="R5" s="89">
        <v>222</v>
      </c>
      <c r="S5" s="89">
        <v>104</v>
      </c>
      <c r="T5" s="89">
        <f>S5*47.89</f>
        <v>4980.5600000000004</v>
      </c>
      <c r="U5" s="89">
        <f>R5/2*47.89</f>
        <v>5315.79</v>
      </c>
      <c r="V5" s="89">
        <f>W5*22%+U5*22%+T5*22%</f>
        <v>7282.0418</v>
      </c>
      <c r="W5" s="89">
        <f>Q5*R5</f>
        <v>22803.84</v>
      </c>
      <c r="X5" s="89">
        <f>V5+W5+U5+T5</f>
        <v>40382.231799999994</v>
      </c>
    </row>
    <row r="6" spans="2:27" x14ac:dyDescent="0.25">
      <c r="B6" s="98" t="s">
        <v>116</v>
      </c>
      <c r="C6" s="119">
        <v>8.8743599999999994</v>
      </c>
      <c r="D6" s="99">
        <v>13876</v>
      </c>
      <c r="E6" s="99">
        <f t="shared" si="0"/>
        <v>123140.61936</v>
      </c>
      <c r="F6" s="99">
        <f t="shared" ref="F6:F16" si="2">E6*22%</f>
        <v>27090.9362592</v>
      </c>
      <c r="G6" s="99">
        <f t="shared" ref="G6:G16" si="3">E6+F6</f>
        <v>150231.55561919999</v>
      </c>
      <c r="I6" s="100" t="s">
        <v>116</v>
      </c>
      <c r="J6" s="101">
        <v>3239.95</v>
      </c>
      <c r="K6" s="101">
        <v>62.953000000000003</v>
      </c>
      <c r="L6" s="89">
        <f>K6*J6</f>
        <v>203964.57235</v>
      </c>
      <c r="M6" s="89">
        <f t="shared" ref="M6:M16" si="4">L6*22%</f>
        <v>44872.205916999999</v>
      </c>
      <c r="N6" s="89">
        <f t="shared" ref="N6:N16" si="5">L6+M6</f>
        <v>248836.77826699999</v>
      </c>
      <c r="P6" s="89" t="s">
        <v>116</v>
      </c>
      <c r="Q6" s="89">
        <f t="shared" ref="Q6:Q16" si="6">54.83+47.89</f>
        <v>102.72</v>
      </c>
      <c r="R6" s="89">
        <v>250</v>
      </c>
      <c r="S6" s="89">
        <v>172</v>
      </c>
      <c r="T6" s="89">
        <f t="shared" ref="T6:T16" si="7">S6*47.89</f>
        <v>8237.08</v>
      </c>
      <c r="U6" s="89">
        <f t="shared" ref="U6:U16" si="8">R6/2*47.89</f>
        <v>5986.25</v>
      </c>
      <c r="V6" s="89">
        <f>W6*22%+U6*22%+T6*22%</f>
        <v>8778.7326000000012</v>
      </c>
      <c r="W6" s="89">
        <f>Q6*R6</f>
        <v>25680</v>
      </c>
      <c r="X6" s="89">
        <f>V6+W6+U6+T6+0.01</f>
        <v>48682.072600000007</v>
      </c>
    </row>
    <row r="7" spans="2:27" x14ac:dyDescent="0.25">
      <c r="B7" s="98" t="s">
        <v>117</v>
      </c>
      <c r="C7" s="119">
        <v>8.7283500000000007</v>
      </c>
      <c r="D7" s="99"/>
      <c r="E7" s="99">
        <f t="shared" si="0"/>
        <v>0</v>
      </c>
      <c r="F7" s="99">
        <f t="shared" si="2"/>
        <v>0</v>
      </c>
      <c r="G7" s="99">
        <f t="shared" si="3"/>
        <v>0</v>
      </c>
      <c r="I7" s="100" t="s">
        <v>117</v>
      </c>
      <c r="J7" s="101">
        <v>3239.95</v>
      </c>
      <c r="K7" s="101">
        <v>58.316000000000003</v>
      </c>
      <c r="L7" s="89">
        <f t="shared" si="1"/>
        <v>188940.92420000001</v>
      </c>
      <c r="M7" s="89">
        <f t="shared" si="4"/>
        <v>41567.003324000005</v>
      </c>
      <c r="N7" s="89">
        <f>L7+M7-0.01</f>
        <v>230507.91752399999</v>
      </c>
      <c r="P7" s="89" t="s">
        <v>117</v>
      </c>
      <c r="Q7" s="89">
        <f t="shared" si="6"/>
        <v>102.72</v>
      </c>
      <c r="R7" s="89">
        <v>184</v>
      </c>
      <c r="S7" s="89">
        <v>116</v>
      </c>
      <c r="T7" s="89">
        <f t="shared" si="7"/>
        <v>5555.24</v>
      </c>
      <c r="U7" s="89">
        <f t="shared" si="8"/>
        <v>4405.88</v>
      </c>
      <c r="V7" s="89">
        <f t="shared" ref="V7:V16" si="9">W7*22%+U7*22%+T7*22%</f>
        <v>7571.7048000000004</v>
      </c>
      <c r="W7" s="89">
        <f>Q7*R7+T7</f>
        <v>24455.72</v>
      </c>
      <c r="X7" s="89">
        <f>V7+W7+U7+T7</f>
        <v>41988.544799999996</v>
      </c>
      <c r="Y7" s="122">
        <f>6777.39+5375.17+23058.59</f>
        <v>35211.15</v>
      </c>
      <c r="Z7" s="123">
        <f>X7-Y7</f>
        <v>6777.3947999999946</v>
      </c>
      <c r="AA7" s="91" t="s">
        <v>360</v>
      </c>
    </row>
    <row r="8" spans="2:27" x14ac:dyDescent="0.25">
      <c r="B8" s="98" t="s">
        <v>118</v>
      </c>
      <c r="C8" s="119">
        <v>8.7283500000000007</v>
      </c>
      <c r="D8" s="99"/>
      <c r="E8" s="99">
        <f t="shared" si="0"/>
        <v>0</v>
      </c>
      <c r="F8" s="99">
        <f t="shared" si="2"/>
        <v>0</v>
      </c>
      <c r="G8" s="99">
        <f t="shared" si="3"/>
        <v>0</v>
      </c>
      <c r="I8" s="100" t="s">
        <v>118</v>
      </c>
      <c r="J8" s="101">
        <v>3239.95</v>
      </c>
      <c r="K8" s="101"/>
      <c r="L8" s="89">
        <f t="shared" si="1"/>
        <v>0</v>
      </c>
      <c r="M8" s="89">
        <f t="shared" si="4"/>
        <v>0</v>
      </c>
      <c r="N8" s="89">
        <f t="shared" si="5"/>
        <v>0</v>
      </c>
      <c r="P8" s="89" t="s">
        <v>118</v>
      </c>
      <c r="Q8" s="89">
        <f t="shared" si="6"/>
        <v>102.72</v>
      </c>
      <c r="R8" s="89"/>
      <c r="S8" s="89"/>
      <c r="T8" s="89">
        <f t="shared" si="7"/>
        <v>0</v>
      </c>
      <c r="U8" s="89">
        <f t="shared" si="8"/>
        <v>0</v>
      </c>
      <c r="V8" s="89">
        <f t="shared" si="9"/>
        <v>0</v>
      </c>
      <c r="W8" s="89">
        <f t="shared" ref="W8:W16" si="10">Q8*R8+T8</f>
        <v>0</v>
      </c>
      <c r="X8" s="89">
        <f t="shared" ref="X8:X16" si="11">V8+W8+U8+T8</f>
        <v>0</v>
      </c>
    </row>
    <row r="9" spans="2:27" x14ac:dyDescent="0.25">
      <c r="B9" s="98" t="s">
        <v>119</v>
      </c>
      <c r="C9" s="119">
        <v>8.7283500000000007</v>
      </c>
      <c r="D9" s="99"/>
      <c r="E9" s="99">
        <f t="shared" si="0"/>
        <v>0</v>
      </c>
      <c r="F9" s="99">
        <f t="shared" si="2"/>
        <v>0</v>
      </c>
      <c r="G9" s="99">
        <f>E9+F9</f>
        <v>0</v>
      </c>
      <c r="I9" s="100" t="s">
        <v>119</v>
      </c>
      <c r="J9" s="101">
        <v>3239.95</v>
      </c>
      <c r="K9" s="101"/>
      <c r="L9" s="89">
        <f t="shared" si="1"/>
        <v>0</v>
      </c>
      <c r="M9" s="89">
        <f t="shared" si="4"/>
        <v>0</v>
      </c>
      <c r="N9" s="89">
        <f t="shared" si="5"/>
        <v>0</v>
      </c>
      <c r="P9" s="89" t="s">
        <v>119</v>
      </c>
      <c r="Q9" s="89">
        <f t="shared" si="6"/>
        <v>102.72</v>
      </c>
      <c r="R9" s="89"/>
      <c r="S9" s="89"/>
      <c r="T9" s="89">
        <f t="shared" si="7"/>
        <v>0</v>
      </c>
      <c r="U9" s="89">
        <f t="shared" si="8"/>
        <v>0</v>
      </c>
      <c r="V9" s="89">
        <f t="shared" si="9"/>
        <v>0</v>
      </c>
      <c r="W9" s="89">
        <f t="shared" si="10"/>
        <v>0</v>
      </c>
      <c r="X9" s="89">
        <f t="shared" si="11"/>
        <v>0</v>
      </c>
    </row>
    <row r="10" spans="2:27" x14ac:dyDescent="0.25">
      <c r="B10" s="98" t="s">
        <v>120</v>
      </c>
      <c r="C10" s="119">
        <v>8.7283500000000007</v>
      </c>
      <c r="D10" s="99"/>
      <c r="E10" s="99">
        <f t="shared" si="0"/>
        <v>0</v>
      </c>
      <c r="F10" s="99">
        <f t="shared" si="2"/>
        <v>0</v>
      </c>
      <c r="G10" s="99">
        <f t="shared" si="3"/>
        <v>0</v>
      </c>
      <c r="I10" s="100" t="s">
        <v>120</v>
      </c>
      <c r="J10" s="101">
        <v>3239.95</v>
      </c>
      <c r="K10" s="101"/>
      <c r="L10" s="89">
        <f t="shared" si="1"/>
        <v>0</v>
      </c>
      <c r="M10" s="89">
        <f t="shared" si="4"/>
        <v>0</v>
      </c>
      <c r="N10" s="89">
        <f t="shared" si="5"/>
        <v>0</v>
      </c>
      <c r="P10" s="89" t="s">
        <v>120</v>
      </c>
      <c r="Q10" s="89">
        <f t="shared" si="6"/>
        <v>102.72</v>
      </c>
      <c r="R10" s="89"/>
      <c r="S10" s="89"/>
      <c r="T10" s="89">
        <f t="shared" si="7"/>
        <v>0</v>
      </c>
      <c r="U10" s="89">
        <f t="shared" si="8"/>
        <v>0</v>
      </c>
      <c r="V10" s="89">
        <f t="shared" si="9"/>
        <v>0</v>
      </c>
      <c r="W10" s="89">
        <f t="shared" si="10"/>
        <v>0</v>
      </c>
      <c r="X10" s="89">
        <f t="shared" si="11"/>
        <v>0</v>
      </c>
    </row>
    <row r="11" spans="2:27" x14ac:dyDescent="0.25">
      <c r="B11" s="98" t="s">
        <v>121</v>
      </c>
      <c r="C11" s="119">
        <v>8.7283500000000007</v>
      </c>
      <c r="D11" s="99"/>
      <c r="E11" s="99">
        <f t="shared" ref="E11:E16" si="12">C11*D11</f>
        <v>0</v>
      </c>
      <c r="F11" s="99">
        <f t="shared" si="2"/>
        <v>0</v>
      </c>
      <c r="G11" s="99">
        <f>E11+F11</f>
        <v>0</v>
      </c>
      <c r="I11" s="100" t="s">
        <v>121</v>
      </c>
      <c r="J11" s="101">
        <v>3239.95</v>
      </c>
      <c r="K11" s="101"/>
      <c r="L11" s="89">
        <f t="shared" si="1"/>
        <v>0</v>
      </c>
      <c r="M11" s="89">
        <f t="shared" si="4"/>
        <v>0</v>
      </c>
      <c r="N11" s="89">
        <f t="shared" si="5"/>
        <v>0</v>
      </c>
      <c r="P11" s="89" t="s">
        <v>121</v>
      </c>
      <c r="Q11" s="89">
        <f t="shared" si="6"/>
        <v>102.72</v>
      </c>
      <c r="R11" s="89"/>
      <c r="S11" s="89"/>
      <c r="T11" s="89">
        <f t="shared" si="7"/>
        <v>0</v>
      </c>
      <c r="U11" s="89">
        <f t="shared" si="8"/>
        <v>0</v>
      </c>
      <c r="V11" s="89">
        <f t="shared" si="9"/>
        <v>0</v>
      </c>
      <c r="W11" s="89">
        <f t="shared" si="10"/>
        <v>0</v>
      </c>
      <c r="X11" s="89">
        <f t="shared" si="11"/>
        <v>0</v>
      </c>
    </row>
    <row r="12" spans="2:27" x14ac:dyDescent="0.25">
      <c r="B12" s="98" t="s">
        <v>122</v>
      </c>
      <c r="C12" s="119">
        <v>8.7283500000000007</v>
      </c>
      <c r="D12" s="99"/>
      <c r="E12" s="99">
        <f t="shared" si="12"/>
        <v>0</v>
      </c>
      <c r="F12" s="99">
        <f t="shared" si="2"/>
        <v>0</v>
      </c>
      <c r="G12" s="99">
        <f t="shared" si="3"/>
        <v>0</v>
      </c>
      <c r="I12" s="100" t="s">
        <v>122</v>
      </c>
      <c r="J12" s="101">
        <v>3239.95</v>
      </c>
      <c r="K12" s="101"/>
      <c r="L12" s="89">
        <f t="shared" si="1"/>
        <v>0</v>
      </c>
      <c r="M12" s="89">
        <f t="shared" si="4"/>
        <v>0</v>
      </c>
      <c r="N12" s="89">
        <f t="shared" si="5"/>
        <v>0</v>
      </c>
      <c r="P12" s="89" t="s">
        <v>122</v>
      </c>
      <c r="Q12" s="89">
        <f t="shared" si="6"/>
        <v>102.72</v>
      </c>
      <c r="R12" s="89"/>
      <c r="S12" s="89"/>
      <c r="T12" s="89">
        <f t="shared" si="7"/>
        <v>0</v>
      </c>
      <c r="U12" s="89">
        <f t="shared" si="8"/>
        <v>0</v>
      </c>
      <c r="V12" s="89">
        <f t="shared" si="9"/>
        <v>0</v>
      </c>
      <c r="W12" s="89">
        <f t="shared" si="10"/>
        <v>0</v>
      </c>
      <c r="X12" s="89">
        <f t="shared" si="11"/>
        <v>0</v>
      </c>
    </row>
    <row r="13" spans="2:27" x14ac:dyDescent="0.25">
      <c r="B13" s="98" t="s">
        <v>123</v>
      </c>
      <c r="C13" s="119">
        <v>8.7283500000000007</v>
      </c>
      <c r="D13" s="99"/>
      <c r="E13" s="99">
        <f t="shared" si="12"/>
        <v>0</v>
      </c>
      <c r="F13" s="99">
        <f t="shared" si="2"/>
        <v>0</v>
      </c>
      <c r="G13" s="99">
        <f t="shared" si="3"/>
        <v>0</v>
      </c>
      <c r="I13" s="100" t="s">
        <v>123</v>
      </c>
      <c r="J13" s="101">
        <v>3239.95</v>
      </c>
      <c r="K13" s="101"/>
      <c r="L13" s="89">
        <f t="shared" si="1"/>
        <v>0</v>
      </c>
      <c r="M13" s="89">
        <f t="shared" si="4"/>
        <v>0</v>
      </c>
      <c r="N13" s="89">
        <f t="shared" si="5"/>
        <v>0</v>
      </c>
      <c r="P13" s="89" t="s">
        <v>123</v>
      </c>
      <c r="Q13" s="89">
        <f t="shared" si="6"/>
        <v>102.72</v>
      </c>
      <c r="R13" s="89"/>
      <c r="S13" s="89"/>
      <c r="T13" s="89">
        <f t="shared" si="7"/>
        <v>0</v>
      </c>
      <c r="U13" s="89">
        <f t="shared" si="8"/>
        <v>0</v>
      </c>
      <c r="V13" s="89">
        <f t="shared" si="9"/>
        <v>0</v>
      </c>
      <c r="W13" s="89">
        <f t="shared" si="10"/>
        <v>0</v>
      </c>
      <c r="X13" s="89">
        <f t="shared" si="11"/>
        <v>0</v>
      </c>
    </row>
    <row r="14" spans="2:27" x14ac:dyDescent="0.25">
      <c r="B14" s="98" t="s">
        <v>124</v>
      </c>
      <c r="C14" s="119">
        <v>8.7283500000000007</v>
      </c>
      <c r="D14" s="99"/>
      <c r="E14" s="99">
        <f t="shared" si="12"/>
        <v>0</v>
      </c>
      <c r="F14" s="99">
        <f t="shared" si="2"/>
        <v>0</v>
      </c>
      <c r="G14" s="99">
        <f t="shared" si="3"/>
        <v>0</v>
      </c>
      <c r="I14" s="100" t="s">
        <v>124</v>
      </c>
      <c r="J14" s="101">
        <v>3239.95</v>
      </c>
      <c r="K14" s="101"/>
      <c r="L14" s="89">
        <f t="shared" si="1"/>
        <v>0</v>
      </c>
      <c r="M14" s="89">
        <f t="shared" si="4"/>
        <v>0</v>
      </c>
      <c r="N14" s="89">
        <f t="shared" si="5"/>
        <v>0</v>
      </c>
      <c r="P14" s="89" t="s">
        <v>124</v>
      </c>
      <c r="Q14" s="89">
        <f t="shared" si="6"/>
        <v>102.72</v>
      </c>
      <c r="R14" s="89"/>
      <c r="S14" s="89"/>
      <c r="T14" s="89">
        <f t="shared" si="7"/>
        <v>0</v>
      </c>
      <c r="U14" s="89">
        <f t="shared" si="8"/>
        <v>0</v>
      </c>
      <c r="V14" s="89">
        <f t="shared" si="9"/>
        <v>0</v>
      </c>
      <c r="W14" s="89">
        <f t="shared" si="10"/>
        <v>0</v>
      </c>
      <c r="X14" s="89">
        <f t="shared" si="11"/>
        <v>0</v>
      </c>
    </row>
    <row r="15" spans="2:27" x14ac:dyDescent="0.25">
      <c r="B15" s="98" t="s">
        <v>125</v>
      </c>
      <c r="C15" s="119">
        <v>8.7283500000000007</v>
      </c>
      <c r="D15" s="99"/>
      <c r="E15" s="99">
        <f t="shared" si="12"/>
        <v>0</v>
      </c>
      <c r="F15" s="99">
        <f t="shared" si="2"/>
        <v>0</v>
      </c>
      <c r="G15" s="99">
        <f t="shared" si="3"/>
        <v>0</v>
      </c>
      <c r="I15" s="100" t="s">
        <v>125</v>
      </c>
      <c r="J15" s="101">
        <v>3239.95</v>
      </c>
      <c r="K15" s="101"/>
      <c r="L15" s="89">
        <f t="shared" si="1"/>
        <v>0</v>
      </c>
      <c r="M15" s="89">
        <f t="shared" si="4"/>
        <v>0</v>
      </c>
      <c r="N15" s="89">
        <f t="shared" si="5"/>
        <v>0</v>
      </c>
      <c r="P15" s="89" t="s">
        <v>125</v>
      </c>
      <c r="Q15" s="89">
        <f t="shared" si="6"/>
        <v>102.72</v>
      </c>
      <c r="R15" s="89"/>
      <c r="S15" s="89"/>
      <c r="T15" s="89">
        <f t="shared" si="7"/>
        <v>0</v>
      </c>
      <c r="U15" s="89">
        <f t="shared" si="8"/>
        <v>0</v>
      </c>
      <c r="V15" s="89">
        <f t="shared" si="9"/>
        <v>0</v>
      </c>
      <c r="W15" s="89">
        <f t="shared" si="10"/>
        <v>0</v>
      </c>
      <c r="X15" s="89">
        <f t="shared" si="11"/>
        <v>0</v>
      </c>
    </row>
    <row r="16" spans="2:27" x14ac:dyDescent="0.25">
      <c r="B16" s="102" t="s">
        <v>126</v>
      </c>
      <c r="C16" s="119">
        <v>8.7283500000000007</v>
      </c>
      <c r="D16" s="99"/>
      <c r="E16" s="99">
        <f t="shared" si="12"/>
        <v>0</v>
      </c>
      <c r="F16" s="99">
        <f t="shared" si="2"/>
        <v>0</v>
      </c>
      <c r="G16" s="99">
        <f t="shared" si="3"/>
        <v>0</v>
      </c>
      <c r="I16" s="100" t="s">
        <v>126</v>
      </c>
      <c r="J16" s="101">
        <v>3239.95</v>
      </c>
      <c r="K16" s="101"/>
      <c r="L16" s="89">
        <f t="shared" si="1"/>
        <v>0</v>
      </c>
      <c r="M16" s="89">
        <f t="shared" si="4"/>
        <v>0</v>
      </c>
      <c r="N16" s="89">
        <f t="shared" si="5"/>
        <v>0</v>
      </c>
      <c r="P16" s="89" t="s">
        <v>126</v>
      </c>
      <c r="Q16" s="89">
        <f t="shared" si="6"/>
        <v>102.72</v>
      </c>
      <c r="R16" s="89"/>
      <c r="S16" s="89"/>
      <c r="T16" s="89">
        <f t="shared" si="7"/>
        <v>0</v>
      </c>
      <c r="U16" s="89">
        <f t="shared" si="8"/>
        <v>0</v>
      </c>
      <c r="V16" s="89">
        <f t="shared" si="9"/>
        <v>0</v>
      </c>
      <c r="W16" s="89">
        <f t="shared" si="10"/>
        <v>0</v>
      </c>
      <c r="X16" s="89">
        <f t="shared" si="11"/>
        <v>0</v>
      </c>
    </row>
    <row r="17" spans="2:24" x14ac:dyDescent="0.25">
      <c r="B17" s="103"/>
      <c r="C17" s="93"/>
      <c r="D17" s="93"/>
      <c r="I17" s="93"/>
      <c r="J17" s="93"/>
      <c r="K17" s="93"/>
      <c r="P17" s="93"/>
      <c r="Q17" s="93"/>
      <c r="R17" s="93"/>
      <c r="S17" s="93"/>
      <c r="T17" s="93"/>
      <c r="U17" s="93"/>
    </row>
    <row r="18" spans="2:24" x14ac:dyDescent="0.25">
      <c r="B18" s="104" t="s">
        <v>43</v>
      </c>
      <c r="C18" s="104"/>
      <c r="D18" s="104">
        <f t="shared" ref="D18:G18" si="13">SUM(D5:D16)</f>
        <v>25701</v>
      </c>
      <c r="E18" s="104">
        <f t="shared" si="13"/>
        <v>226353.35811</v>
      </c>
      <c r="F18" s="104">
        <f t="shared" si="13"/>
        <v>49797.738784200003</v>
      </c>
      <c r="G18" s="104">
        <f t="shared" si="13"/>
        <v>276151.09689420002</v>
      </c>
      <c r="I18" s="104" t="s">
        <v>43</v>
      </c>
      <c r="J18" s="104"/>
      <c r="K18" s="104">
        <f>SUM(K5:K16)</f>
        <v>182.518</v>
      </c>
      <c r="L18" s="104">
        <f>SUM(L5:L16)</f>
        <v>591349.19409999996</v>
      </c>
      <c r="M18" s="104">
        <f>SUM(M5:M16)</f>
        <v>130096.82270199999</v>
      </c>
      <c r="N18" s="104">
        <f>SUM(N5:N16)</f>
        <v>721446.00680199987</v>
      </c>
      <c r="P18" s="104" t="s">
        <v>66</v>
      </c>
      <c r="Q18" s="104"/>
      <c r="R18" s="104">
        <f>SUM(R5:R16)</f>
        <v>656</v>
      </c>
      <c r="S18" s="104">
        <f t="shared" ref="S18:W18" si="14">SUM(S5:S16)</f>
        <v>392</v>
      </c>
      <c r="T18" s="104">
        <f t="shared" si="14"/>
        <v>18772.879999999997</v>
      </c>
      <c r="U18" s="104">
        <f t="shared" si="14"/>
        <v>15707.920000000002</v>
      </c>
      <c r="V18" s="104">
        <f t="shared" si="14"/>
        <v>23632.479200000002</v>
      </c>
      <c r="W18" s="104">
        <f t="shared" si="14"/>
        <v>72939.56</v>
      </c>
      <c r="X18" s="104">
        <f>SUM(X5:X16)</f>
        <v>131052.8492</v>
      </c>
    </row>
    <row r="19" spans="2:24" x14ac:dyDescent="0.25">
      <c r="B19" s="91">
        <v>2025</v>
      </c>
      <c r="I19" s="91">
        <v>2025</v>
      </c>
      <c r="P19" s="91">
        <v>2025</v>
      </c>
    </row>
    <row r="21" spans="2:24" x14ac:dyDescent="0.25">
      <c r="B21" s="93" t="s">
        <v>310</v>
      </c>
      <c r="C21" s="93"/>
      <c r="D21" s="93"/>
    </row>
    <row r="22" spans="2:24" x14ac:dyDescent="0.25">
      <c r="B22" s="93"/>
      <c r="C22" s="93"/>
      <c r="D22" s="93"/>
    </row>
    <row r="23" spans="2:24" s="107" customFormat="1" ht="38.25" customHeight="1" x14ac:dyDescent="0.25">
      <c r="B23" s="105" t="s">
        <v>105</v>
      </c>
      <c r="C23" s="105" t="s">
        <v>106</v>
      </c>
      <c r="D23" s="105" t="s">
        <v>114</v>
      </c>
      <c r="E23" s="95" t="s">
        <v>108</v>
      </c>
      <c r="F23" s="106"/>
      <c r="G23" s="106"/>
      <c r="I23" s="91"/>
      <c r="J23" s="91"/>
      <c r="K23" s="91"/>
      <c r="L23" s="93"/>
      <c r="M23" s="93"/>
      <c r="N23" s="93"/>
      <c r="O23" s="91"/>
      <c r="P23" s="91"/>
      <c r="Q23" s="91"/>
      <c r="R23" s="91"/>
      <c r="S23" s="91"/>
      <c r="T23" s="91"/>
      <c r="U23" s="91"/>
      <c r="V23" s="93"/>
      <c r="W23" s="93"/>
      <c r="X23" s="93"/>
    </row>
    <row r="24" spans="2:24" x14ac:dyDescent="0.25">
      <c r="B24" s="99" t="s">
        <v>115</v>
      </c>
      <c r="C24" s="99">
        <v>742.61</v>
      </c>
      <c r="D24" s="99">
        <v>22.5</v>
      </c>
      <c r="E24" s="99">
        <f>C24*D24</f>
        <v>16708.724999999999</v>
      </c>
    </row>
    <row r="25" spans="2:24" x14ac:dyDescent="0.25">
      <c r="B25" s="99" t="s">
        <v>116</v>
      </c>
      <c r="C25" s="99">
        <v>742.61</v>
      </c>
      <c r="D25" s="99">
        <v>22.5</v>
      </c>
      <c r="E25" s="99">
        <f t="shared" ref="E25:E35" si="15">C25*D25</f>
        <v>16708.724999999999</v>
      </c>
    </row>
    <row r="26" spans="2:24" x14ac:dyDescent="0.25">
      <c r="B26" s="99" t="s">
        <v>117</v>
      </c>
      <c r="C26" s="99">
        <v>742.61</v>
      </c>
      <c r="D26" s="99">
        <v>22.5</v>
      </c>
      <c r="E26" s="99">
        <f t="shared" si="15"/>
        <v>16708.724999999999</v>
      </c>
    </row>
    <row r="27" spans="2:24" x14ac:dyDescent="0.25">
      <c r="B27" s="99" t="s">
        <v>118</v>
      </c>
      <c r="C27" s="99">
        <v>742.61</v>
      </c>
      <c r="D27" s="99"/>
      <c r="E27" s="99">
        <f t="shared" si="15"/>
        <v>0</v>
      </c>
    </row>
    <row r="28" spans="2:24" x14ac:dyDescent="0.25">
      <c r="B28" s="99" t="s">
        <v>119</v>
      </c>
      <c r="C28" s="99">
        <v>742.61</v>
      </c>
      <c r="D28" s="99"/>
      <c r="E28" s="99">
        <f t="shared" si="15"/>
        <v>0</v>
      </c>
    </row>
    <row r="29" spans="2:24" x14ac:dyDescent="0.25">
      <c r="B29" s="99" t="s">
        <v>120</v>
      </c>
      <c r="C29" s="99">
        <v>742.61</v>
      </c>
      <c r="D29" s="99"/>
      <c r="E29" s="99">
        <f t="shared" si="15"/>
        <v>0</v>
      </c>
    </row>
    <row r="30" spans="2:24" x14ac:dyDescent="0.25">
      <c r="B30" s="99" t="s">
        <v>121</v>
      </c>
      <c r="C30" s="99">
        <v>742.61</v>
      </c>
      <c r="D30" s="99"/>
      <c r="E30" s="99">
        <f t="shared" si="15"/>
        <v>0</v>
      </c>
    </row>
    <row r="31" spans="2:24" x14ac:dyDescent="0.25">
      <c r="B31" s="99" t="s">
        <v>122</v>
      </c>
      <c r="C31" s="99">
        <v>742.61</v>
      </c>
      <c r="D31" s="99"/>
      <c r="E31" s="99">
        <f>C31*D31</f>
        <v>0</v>
      </c>
    </row>
    <row r="32" spans="2:24" x14ac:dyDescent="0.25">
      <c r="B32" s="99" t="s">
        <v>123</v>
      </c>
      <c r="C32" s="99">
        <v>742.61</v>
      </c>
      <c r="D32" s="99"/>
      <c r="E32" s="99">
        <f t="shared" si="15"/>
        <v>0</v>
      </c>
    </row>
    <row r="33" spans="2:5" x14ac:dyDescent="0.25">
      <c r="B33" s="99" t="s">
        <v>124</v>
      </c>
      <c r="C33" s="99">
        <v>742.61</v>
      </c>
      <c r="D33" s="99"/>
      <c r="E33" s="99">
        <f t="shared" si="15"/>
        <v>0</v>
      </c>
    </row>
    <row r="34" spans="2:5" x14ac:dyDescent="0.25">
      <c r="B34" s="99" t="s">
        <v>125</v>
      </c>
      <c r="C34" s="99">
        <v>742.61</v>
      </c>
      <c r="D34" s="99"/>
      <c r="E34" s="99">
        <f t="shared" si="15"/>
        <v>0</v>
      </c>
    </row>
    <row r="35" spans="2:5" x14ac:dyDescent="0.25">
      <c r="B35" s="99" t="s">
        <v>126</v>
      </c>
      <c r="C35" s="99">
        <v>742.61</v>
      </c>
      <c r="D35" s="99"/>
      <c r="E35" s="99">
        <f t="shared" si="15"/>
        <v>0</v>
      </c>
    </row>
    <row r="36" spans="2:5" x14ac:dyDescent="0.25">
      <c r="B36" s="93"/>
      <c r="C36" s="93"/>
      <c r="D36" s="93"/>
    </row>
    <row r="37" spans="2:5" x14ac:dyDescent="0.25">
      <c r="B37" s="104" t="s">
        <v>66</v>
      </c>
      <c r="C37" s="104"/>
      <c r="D37" s="104">
        <f>SUM(D24:D35)</f>
        <v>67.5</v>
      </c>
      <c r="E37" s="104">
        <f>SUM(E24:E35)</f>
        <v>50126.174999999996</v>
      </c>
    </row>
    <row r="38" spans="2:5" x14ac:dyDescent="0.25">
      <c r="B38" s="91">
        <v>2025</v>
      </c>
    </row>
  </sheetData>
  <pageMargins left="0.7" right="0.7" top="0.75" bottom="0.75" header="0.3" footer="0.3"/>
  <pageSetup paperSize="9" scale="3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3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I23" sqref="I23"/>
    </sheetView>
  </sheetViews>
  <sheetFormatPr defaultRowHeight="14.25" x14ac:dyDescent="0.25"/>
  <cols>
    <col min="1" max="1" width="3.140625" style="91" customWidth="1"/>
    <col min="2" max="2" width="3.85546875" style="91" customWidth="1"/>
    <col min="3" max="3" width="47.28515625" style="91" bestFit="1" customWidth="1"/>
    <col min="4" max="4" width="14.7109375" style="91" bestFit="1" customWidth="1"/>
    <col min="5" max="5" width="13.42578125" style="91" customWidth="1"/>
    <col min="6" max="6" width="12.85546875" style="91" bestFit="1" customWidth="1"/>
    <col min="7" max="7" width="11.85546875" style="91" customWidth="1"/>
    <col min="8" max="10" width="10" style="91" bestFit="1" customWidth="1"/>
    <col min="11" max="16" width="9.42578125" style="91" bestFit="1" customWidth="1"/>
    <col min="17" max="18" width="10" style="91" bestFit="1" customWidth="1"/>
    <col min="19" max="19" width="11.7109375" style="91" bestFit="1" customWidth="1"/>
    <col min="20" max="16384" width="9.140625" style="91"/>
  </cols>
  <sheetData>
    <row r="2" spans="2:20" ht="16.5" x14ac:dyDescent="0.25">
      <c r="B2" s="77" t="s">
        <v>9</v>
      </c>
      <c r="C2" s="78" t="s">
        <v>283</v>
      </c>
      <c r="D2" s="79" t="s">
        <v>9</v>
      </c>
      <c r="E2" s="77" t="s">
        <v>284</v>
      </c>
      <c r="F2" s="77" t="s">
        <v>285</v>
      </c>
      <c r="G2" s="77" t="s">
        <v>286</v>
      </c>
      <c r="H2" s="77" t="s">
        <v>287</v>
      </c>
      <c r="I2" s="77" t="s">
        <v>288</v>
      </c>
      <c r="J2" s="77" t="s">
        <v>289</v>
      </c>
      <c r="K2" s="77" t="s">
        <v>290</v>
      </c>
      <c r="L2" s="77" t="s">
        <v>291</v>
      </c>
      <c r="M2" s="77" t="s">
        <v>292</v>
      </c>
      <c r="N2" s="77" t="s">
        <v>293</v>
      </c>
      <c r="O2" s="77" t="s">
        <v>294</v>
      </c>
      <c r="P2" s="77" t="s">
        <v>295</v>
      </c>
      <c r="Q2" s="77" t="s">
        <v>296</v>
      </c>
      <c r="R2" s="77" t="s">
        <v>297</v>
      </c>
      <c r="S2" s="77" t="s">
        <v>298</v>
      </c>
    </row>
    <row r="3" spans="2:20" ht="16.5" x14ac:dyDescent="0.3">
      <c r="B3" s="80"/>
      <c r="C3" s="81"/>
      <c r="D3" s="82"/>
      <c r="E3" s="80"/>
      <c r="F3" s="80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0"/>
    </row>
    <row r="4" spans="2:20" ht="16.5" x14ac:dyDescent="0.3">
      <c r="B4" s="84">
        <v>1</v>
      </c>
      <c r="C4" s="85" t="s">
        <v>299</v>
      </c>
      <c r="D4" s="82" t="s">
        <v>329</v>
      </c>
      <c r="E4" s="86">
        <v>116961.11</v>
      </c>
      <c r="F4" s="90">
        <f>SUM(G4:R4)</f>
        <v>50126.19</v>
      </c>
      <c r="G4" s="87">
        <v>16708.73</v>
      </c>
      <c r="H4" s="87">
        <v>16708.73</v>
      </c>
      <c r="I4" s="87">
        <v>16708.73</v>
      </c>
      <c r="J4" s="87"/>
      <c r="K4" s="87"/>
      <c r="L4" s="87"/>
      <c r="M4" s="87"/>
      <c r="N4" s="87"/>
      <c r="O4" s="87"/>
      <c r="P4" s="87"/>
      <c r="Q4" s="87"/>
      <c r="R4" s="87"/>
      <c r="S4" s="86">
        <f>E4-F4</f>
        <v>66834.92</v>
      </c>
    </row>
    <row r="5" spans="2:20" ht="16.5" x14ac:dyDescent="0.3">
      <c r="B5" s="84">
        <v>2</v>
      </c>
      <c r="C5" s="85" t="s">
        <v>300</v>
      </c>
      <c r="D5" s="82" t="s">
        <v>327</v>
      </c>
      <c r="E5" s="86">
        <v>1478521.38</v>
      </c>
      <c r="F5" s="90">
        <f t="shared" ref="F5:F23" si="0">SUM(G5:R5)</f>
        <v>721446.01</v>
      </c>
      <c r="G5" s="87">
        <v>242101.31</v>
      </c>
      <c r="H5" s="87">
        <f>79054.78+169782</f>
        <v>248836.78</v>
      </c>
      <c r="I5" s="87">
        <f>59291.09+171216.83</f>
        <v>230507.91999999998</v>
      </c>
      <c r="J5" s="87"/>
      <c r="K5" s="87"/>
      <c r="L5" s="87"/>
      <c r="M5" s="87"/>
      <c r="N5" s="87"/>
      <c r="O5" s="87"/>
      <c r="P5" s="87"/>
      <c r="Q5" s="87"/>
      <c r="R5" s="87"/>
      <c r="S5" s="86">
        <f t="shared" ref="S5:S23" si="1">E5-F5</f>
        <v>757075.36999999988</v>
      </c>
    </row>
    <row r="6" spans="2:20" ht="16.5" x14ac:dyDescent="0.3">
      <c r="B6" s="84">
        <v>3</v>
      </c>
      <c r="C6" s="85" t="s">
        <v>301</v>
      </c>
      <c r="D6" s="88" t="s">
        <v>328</v>
      </c>
      <c r="E6" s="86">
        <v>444240.69</v>
      </c>
      <c r="F6" s="90">
        <f t="shared" si="0"/>
        <v>89064.299999999988</v>
      </c>
      <c r="G6" s="87">
        <f>27820.69+6485.26+6076.28</f>
        <v>40382.229999999996</v>
      </c>
      <c r="H6" s="87">
        <f>31329.6+10049.24+7303.23</f>
        <v>48682.069999999992</v>
      </c>
      <c r="I6" s="87"/>
      <c r="J6" s="87"/>
      <c r="K6" s="87"/>
      <c r="L6" s="87"/>
      <c r="M6" s="87"/>
      <c r="N6" s="87"/>
      <c r="O6" s="87"/>
      <c r="P6" s="87"/>
      <c r="Q6" s="87"/>
      <c r="R6" s="87"/>
      <c r="S6" s="86">
        <f t="shared" si="1"/>
        <v>355176.39</v>
      </c>
    </row>
    <row r="7" spans="2:20" ht="16.5" x14ac:dyDescent="0.3">
      <c r="B7" s="84">
        <v>4</v>
      </c>
      <c r="C7" s="85" t="s">
        <v>326</v>
      </c>
      <c r="D7" s="82"/>
      <c r="E7" s="86">
        <v>168000</v>
      </c>
      <c r="F7" s="90">
        <f t="shared" si="0"/>
        <v>42000</v>
      </c>
      <c r="G7" s="87">
        <v>14000</v>
      </c>
      <c r="H7" s="87">
        <v>14000</v>
      </c>
      <c r="I7" s="87">
        <v>14000</v>
      </c>
      <c r="J7" s="87"/>
      <c r="K7" s="87"/>
      <c r="L7" s="87"/>
      <c r="M7" s="87"/>
      <c r="N7" s="87"/>
      <c r="O7" s="87"/>
      <c r="P7" s="87"/>
      <c r="Q7" s="87"/>
      <c r="R7" s="89"/>
      <c r="S7" s="86">
        <f t="shared" si="1"/>
        <v>126000</v>
      </c>
    </row>
    <row r="8" spans="2:20" ht="16.5" x14ac:dyDescent="0.3">
      <c r="B8" s="84">
        <v>5</v>
      </c>
      <c r="C8" s="85" t="s">
        <v>342</v>
      </c>
      <c r="D8" s="82" t="s">
        <v>344</v>
      </c>
      <c r="E8" s="86">
        <v>30000</v>
      </c>
      <c r="F8" s="90">
        <f t="shared" si="0"/>
        <v>2500</v>
      </c>
      <c r="G8" s="87">
        <v>2500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9"/>
      <c r="S8" s="86">
        <f t="shared" si="1"/>
        <v>27500</v>
      </c>
    </row>
    <row r="9" spans="2:20" ht="16.5" x14ac:dyDescent="0.3">
      <c r="B9" s="84">
        <v>6</v>
      </c>
      <c r="C9" s="85" t="s">
        <v>342</v>
      </c>
      <c r="D9" s="82" t="s">
        <v>345</v>
      </c>
      <c r="E9" s="86">
        <v>96000</v>
      </c>
      <c r="F9" s="90">
        <f t="shared" si="0"/>
        <v>8000</v>
      </c>
      <c r="G9" s="87">
        <v>8000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9"/>
      <c r="S9" s="86">
        <f t="shared" si="1"/>
        <v>88000</v>
      </c>
    </row>
    <row r="10" spans="2:20" ht="16.5" x14ac:dyDescent="0.3">
      <c r="B10" s="84">
        <v>7</v>
      </c>
      <c r="C10" s="85" t="s">
        <v>342</v>
      </c>
      <c r="D10" s="82" t="s">
        <v>343</v>
      </c>
      <c r="E10" s="86">
        <v>51600</v>
      </c>
      <c r="F10" s="90">
        <f t="shared" si="0"/>
        <v>4300</v>
      </c>
      <c r="G10" s="87">
        <v>4300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9"/>
      <c r="S10" s="86">
        <f t="shared" si="1"/>
        <v>47300</v>
      </c>
    </row>
    <row r="11" spans="2:20" ht="16.5" x14ac:dyDescent="0.3">
      <c r="B11" s="84">
        <v>8</v>
      </c>
      <c r="C11" s="85" t="s">
        <v>342</v>
      </c>
      <c r="D11" s="82" t="s">
        <v>341</v>
      </c>
      <c r="E11" s="86">
        <v>54000</v>
      </c>
      <c r="F11" s="90">
        <f t="shared" si="0"/>
        <v>4500</v>
      </c>
      <c r="G11" s="87">
        <v>4500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9"/>
      <c r="S11" s="86">
        <f t="shared" si="1"/>
        <v>49500</v>
      </c>
    </row>
    <row r="12" spans="2:20" ht="16.5" x14ac:dyDescent="0.3">
      <c r="B12" s="84">
        <v>9</v>
      </c>
      <c r="C12" s="85" t="s">
        <v>356</v>
      </c>
      <c r="D12" s="82" t="s">
        <v>357</v>
      </c>
      <c r="E12" s="86">
        <v>43200</v>
      </c>
      <c r="F12" s="90">
        <f t="shared" ref="F12" si="2">SUM(G12:R12)</f>
        <v>10800</v>
      </c>
      <c r="G12" s="87">
        <v>3600</v>
      </c>
      <c r="H12" s="87">
        <v>3600</v>
      </c>
      <c r="I12" s="87">
        <v>3600</v>
      </c>
      <c r="J12" s="87"/>
      <c r="K12" s="87"/>
      <c r="L12" s="87"/>
      <c r="M12" s="87"/>
      <c r="N12" s="87"/>
      <c r="O12" s="87"/>
      <c r="P12" s="87"/>
      <c r="Q12" s="87"/>
      <c r="R12" s="89"/>
      <c r="S12" s="86">
        <f t="shared" ref="S12" si="3">E12-F12</f>
        <v>32400</v>
      </c>
    </row>
    <row r="13" spans="2:20" ht="16.5" x14ac:dyDescent="0.3">
      <c r="B13" s="84">
        <v>10</v>
      </c>
      <c r="C13" s="85" t="s">
        <v>302</v>
      </c>
      <c r="D13" s="82" t="s">
        <v>331</v>
      </c>
      <c r="E13" s="86">
        <v>8352</v>
      </c>
      <c r="F13" s="90">
        <f t="shared" si="0"/>
        <v>696</v>
      </c>
      <c r="G13" s="87">
        <v>696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6">
        <f t="shared" si="1"/>
        <v>7656</v>
      </c>
    </row>
    <row r="14" spans="2:20" ht="16.5" x14ac:dyDescent="0.3">
      <c r="B14" s="84">
        <v>11</v>
      </c>
      <c r="C14" s="85" t="s">
        <v>303</v>
      </c>
      <c r="D14" s="82">
        <v>3403</v>
      </c>
      <c r="E14" s="86">
        <v>800318.68</v>
      </c>
      <c r="F14" s="90">
        <f t="shared" si="0"/>
        <v>378810.83999999997</v>
      </c>
      <c r="G14" s="87">
        <f>125919.54-1758.62</f>
        <v>124160.92</v>
      </c>
      <c r="H14" s="87">
        <f>37671.98+50367.82+62191.76</f>
        <v>150231.56</v>
      </c>
      <c r="I14" s="87">
        <f>44330.07+60088.29</f>
        <v>104418.36</v>
      </c>
      <c r="J14" s="87"/>
      <c r="K14" s="87"/>
      <c r="L14" s="87"/>
      <c r="M14" s="87"/>
      <c r="N14" s="87"/>
      <c r="O14" s="87"/>
      <c r="P14" s="87"/>
      <c r="Q14" s="87"/>
      <c r="R14" s="87"/>
      <c r="S14" s="86">
        <f t="shared" si="1"/>
        <v>421507.84000000008</v>
      </c>
      <c r="T14" s="118" t="s">
        <v>353</v>
      </c>
    </row>
    <row r="15" spans="2:20" ht="16.5" x14ac:dyDescent="0.3">
      <c r="B15" s="84">
        <v>12</v>
      </c>
      <c r="C15" s="85" t="s">
        <v>304</v>
      </c>
      <c r="D15" s="82" t="s">
        <v>332</v>
      </c>
      <c r="E15" s="86">
        <v>177550</v>
      </c>
      <c r="F15" s="90">
        <f t="shared" si="0"/>
        <v>113900</v>
      </c>
      <c r="G15" s="87">
        <v>50250</v>
      </c>
      <c r="H15" s="87">
        <v>63650</v>
      </c>
      <c r="I15" s="87"/>
      <c r="J15" s="87"/>
      <c r="K15" s="87"/>
      <c r="L15" s="87"/>
      <c r="M15" s="87"/>
      <c r="N15" s="87"/>
      <c r="O15" s="87"/>
      <c r="P15" s="87"/>
      <c r="Q15" s="87"/>
      <c r="R15" s="89"/>
      <c r="S15" s="86">
        <f t="shared" si="1"/>
        <v>63650</v>
      </c>
    </row>
    <row r="16" spans="2:20" ht="16.5" x14ac:dyDescent="0.3">
      <c r="B16" s="84">
        <v>13</v>
      </c>
      <c r="C16" s="85" t="s">
        <v>362</v>
      </c>
      <c r="D16" s="82">
        <v>1</v>
      </c>
      <c r="E16" s="86">
        <v>12600</v>
      </c>
      <c r="F16" s="90">
        <f t="shared" ref="F16" si="4">SUM(G16:R16)</f>
        <v>2100</v>
      </c>
      <c r="G16" s="87">
        <v>1050</v>
      </c>
      <c r="H16" s="87">
        <v>1050</v>
      </c>
      <c r="I16" s="87"/>
      <c r="J16" s="87"/>
      <c r="K16" s="87"/>
      <c r="L16" s="87"/>
      <c r="M16" s="87"/>
      <c r="N16" s="87"/>
      <c r="O16" s="87"/>
      <c r="P16" s="87"/>
      <c r="Q16" s="87"/>
      <c r="R16" s="89"/>
      <c r="S16" s="86">
        <f t="shared" ref="S16" si="5">E16-F16</f>
        <v>10500</v>
      </c>
    </row>
    <row r="17" spans="2:19" ht="16.5" x14ac:dyDescent="0.3">
      <c r="B17" s="84">
        <v>14</v>
      </c>
      <c r="C17" s="85" t="s">
        <v>361</v>
      </c>
      <c r="D17" s="82">
        <v>26</v>
      </c>
      <c r="E17" s="86">
        <v>26474</v>
      </c>
      <c r="F17" s="90">
        <f t="shared" ref="F17" si="6">SUM(G17:R17)</f>
        <v>8479</v>
      </c>
      <c r="G17" s="87"/>
      <c r="H17" s="87"/>
      <c r="I17" s="87">
        <v>8479</v>
      </c>
      <c r="J17" s="87"/>
      <c r="K17" s="87"/>
      <c r="L17" s="87"/>
      <c r="M17" s="87"/>
      <c r="N17" s="87"/>
      <c r="O17" s="87"/>
      <c r="P17" s="87"/>
      <c r="Q17" s="87"/>
      <c r="R17" s="89"/>
      <c r="S17" s="86">
        <f t="shared" ref="S17" si="7">E17-F17</f>
        <v>17995</v>
      </c>
    </row>
    <row r="18" spans="2:19" ht="16.5" x14ac:dyDescent="0.3">
      <c r="B18" s="84">
        <v>15</v>
      </c>
      <c r="C18" s="85" t="s">
        <v>361</v>
      </c>
      <c r="D18" s="82">
        <v>27</v>
      </c>
      <c r="E18" s="86">
        <v>7141.88</v>
      </c>
      <c r="F18" s="90">
        <f t="shared" si="0"/>
        <v>0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9"/>
      <c r="S18" s="86">
        <f t="shared" si="1"/>
        <v>7141.88</v>
      </c>
    </row>
    <row r="19" spans="2:19" ht="16.5" x14ac:dyDescent="0.3">
      <c r="B19" s="84">
        <v>16</v>
      </c>
      <c r="C19" s="85" t="s">
        <v>361</v>
      </c>
      <c r="D19" s="82">
        <v>32</v>
      </c>
      <c r="E19" s="86">
        <v>54119.199999999997</v>
      </c>
      <c r="F19" s="90">
        <f t="shared" ref="F19:F20" si="8">SUM(G19:R19)</f>
        <v>14993.8</v>
      </c>
      <c r="G19" s="87"/>
      <c r="H19" s="87"/>
      <c r="I19" s="87">
        <v>14993.8</v>
      </c>
      <c r="J19" s="87"/>
      <c r="K19" s="87"/>
      <c r="L19" s="87"/>
      <c r="M19" s="87"/>
      <c r="N19" s="87"/>
      <c r="O19" s="87"/>
      <c r="P19" s="87"/>
      <c r="Q19" s="87"/>
      <c r="R19" s="89"/>
      <c r="S19" s="86">
        <f t="shared" ref="S19:S20" si="9">E19-F19</f>
        <v>39125.399999999994</v>
      </c>
    </row>
    <row r="20" spans="2:19" ht="16.5" x14ac:dyDescent="0.3">
      <c r="B20" s="84">
        <v>17</v>
      </c>
      <c r="C20" s="85" t="s">
        <v>361</v>
      </c>
      <c r="D20" s="82">
        <v>33</v>
      </c>
      <c r="E20" s="86">
        <v>14676.6</v>
      </c>
      <c r="F20" s="90">
        <f t="shared" si="8"/>
        <v>7338.3</v>
      </c>
      <c r="G20" s="87"/>
      <c r="H20" s="87"/>
      <c r="I20" s="87">
        <v>7338.3</v>
      </c>
      <c r="J20" s="87"/>
      <c r="K20" s="87"/>
      <c r="L20" s="87"/>
      <c r="M20" s="87"/>
      <c r="N20" s="87"/>
      <c r="O20" s="87"/>
      <c r="P20" s="87"/>
      <c r="Q20" s="87"/>
      <c r="R20" s="89"/>
      <c r="S20" s="86">
        <f t="shared" si="9"/>
        <v>7338.3</v>
      </c>
    </row>
    <row r="21" spans="2:19" ht="16.5" x14ac:dyDescent="0.3">
      <c r="B21" s="84">
        <v>18</v>
      </c>
      <c r="C21" s="85" t="s">
        <v>305</v>
      </c>
      <c r="D21" s="82">
        <v>83110625006</v>
      </c>
      <c r="E21" s="86">
        <v>9362.76</v>
      </c>
      <c r="F21" s="90">
        <f t="shared" si="0"/>
        <v>1560.46</v>
      </c>
      <c r="G21" s="87">
        <v>780.23</v>
      </c>
      <c r="H21" s="87">
        <v>780.23</v>
      </c>
      <c r="I21" s="87"/>
      <c r="J21" s="87"/>
      <c r="K21" s="87"/>
      <c r="L21" s="87"/>
      <c r="M21" s="87"/>
      <c r="N21" s="87"/>
      <c r="O21" s="87"/>
      <c r="P21" s="87"/>
      <c r="Q21" s="87"/>
      <c r="R21" s="89"/>
      <c r="S21" s="86">
        <f t="shared" si="1"/>
        <v>7802.3</v>
      </c>
    </row>
    <row r="22" spans="2:19" ht="16.5" x14ac:dyDescent="0.3">
      <c r="B22" s="84">
        <v>19</v>
      </c>
      <c r="C22" s="115" t="s">
        <v>351</v>
      </c>
      <c r="D22" s="116" t="s">
        <v>350</v>
      </c>
      <c r="E22" s="117">
        <v>14400</v>
      </c>
      <c r="F22" s="90">
        <f t="shared" ref="F22" si="10">SUM(G22:R22)</f>
        <v>3600</v>
      </c>
      <c r="G22" s="87"/>
      <c r="H22" s="87"/>
      <c r="I22" s="87">
        <v>3600</v>
      </c>
      <c r="J22" s="87"/>
      <c r="K22" s="87"/>
      <c r="L22" s="87"/>
      <c r="M22" s="87"/>
      <c r="N22" s="87"/>
      <c r="O22" s="87"/>
      <c r="P22" s="87"/>
      <c r="Q22" s="87"/>
      <c r="R22" s="89"/>
      <c r="S22" s="86">
        <f t="shared" ref="S22" si="11">E22-F22</f>
        <v>10800</v>
      </c>
    </row>
    <row r="23" spans="2:19" ht="20.25" customHeight="1" x14ac:dyDescent="0.3">
      <c r="B23" s="84">
        <v>20</v>
      </c>
      <c r="C23" s="85" t="s">
        <v>306</v>
      </c>
      <c r="D23" s="82" t="s">
        <v>330</v>
      </c>
      <c r="E23" s="86">
        <v>23564.400000000001</v>
      </c>
      <c r="F23" s="90">
        <f t="shared" si="0"/>
        <v>5891.1</v>
      </c>
      <c r="G23" s="87">
        <v>1963.7</v>
      </c>
      <c r="H23" s="87">
        <v>1963.7</v>
      </c>
      <c r="I23" s="87">
        <v>1963.7</v>
      </c>
      <c r="J23" s="87"/>
      <c r="K23" s="87"/>
      <c r="L23" s="87"/>
      <c r="M23" s="87"/>
      <c r="N23" s="87"/>
      <c r="O23" s="87"/>
      <c r="P23" s="87"/>
      <c r="Q23" s="87"/>
      <c r="R23" s="87"/>
      <c r="S23" s="86">
        <f t="shared" si="1"/>
        <v>17673.300000000003</v>
      </c>
    </row>
  </sheetData>
  <autoFilter ref="B3:S3"/>
  <conditionalFormatting sqref="S4:S11 S23 S18 S13:S15 S21">
    <cfRule type="cellIs" dxfId="5" priority="6" operator="lessThan">
      <formula>0</formula>
    </cfRule>
  </conditionalFormatting>
  <conditionalFormatting sqref="S22">
    <cfRule type="cellIs" dxfId="4" priority="5" operator="lessThan">
      <formula>0</formula>
    </cfRule>
  </conditionalFormatting>
  <conditionalFormatting sqref="S17">
    <cfRule type="cellIs" dxfId="3" priority="4" operator="lessThan">
      <formula>0</formula>
    </cfRule>
  </conditionalFormatting>
  <conditionalFormatting sqref="S12">
    <cfRule type="cellIs" dxfId="2" priority="3" operator="lessThan">
      <formula>0</formula>
    </cfRule>
  </conditionalFormatting>
  <conditionalFormatting sqref="S19:S20">
    <cfRule type="cellIs" dxfId="1" priority="2" operator="lessThan">
      <formula>0</formula>
    </cfRule>
  </conditionalFormatting>
  <conditionalFormatting sqref="S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Лист1</vt:lpstr>
      <vt:lpstr>Лист2</vt:lpstr>
      <vt:lpstr>Лист3</vt:lpstr>
      <vt:lpstr>Лист4</vt:lpstr>
      <vt:lpstr>Лист5</vt:lpstr>
      <vt:lpstr>Коммуналка</vt:lpstr>
      <vt:lpstr>Обязательные платежи</vt:lpstr>
      <vt:lpstr>Коммуналка!Область_печати</vt:lpstr>
      <vt:lpstr>Лист1!Область_печати</vt:lpstr>
      <vt:lpstr>Лист2!Область_печати</vt:lpstr>
      <vt:lpstr>Лист3!Область_печати</vt:lpstr>
      <vt:lpstr>Лист4!Область_печати</vt:lpstr>
      <vt:lpstr>Лист5!Область_печати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Андрей</cp:lastModifiedBy>
  <cp:lastPrinted>2026-03-27T11:10:10Z</cp:lastPrinted>
  <dcterms:created xsi:type="dcterms:W3CDTF">2021-01-21T05:53:26Z</dcterms:created>
  <dcterms:modified xsi:type="dcterms:W3CDTF">2026-04-03T06:15:38Z</dcterms:modified>
</cp:coreProperties>
</file>