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49FBF059-CE27-4101-A205-F377ADA47CB3}" xr6:coauthVersionLast="47" xr6:coauthVersionMax="47" xr10:uidLastSave="{00000000-0000-0000-0000-000000000000}"/>
  <bookViews>
    <workbookView xWindow="-120" yWindow="-120" windowWidth="24240" windowHeight="13140" activeTab="7" xr2:uid="{00000000-000D-0000-FFFF-FFFF00000000}"/>
  </bookViews>
  <sheets>
    <sheet name="1 пон" sheetId="17" r:id="rId1"/>
    <sheet name="1 вт.(2)" sheetId="39" r:id="rId2"/>
    <sheet name="1 ср. " sheetId="29" r:id="rId3"/>
    <sheet name="1 чет1 " sheetId="35" r:id="rId4"/>
    <sheet name="1 пят" sheetId="20" r:id="rId5"/>
    <sheet name="2пон.  " sheetId="37" r:id="rId6"/>
    <sheet name="2 втор (2)" sheetId="40" r:id="rId7"/>
    <sheet name="2 сред. " sheetId="38" r:id="rId8"/>
    <sheet name="2 чет." sheetId="41" r:id="rId9"/>
    <sheet name="2 пят" sheetId="15" r:id="rId10"/>
  </sheets>
  <definedNames>
    <definedName name="_xlnm.Print_Area" localSheetId="1">'1 вт.(2)'!$A$1:$M$31</definedName>
    <definedName name="_xlnm.Print_Area" localSheetId="0">'1 пон'!$A$1:$M$26</definedName>
    <definedName name="_xlnm.Print_Area" localSheetId="4">'1 пят'!$A$1:$M$24</definedName>
    <definedName name="_xlnm.Print_Area" localSheetId="2">'1 ср. '!$A$1:$M$29</definedName>
    <definedName name="_xlnm.Print_Area" localSheetId="3">'1 чет1 '!$A$1:$M$30</definedName>
    <definedName name="_xlnm.Print_Area" localSheetId="6">'2 втор (2)'!$A$1:$M$31</definedName>
    <definedName name="_xlnm.Print_Area" localSheetId="9">'2 пят'!$A$1:$M$30</definedName>
    <definedName name="_xlnm.Print_Area" localSheetId="7">'2 сред. '!$A$1:$M$25</definedName>
    <definedName name="_xlnm.Print_Area" localSheetId="8">'2 чет.'!$A$1:$M$31</definedName>
    <definedName name="_xlnm.Print_Area" localSheetId="5">'2пон.  '!$A$1:$M$32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5" i="41" l="1"/>
  <c r="M24" i="41"/>
  <c r="L24" i="41"/>
  <c r="K24" i="41"/>
  <c r="J24" i="41"/>
  <c r="I24" i="41"/>
  <c r="H24" i="41"/>
  <c r="G24" i="41"/>
  <c r="F24" i="41"/>
  <c r="E24" i="41"/>
  <c r="D24" i="41"/>
  <c r="M23" i="41"/>
  <c r="L23" i="41"/>
  <c r="K23" i="41"/>
  <c r="J23" i="41"/>
  <c r="I23" i="41"/>
  <c r="H23" i="41"/>
  <c r="G23" i="41"/>
  <c r="F23" i="41"/>
  <c r="E23" i="41"/>
  <c r="D23" i="41"/>
  <c r="M22" i="41"/>
  <c r="L22" i="41"/>
  <c r="K22" i="41"/>
  <c r="J22" i="41"/>
  <c r="I22" i="41"/>
  <c r="H22" i="41"/>
  <c r="G22" i="41"/>
  <c r="F22" i="41"/>
  <c r="E22" i="41"/>
  <c r="D22" i="41"/>
  <c r="M21" i="41"/>
  <c r="L21" i="41"/>
  <c r="K21" i="41"/>
  <c r="J21" i="41"/>
  <c r="I21" i="41"/>
  <c r="H21" i="41"/>
  <c r="G21" i="41"/>
  <c r="F21" i="41"/>
  <c r="E21" i="41"/>
  <c r="D21" i="41"/>
  <c r="M20" i="41"/>
  <c r="L20" i="41"/>
  <c r="K20" i="41"/>
  <c r="J20" i="41"/>
  <c r="I20" i="41"/>
  <c r="H20" i="41"/>
  <c r="G20" i="41"/>
  <c r="F20" i="41"/>
  <c r="E20" i="41"/>
  <c r="D20" i="41"/>
  <c r="M19" i="41"/>
  <c r="M25" i="41" s="1"/>
  <c r="L19" i="41"/>
  <c r="K19" i="41"/>
  <c r="J19" i="41"/>
  <c r="J25" i="41" s="1"/>
  <c r="I19" i="41"/>
  <c r="I25" i="41" s="1"/>
  <c r="H19" i="41"/>
  <c r="G19" i="41"/>
  <c r="F19" i="41"/>
  <c r="F25" i="41" s="1"/>
  <c r="E19" i="41"/>
  <c r="E25" i="41" s="1"/>
  <c r="D19" i="41"/>
  <c r="C16" i="41"/>
  <c r="C26" i="41" s="1"/>
  <c r="M15" i="41"/>
  <c r="L15" i="41"/>
  <c r="K15" i="41"/>
  <c r="J15" i="41"/>
  <c r="I15" i="41"/>
  <c r="H15" i="41"/>
  <c r="G15" i="41"/>
  <c r="F15" i="41"/>
  <c r="E15" i="41"/>
  <c r="D15" i="41"/>
  <c r="M14" i="41"/>
  <c r="L14" i="41"/>
  <c r="K14" i="41"/>
  <c r="J14" i="41"/>
  <c r="I14" i="41"/>
  <c r="H14" i="41"/>
  <c r="G14" i="41"/>
  <c r="F14" i="41"/>
  <c r="E14" i="41"/>
  <c r="D14" i="41"/>
  <c r="M13" i="41"/>
  <c r="L13" i="41"/>
  <c r="K13" i="41"/>
  <c r="J13" i="41"/>
  <c r="I13" i="41"/>
  <c r="H13" i="41"/>
  <c r="G13" i="41"/>
  <c r="F13" i="41"/>
  <c r="E13" i="41"/>
  <c r="D13" i="41"/>
  <c r="M12" i="41"/>
  <c r="L12" i="41"/>
  <c r="K12" i="41"/>
  <c r="J12" i="41"/>
  <c r="I12" i="41"/>
  <c r="H12" i="41"/>
  <c r="G12" i="41"/>
  <c r="F12" i="41"/>
  <c r="E12" i="41"/>
  <c r="D12" i="41"/>
  <c r="M11" i="41"/>
  <c r="M16" i="41" s="1"/>
  <c r="L11" i="41"/>
  <c r="L16" i="41" s="1"/>
  <c r="K11" i="41"/>
  <c r="J11" i="41"/>
  <c r="I11" i="41"/>
  <c r="I16" i="41" s="1"/>
  <c r="H11" i="41"/>
  <c r="H16" i="41" s="1"/>
  <c r="G11" i="41"/>
  <c r="F11" i="41"/>
  <c r="E11" i="41"/>
  <c r="E16" i="41" s="1"/>
  <c r="D11" i="41"/>
  <c r="D16" i="41" s="1"/>
  <c r="C25" i="40"/>
  <c r="M23" i="40"/>
  <c r="L23" i="40"/>
  <c r="K23" i="40"/>
  <c r="J23" i="40"/>
  <c r="I23" i="40"/>
  <c r="H23" i="40"/>
  <c r="G23" i="40"/>
  <c r="F23" i="40"/>
  <c r="E23" i="40"/>
  <c r="D23" i="40"/>
  <c r="M22" i="40"/>
  <c r="L22" i="40"/>
  <c r="K22" i="40"/>
  <c r="J22" i="40"/>
  <c r="I22" i="40"/>
  <c r="H22" i="40"/>
  <c r="G22" i="40"/>
  <c r="F22" i="40"/>
  <c r="E22" i="40"/>
  <c r="D22" i="40"/>
  <c r="M21" i="40"/>
  <c r="L21" i="40"/>
  <c r="K21" i="40"/>
  <c r="J21" i="40"/>
  <c r="I21" i="40"/>
  <c r="H21" i="40"/>
  <c r="G21" i="40"/>
  <c r="F21" i="40"/>
  <c r="E21" i="40"/>
  <c r="D21" i="40"/>
  <c r="M20" i="40"/>
  <c r="L20" i="40"/>
  <c r="K20" i="40"/>
  <c r="J20" i="40"/>
  <c r="I20" i="40"/>
  <c r="H20" i="40"/>
  <c r="G20" i="40"/>
  <c r="F20" i="40"/>
  <c r="E20" i="40"/>
  <c r="D20" i="40"/>
  <c r="M19" i="40"/>
  <c r="L19" i="40"/>
  <c r="K19" i="40"/>
  <c r="J19" i="40"/>
  <c r="I19" i="40"/>
  <c r="H19" i="40"/>
  <c r="G19" i="40"/>
  <c r="F19" i="40"/>
  <c r="E19" i="40"/>
  <c r="D19" i="40"/>
  <c r="M18" i="40"/>
  <c r="M25" i="40" s="1"/>
  <c r="L18" i="40"/>
  <c r="K18" i="40"/>
  <c r="J18" i="40"/>
  <c r="J25" i="40" s="1"/>
  <c r="I18" i="40"/>
  <c r="I25" i="40" s="1"/>
  <c r="H18" i="40"/>
  <c r="G18" i="40"/>
  <c r="F18" i="40"/>
  <c r="F25" i="40" s="1"/>
  <c r="E18" i="40"/>
  <c r="E25" i="40" s="1"/>
  <c r="D18" i="40"/>
  <c r="C16" i="40"/>
  <c r="C26" i="40" s="1"/>
  <c r="M14" i="40"/>
  <c r="L14" i="40"/>
  <c r="K14" i="40"/>
  <c r="J14" i="40"/>
  <c r="I14" i="40"/>
  <c r="H14" i="40"/>
  <c r="G14" i="40"/>
  <c r="F14" i="40"/>
  <c r="E14" i="40"/>
  <c r="D14" i="40"/>
  <c r="M13" i="40"/>
  <c r="L13" i="40"/>
  <c r="K13" i="40"/>
  <c r="J13" i="40"/>
  <c r="I13" i="40"/>
  <c r="H13" i="40"/>
  <c r="G13" i="40"/>
  <c r="F13" i="40"/>
  <c r="E13" i="40"/>
  <c r="D13" i="40"/>
  <c r="M12" i="40"/>
  <c r="L12" i="40"/>
  <c r="K12" i="40"/>
  <c r="J12" i="40"/>
  <c r="I12" i="40"/>
  <c r="H12" i="40"/>
  <c r="G12" i="40"/>
  <c r="F12" i="40"/>
  <c r="E12" i="40"/>
  <c r="D12" i="40"/>
  <c r="M11" i="40"/>
  <c r="L11" i="40"/>
  <c r="K11" i="40"/>
  <c r="J11" i="40"/>
  <c r="I11" i="40"/>
  <c r="H11" i="40"/>
  <c r="G11" i="40"/>
  <c r="F11" i="40"/>
  <c r="E11" i="40"/>
  <c r="D11" i="40"/>
  <c r="M10" i="40"/>
  <c r="M16" i="40" s="1"/>
  <c r="L10" i="40"/>
  <c r="L16" i="40" s="1"/>
  <c r="K10" i="40"/>
  <c r="J10" i="40"/>
  <c r="I10" i="40"/>
  <c r="I16" i="40" s="1"/>
  <c r="H10" i="40"/>
  <c r="H16" i="40" s="1"/>
  <c r="G10" i="40"/>
  <c r="F10" i="40"/>
  <c r="E10" i="40"/>
  <c r="E16" i="40" s="1"/>
  <c r="D10" i="40"/>
  <c r="D16" i="40" s="1"/>
  <c r="C25" i="39"/>
  <c r="M24" i="39"/>
  <c r="L24" i="39"/>
  <c r="K24" i="39"/>
  <c r="J24" i="39"/>
  <c r="I24" i="39"/>
  <c r="H24" i="39"/>
  <c r="G24" i="39"/>
  <c r="F24" i="39"/>
  <c r="E24" i="39"/>
  <c r="D24" i="39"/>
  <c r="M23" i="39"/>
  <c r="L23" i="39"/>
  <c r="K23" i="39"/>
  <c r="J23" i="39"/>
  <c r="I23" i="39"/>
  <c r="H23" i="39"/>
  <c r="G23" i="39"/>
  <c r="F23" i="39"/>
  <c r="E23" i="39"/>
  <c r="D23" i="39"/>
  <c r="M22" i="39"/>
  <c r="L22" i="39"/>
  <c r="K22" i="39"/>
  <c r="J22" i="39"/>
  <c r="I22" i="39"/>
  <c r="H22" i="39"/>
  <c r="G22" i="39"/>
  <c r="F22" i="39"/>
  <c r="E22" i="39"/>
  <c r="D22" i="39"/>
  <c r="M21" i="39"/>
  <c r="L21" i="39"/>
  <c r="K21" i="39"/>
  <c r="J21" i="39"/>
  <c r="I21" i="39"/>
  <c r="H21" i="39"/>
  <c r="G21" i="39"/>
  <c r="F21" i="39"/>
  <c r="E21" i="39"/>
  <c r="D21" i="39"/>
  <c r="M19" i="39"/>
  <c r="L19" i="39"/>
  <c r="K19" i="39"/>
  <c r="J19" i="39"/>
  <c r="I19" i="39"/>
  <c r="H19" i="39"/>
  <c r="G19" i="39"/>
  <c r="F19" i="39"/>
  <c r="E19" i="39"/>
  <c r="D19" i="39"/>
  <c r="M18" i="39"/>
  <c r="M25" i="39" s="1"/>
  <c r="L18" i="39"/>
  <c r="K18" i="39"/>
  <c r="J18" i="39"/>
  <c r="J25" i="39" s="1"/>
  <c r="I18" i="39"/>
  <c r="I25" i="39" s="1"/>
  <c r="H18" i="39"/>
  <c r="G18" i="39"/>
  <c r="F18" i="39"/>
  <c r="F25" i="39" s="1"/>
  <c r="E18" i="39"/>
  <c r="E25" i="39" s="1"/>
  <c r="D18" i="39"/>
  <c r="C16" i="39"/>
  <c r="C26" i="39" s="1"/>
  <c r="M15" i="39"/>
  <c r="L15" i="39"/>
  <c r="K15" i="39"/>
  <c r="J15" i="39"/>
  <c r="I15" i="39"/>
  <c r="H15" i="39"/>
  <c r="G15" i="39"/>
  <c r="F15" i="39"/>
  <c r="E15" i="39"/>
  <c r="D15" i="39"/>
  <c r="M14" i="39"/>
  <c r="L14" i="39"/>
  <c r="K14" i="39"/>
  <c r="J14" i="39"/>
  <c r="I14" i="39"/>
  <c r="H14" i="39"/>
  <c r="G14" i="39"/>
  <c r="F14" i="39"/>
  <c r="E14" i="39"/>
  <c r="D14" i="39"/>
  <c r="M13" i="39"/>
  <c r="L13" i="39"/>
  <c r="K13" i="39"/>
  <c r="J13" i="39"/>
  <c r="I13" i="39"/>
  <c r="H13" i="39"/>
  <c r="G13" i="39"/>
  <c r="F13" i="39"/>
  <c r="E13" i="39"/>
  <c r="D13" i="39"/>
  <c r="M11" i="39"/>
  <c r="L11" i="39"/>
  <c r="K11" i="39"/>
  <c r="K16" i="39" s="1"/>
  <c r="J11" i="39"/>
  <c r="J16" i="39" s="1"/>
  <c r="J26" i="39" s="1"/>
  <c r="I11" i="39"/>
  <c r="H11" i="39"/>
  <c r="G11" i="39"/>
  <c r="G16" i="39" s="1"/>
  <c r="F11" i="39"/>
  <c r="F16" i="39" s="1"/>
  <c r="F26" i="39" s="1"/>
  <c r="E11" i="39"/>
  <c r="D11" i="39"/>
  <c r="E26" i="40" l="1"/>
  <c r="I26" i="40"/>
  <c r="D16" i="39"/>
  <c r="H16" i="39"/>
  <c r="L16" i="39"/>
  <c r="G25" i="39"/>
  <c r="G26" i="39" s="1"/>
  <c r="K25" i="39"/>
  <c r="F16" i="40"/>
  <c r="J16" i="40"/>
  <c r="G25" i="40"/>
  <c r="K25" i="40"/>
  <c r="F16" i="41"/>
  <c r="F26" i="41" s="1"/>
  <c r="J16" i="41"/>
  <c r="J26" i="41" s="1"/>
  <c r="G25" i="41"/>
  <c r="G26" i="41" s="1"/>
  <c r="K25" i="41"/>
  <c r="M26" i="40"/>
  <c r="E16" i="39"/>
  <c r="E26" i="39" s="1"/>
  <c r="I16" i="39"/>
  <c r="M16" i="39"/>
  <c r="D25" i="39"/>
  <c r="H25" i="39"/>
  <c r="L25" i="39"/>
  <c r="G16" i="40"/>
  <c r="K16" i="40"/>
  <c r="K26" i="40" s="1"/>
  <c r="D25" i="40"/>
  <c r="D26" i="40" s="1"/>
  <c r="H25" i="40"/>
  <c r="L25" i="40"/>
  <c r="G16" i="41"/>
  <c r="K16" i="41"/>
  <c r="K26" i="41" s="1"/>
  <c r="D25" i="41"/>
  <c r="D26" i="41" s="1"/>
  <c r="H25" i="41"/>
  <c r="H26" i="41" s="1"/>
  <c r="L25" i="41"/>
  <c r="L26" i="41" s="1"/>
  <c r="E26" i="41"/>
  <c r="I26" i="41"/>
  <c r="M26" i="41"/>
  <c r="F26" i="40"/>
  <c r="H26" i="40"/>
  <c r="J26" i="40"/>
  <c r="L26" i="40"/>
  <c r="I26" i="39"/>
  <c r="K26" i="39"/>
  <c r="M26" i="39"/>
  <c r="M10" i="15"/>
  <c r="L10" i="15"/>
  <c r="K10" i="15"/>
  <c r="J10" i="15"/>
  <c r="I10" i="15"/>
  <c r="H10" i="15"/>
  <c r="G10" i="15"/>
  <c r="F10" i="15"/>
  <c r="E10" i="15"/>
  <c r="D10" i="15"/>
  <c r="L26" i="39" l="1"/>
  <c r="G26" i="40"/>
  <c r="H26" i="39"/>
  <c r="D26" i="39"/>
  <c r="C23" i="38"/>
  <c r="M22" i="38"/>
  <c r="L22" i="38"/>
  <c r="K22" i="38"/>
  <c r="J22" i="38"/>
  <c r="I22" i="38"/>
  <c r="H22" i="38"/>
  <c r="G22" i="38"/>
  <c r="F22" i="38"/>
  <c r="E22" i="38"/>
  <c r="D22" i="38"/>
  <c r="M21" i="38"/>
  <c r="L21" i="38"/>
  <c r="K21" i="38"/>
  <c r="J21" i="38"/>
  <c r="I21" i="38"/>
  <c r="H21" i="38"/>
  <c r="G21" i="38"/>
  <c r="F21" i="38"/>
  <c r="E21" i="38"/>
  <c r="D21" i="38"/>
  <c r="M20" i="38"/>
  <c r="L20" i="38"/>
  <c r="K20" i="38"/>
  <c r="J20" i="38"/>
  <c r="I20" i="38"/>
  <c r="H20" i="38"/>
  <c r="G20" i="38"/>
  <c r="F20" i="38"/>
  <c r="E20" i="38"/>
  <c r="D20" i="38"/>
  <c r="M18" i="38"/>
  <c r="L18" i="38"/>
  <c r="K18" i="38"/>
  <c r="J18" i="38"/>
  <c r="I18" i="38"/>
  <c r="G18" i="38"/>
  <c r="F18" i="38"/>
  <c r="E18" i="38"/>
  <c r="D18" i="38"/>
  <c r="M17" i="38"/>
  <c r="L17" i="38"/>
  <c r="K17" i="38"/>
  <c r="J17" i="38"/>
  <c r="I17" i="38"/>
  <c r="H17" i="38"/>
  <c r="G17" i="38"/>
  <c r="F17" i="38"/>
  <c r="E17" i="38"/>
  <c r="D17" i="38"/>
  <c r="M16" i="38"/>
  <c r="L16" i="38"/>
  <c r="K16" i="38"/>
  <c r="J16" i="38"/>
  <c r="I16" i="38"/>
  <c r="H16" i="38"/>
  <c r="G16" i="38"/>
  <c r="F16" i="38"/>
  <c r="E16" i="38"/>
  <c r="D16" i="38"/>
  <c r="C14" i="38"/>
  <c r="M13" i="38"/>
  <c r="L13" i="38"/>
  <c r="K13" i="38"/>
  <c r="J13" i="38"/>
  <c r="I13" i="38"/>
  <c r="H13" i="38"/>
  <c r="G13" i="38"/>
  <c r="F13" i="38"/>
  <c r="E13" i="38"/>
  <c r="D13" i="38"/>
  <c r="M12" i="38"/>
  <c r="L12" i="38"/>
  <c r="K12" i="38"/>
  <c r="J12" i="38"/>
  <c r="I12" i="38"/>
  <c r="H12" i="38"/>
  <c r="G12" i="38"/>
  <c r="F12" i="38"/>
  <c r="E12" i="38"/>
  <c r="D12" i="38"/>
  <c r="M11" i="38"/>
  <c r="L11" i="38"/>
  <c r="L14" i="38" s="1"/>
  <c r="K11" i="38"/>
  <c r="K14" i="38" s="1"/>
  <c r="J11" i="38"/>
  <c r="J14" i="38" s="1"/>
  <c r="I11" i="38"/>
  <c r="H11" i="38"/>
  <c r="H14" i="38" s="1"/>
  <c r="G11" i="38"/>
  <c r="G14" i="38" s="1"/>
  <c r="F11" i="38"/>
  <c r="F14" i="38" s="1"/>
  <c r="E11" i="38"/>
  <c r="D11" i="38"/>
  <c r="D14" i="38" s="1"/>
  <c r="C26" i="37"/>
  <c r="M24" i="37"/>
  <c r="L24" i="37"/>
  <c r="K24" i="37"/>
  <c r="J24" i="37"/>
  <c r="I24" i="37"/>
  <c r="H24" i="37"/>
  <c r="G24" i="37"/>
  <c r="F24" i="37"/>
  <c r="E24" i="37"/>
  <c r="D24" i="37"/>
  <c r="M23" i="37"/>
  <c r="L23" i="37"/>
  <c r="K23" i="37"/>
  <c r="J23" i="37"/>
  <c r="I23" i="37"/>
  <c r="H23" i="37"/>
  <c r="G23" i="37"/>
  <c r="F23" i="37"/>
  <c r="E23" i="37"/>
  <c r="D23" i="37"/>
  <c r="M22" i="37"/>
  <c r="L22" i="37"/>
  <c r="K22" i="37"/>
  <c r="J22" i="37"/>
  <c r="I22" i="37"/>
  <c r="H22" i="37"/>
  <c r="G22" i="37"/>
  <c r="F22" i="37"/>
  <c r="E22" i="37"/>
  <c r="D22" i="37"/>
  <c r="M19" i="37"/>
  <c r="L19" i="37"/>
  <c r="K19" i="37"/>
  <c r="J19" i="37"/>
  <c r="I19" i="37"/>
  <c r="H19" i="37"/>
  <c r="G19" i="37"/>
  <c r="F19" i="37"/>
  <c r="E19" i="37"/>
  <c r="D19" i="37"/>
  <c r="M18" i="37"/>
  <c r="M26" i="37" s="1"/>
  <c r="L18" i="37"/>
  <c r="K18" i="37"/>
  <c r="K26" i="37" s="1"/>
  <c r="J18" i="37"/>
  <c r="J26" i="37" s="1"/>
  <c r="I18" i="37"/>
  <c r="I26" i="37" s="1"/>
  <c r="H18" i="37"/>
  <c r="G18" i="37"/>
  <c r="G26" i="37" s="1"/>
  <c r="F18" i="37"/>
  <c r="F26" i="37" s="1"/>
  <c r="E18" i="37"/>
  <c r="E26" i="37" s="1"/>
  <c r="D18" i="37"/>
  <c r="C16" i="37"/>
  <c r="M13" i="37"/>
  <c r="L13" i="37"/>
  <c r="K13" i="37"/>
  <c r="J13" i="37"/>
  <c r="I13" i="37"/>
  <c r="H13" i="37"/>
  <c r="G13" i="37"/>
  <c r="F13" i="37"/>
  <c r="E13" i="37"/>
  <c r="D13" i="37"/>
  <c r="M12" i="37"/>
  <c r="L12" i="37"/>
  <c r="K12" i="37"/>
  <c r="J12" i="37"/>
  <c r="I12" i="37"/>
  <c r="H12" i="37"/>
  <c r="G12" i="37"/>
  <c r="F12" i="37"/>
  <c r="E12" i="37"/>
  <c r="D12" i="37"/>
  <c r="M10" i="37"/>
  <c r="L10" i="37"/>
  <c r="K10" i="37"/>
  <c r="J10" i="37"/>
  <c r="I10" i="37"/>
  <c r="H10" i="37"/>
  <c r="G10" i="37"/>
  <c r="F10" i="37"/>
  <c r="E10" i="37"/>
  <c r="D10" i="37"/>
  <c r="M9" i="37"/>
  <c r="L9" i="37"/>
  <c r="L16" i="37" s="1"/>
  <c r="K9" i="37"/>
  <c r="K16" i="37" s="1"/>
  <c r="K27" i="37" s="1"/>
  <c r="J9" i="37"/>
  <c r="J16" i="37" s="1"/>
  <c r="I9" i="37"/>
  <c r="H9" i="37"/>
  <c r="H16" i="37" s="1"/>
  <c r="G9" i="37"/>
  <c r="G16" i="37" s="1"/>
  <c r="G27" i="37" s="1"/>
  <c r="F9" i="37"/>
  <c r="F16" i="37" s="1"/>
  <c r="E9" i="37"/>
  <c r="D9" i="37"/>
  <c r="D16" i="37" s="1"/>
  <c r="L27" i="37" l="1"/>
  <c r="C27" i="37"/>
  <c r="E23" i="38"/>
  <c r="I23" i="38"/>
  <c r="M23" i="38"/>
  <c r="E16" i="37"/>
  <c r="E27" i="37" s="1"/>
  <c r="I16" i="37"/>
  <c r="I27" i="37" s="1"/>
  <c r="M16" i="37"/>
  <c r="M27" i="37" s="1"/>
  <c r="D26" i="37"/>
  <c r="D27" i="37" s="1"/>
  <c r="H26" i="37"/>
  <c r="H27" i="37" s="1"/>
  <c r="L26" i="37"/>
  <c r="E14" i="38"/>
  <c r="E24" i="38" s="1"/>
  <c r="I14" i="38"/>
  <c r="I24" i="38" s="1"/>
  <c r="M14" i="38"/>
  <c r="F27" i="37"/>
  <c r="J27" i="37"/>
  <c r="G23" i="38"/>
  <c r="G24" i="38" s="1"/>
  <c r="K23" i="38"/>
  <c r="K24" i="38" s="1"/>
  <c r="D24" i="38"/>
  <c r="M24" i="38"/>
  <c r="D23" i="38"/>
  <c r="F23" i="38"/>
  <c r="H23" i="38"/>
  <c r="J23" i="38"/>
  <c r="J24" i="38" s="1"/>
  <c r="L23" i="38"/>
  <c r="F24" i="38"/>
  <c r="H24" i="38"/>
  <c r="L24" i="38"/>
  <c r="C24" i="38"/>
  <c r="M8" i="20"/>
  <c r="L8" i="20"/>
  <c r="K8" i="20"/>
  <c r="J8" i="20"/>
  <c r="I8" i="20"/>
  <c r="H8" i="20"/>
  <c r="G8" i="20"/>
  <c r="F8" i="20"/>
  <c r="E8" i="20"/>
  <c r="D8" i="20"/>
  <c r="C27" i="35" l="1"/>
  <c r="M26" i="35"/>
  <c r="L26" i="35"/>
  <c r="K26" i="35"/>
  <c r="J26" i="35"/>
  <c r="I26" i="35"/>
  <c r="H26" i="35"/>
  <c r="G26" i="35"/>
  <c r="F26" i="35"/>
  <c r="E26" i="35"/>
  <c r="D26" i="35"/>
  <c r="M25" i="35"/>
  <c r="L25" i="35"/>
  <c r="K25" i="35"/>
  <c r="J25" i="35"/>
  <c r="I25" i="35"/>
  <c r="H25" i="35"/>
  <c r="G25" i="35"/>
  <c r="F25" i="35"/>
  <c r="E25" i="35"/>
  <c r="D25" i="35"/>
  <c r="M24" i="35"/>
  <c r="L24" i="35"/>
  <c r="K24" i="35"/>
  <c r="J24" i="35"/>
  <c r="I24" i="35"/>
  <c r="H24" i="35"/>
  <c r="G24" i="35"/>
  <c r="F24" i="35"/>
  <c r="E24" i="35"/>
  <c r="D24" i="35"/>
  <c r="M23" i="35"/>
  <c r="L23" i="35"/>
  <c r="K23" i="35"/>
  <c r="J23" i="35"/>
  <c r="I23" i="35"/>
  <c r="H23" i="35"/>
  <c r="G23" i="35"/>
  <c r="F23" i="35"/>
  <c r="F27" i="35" s="1"/>
  <c r="E23" i="35"/>
  <c r="D23" i="35"/>
  <c r="M22" i="35"/>
  <c r="M27" i="35" s="1"/>
  <c r="L22" i="35"/>
  <c r="L27" i="35" s="1"/>
  <c r="K22" i="35"/>
  <c r="K27" i="35" s="1"/>
  <c r="J22" i="35"/>
  <c r="J27" i="35" s="1"/>
  <c r="I22" i="35"/>
  <c r="I27" i="35" s="1"/>
  <c r="H22" i="35"/>
  <c r="H27" i="35" s="1"/>
  <c r="G22" i="35"/>
  <c r="G27" i="35" s="1"/>
  <c r="F22" i="35"/>
  <c r="E22" i="35"/>
  <c r="E27" i="35" s="1"/>
  <c r="D22" i="35"/>
  <c r="D27" i="35" s="1"/>
  <c r="C20" i="35"/>
  <c r="M18" i="35"/>
  <c r="L18" i="35"/>
  <c r="K18" i="35"/>
  <c r="J18" i="35"/>
  <c r="I18" i="35"/>
  <c r="H18" i="35"/>
  <c r="G18" i="35"/>
  <c r="F18" i="35"/>
  <c r="E18" i="35"/>
  <c r="D18" i="35"/>
  <c r="M16" i="35"/>
  <c r="L16" i="35"/>
  <c r="K16" i="35"/>
  <c r="J16" i="35"/>
  <c r="I16" i="35"/>
  <c r="H16" i="35"/>
  <c r="G16" i="35"/>
  <c r="F16" i="35"/>
  <c r="E16" i="35"/>
  <c r="D16" i="35"/>
  <c r="M15" i="35"/>
  <c r="L15" i="35"/>
  <c r="K15" i="35"/>
  <c r="K20" i="35" s="1"/>
  <c r="K28" i="35" s="1"/>
  <c r="J15" i="35"/>
  <c r="I15" i="35"/>
  <c r="H15" i="35"/>
  <c r="H20" i="35" s="1"/>
  <c r="G15" i="35"/>
  <c r="F15" i="35"/>
  <c r="E15" i="35"/>
  <c r="D15" i="35"/>
  <c r="M13" i="35"/>
  <c r="L13" i="35"/>
  <c r="L20" i="35" s="1"/>
  <c r="K13" i="35"/>
  <c r="J13" i="35"/>
  <c r="J20" i="35" s="1"/>
  <c r="I13" i="35"/>
  <c r="G13" i="35"/>
  <c r="F13" i="35"/>
  <c r="E13" i="35"/>
  <c r="D13" i="35"/>
  <c r="M27" i="29"/>
  <c r="L27" i="29"/>
  <c r="K27" i="29"/>
  <c r="J27" i="29"/>
  <c r="I27" i="29"/>
  <c r="H27" i="29"/>
  <c r="G27" i="29"/>
  <c r="F27" i="29"/>
  <c r="E27" i="29"/>
  <c r="D27" i="29"/>
  <c r="E20" i="35" l="1"/>
  <c r="E28" i="35" s="1"/>
  <c r="J28" i="35"/>
  <c r="H28" i="35"/>
  <c r="I20" i="35"/>
  <c r="I28" i="35" s="1"/>
  <c r="M20" i="35"/>
  <c r="M28" i="35" s="1"/>
  <c r="G20" i="35"/>
  <c r="G28" i="35" s="1"/>
  <c r="L28" i="35"/>
  <c r="D20" i="35"/>
  <c r="D28" i="35" s="1"/>
  <c r="F20" i="35"/>
  <c r="F28" i="35" s="1"/>
  <c r="M14" i="29" l="1"/>
  <c r="L14" i="29"/>
  <c r="K14" i="29"/>
  <c r="J14" i="29"/>
  <c r="I14" i="29"/>
  <c r="H14" i="29"/>
  <c r="G14" i="29"/>
  <c r="F14" i="29"/>
  <c r="E14" i="29"/>
  <c r="D14" i="29"/>
  <c r="M11" i="17"/>
  <c r="L11" i="17"/>
  <c r="K11" i="17"/>
  <c r="J11" i="17"/>
  <c r="I11" i="17"/>
  <c r="H11" i="17"/>
  <c r="G11" i="17"/>
  <c r="F11" i="17"/>
  <c r="E11" i="17"/>
  <c r="D11" i="17"/>
  <c r="M26" i="29"/>
  <c r="L26" i="29"/>
  <c r="K26" i="29"/>
  <c r="J26" i="29"/>
  <c r="I26" i="29"/>
  <c r="H26" i="29"/>
  <c r="G26" i="29"/>
  <c r="F26" i="29"/>
  <c r="E26" i="29"/>
  <c r="D26" i="29"/>
  <c r="M25" i="29"/>
  <c r="L25" i="29"/>
  <c r="K25" i="29"/>
  <c r="J25" i="29"/>
  <c r="I25" i="29"/>
  <c r="H25" i="29"/>
  <c r="G25" i="29"/>
  <c r="F25" i="29"/>
  <c r="E25" i="29"/>
  <c r="D25" i="29"/>
  <c r="M24" i="29"/>
  <c r="L24" i="29"/>
  <c r="K24" i="29"/>
  <c r="J24" i="29"/>
  <c r="I24" i="29"/>
  <c r="H24" i="29"/>
  <c r="G24" i="29"/>
  <c r="F24" i="29"/>
  <c r="E24" i="29"/>
  <c r="D24" i="29"/>
  <c r="M21" i="29"/>
  <c r="L21" i="29"/>
  <c r="K21" i="29"/>
  <c r="J21" i="29"/>
  <c r="I21" i="29"/>
  <c r="H21" i="29"/>
  <c r="G21" i="29"/>
  <c r="F21" i="29"/>
  <c r="E21" i="29"/>
  <c r="D21" i="29"/>
  <c r="M20" i="29"/>
  <c r="L20" i="29"/>
  <c r="K20" i="29"/>
  <c r="J20" i="29"/>
  <c r="I20" i="29"/>
  <c r="H20" i="29"/>
  <c r="G20" i="29"/>
  <c r="F20" i="29"/>
  <c r="E20" i="29"/>
  <c r="D20" i="29"/>
  <c r="C18" i="29"/>
  <c r="M17" i="29"/>
  <c r="L17" i="29"/>
  <c r="K17" i="29"/>
  <c r="J17" i="29"/>
  <c r="I17" i="29"/>
  <c r="H17" i="29"/>
  <c r="G17" i="29"/>
  <c r="F17" i="29"/>
  <c r="E17" i="29"/>
  <c r="D17" i="29"/>
  <c r="M15" i="29"/>
  <c r="L15" i="29"/>
  <c r="K15" i="29"/>
  <c r="J15" i="29"/>
  <c r="I15" i="29"/>
  <c r="H15" i="29"/>
  <c r="G15" i="29"/>
  <c r="F15" i="29"/>
  <c r="E15" i="29"/>
  <c r="D15" i="29"/>
  <c r="M13" i="29"/>
  <c r="L13" i="29"/>
  <c r="K13" i="29"/>
  <c r="J13" i="29"/>
  <c r="I13" i="29"/>
  <c r="H13" i="29"/>
  <c r="G13" i="29"/>
  <c r="F13" i="29"/>
  <c r="E13" i="29"/>
  <c r="D13" i="29"/>
  <c r="M12" i="29"/>
  <c r="L12" i="29"/>
  <c r="L18" i="29" s="1"/>
  <c r="L28" i="29" s="1"/>
  <c r="K12" i="29"/>
  <c r="K18" i="29" s="1"/>
  <c r="K28" i="29" s="1"/>
  <c r="J12" i="29"/>
  <c r="I12" i="29"/>
  <c r="H12" i="29"/>
  <c r="H18" i="29" s="1"/>
  <c r="H28" i="29" s="1"/>
  <c r="G12" i="29"/>
  <c r="G18" i="29" s="1"/>
  <c r="G28" i="29" s="1"/>
  <c r="F12" i="29"/>
  <c r="E12" i="29"/>
  <c r="D12" i="29"/>
  <c r="D18" i="29" s="1"/>
  <c r="D28" i="29" s="1"/>
  <c r="E18" i="29" l="1"/>
  <c r="E28" i="29" s="1"/>
  <c r="I18" i="29"/>
  <c r="I28" i="29" s="1"/>
  <c r="M18" i="29"/>
  <c r="M28" i="29" s="1"/>
  <c r="F18" i="29"/>
  <c r="F28" i="29" s="1"/>
  <c r="J18" i="29"/>
  <c r="J28" i="29" s="1"/>
  <c r="C24" i="15"/>
  <c r="C13" i="20"/>
  <c r="M9" i="17" l="1"/>
  <c r="L9" i="17"/>
  <c r="K9" i="17"/>
  <c r="J9" i="17"/>
  <c r="I9" i="17"/>
  <c r="H9" i="17"/>
  <c r="G9" i="17"/>
  <c r="F9" i="17"/>
  <c r="E9" i="17"/>
  <c r="D9" i="17"/>
  <c r="C15" i="15" l="1"/>
  <c r="C22" i="20"/>
  <c r="C23" i="20" s="1"/>
  <c r="M23" i="15" l="1"/>
  <c r="L23" i="15"/>
  <c r="K23" i="15"/>
  <c r="J23" i="15"/>
  <c r="I23" i="15"/>
  <c r="H23" i="15"/>
  <c r="G23" i="15"/>
  <c r="F23" i="15"/>
  <c r="E23" i="15"/>
  <c r="D23" i="15"/>
  <c r="M18" i="20"/>
  <c r="L18" i="20"/>
  <c r="K18" i="20"/>
  <c r="J18" i="20"/>
  <c r="I18" i="20"/>
  <c r="H18" i="20"/>
  <c r="G18" i="20"/>
  <c r="F18" i="20"/>
  <c r="E18" i="20"/>
  <c r="D18" i="20"/>
  <c r="M19" i="17"/>
  <c r="L19" i="17"/>
  <c r="K19" i="17"/>
  <c r="J19" i="17"/>
  <c r="I19" i="17"/>
  <c r="H19" i="17"/>
  <c r="G19" i="17"/>
  <c r="F19" i="17"/>
  <c r="E19" i="17"/>
  <c r="D19" i="17"/>
  <c r="M20" i="20" l="1"/>
  <c r="L20" i="20"/>
  <c r="K20" i="20"/>
  <c r="J20" i="20"/>
  <c r="I20" i="20"/>
  <c r="H20" i="20"/>
  <c r="G20" i="20"/>
  <c r="F20" i="20"/>
  <c r="E20" i="20"/>
  <c r="D20" i="20"/>
  <c r="M19" i="20"/>
  <c r="L19" i="20"/>
  <c r="K19" i="20"/>
  <c r="J19" i="20"/>
  <c r="I19" i="20"/>
  <c r="H19" i="20"/>
  <c r="H22" i="20" s="1"/>
  <c r="G19" i="20"/>
  <c r="F19" i="20"/>
  <c r="E19" i="20"/>
  <c r="D19" i="20"/>
  <c r="M16" i="20"/>
  <c r="L16" i="20"/>
  <c r="K16" i="20"/>
  <c r="J16" i="20"/>
  <c r="J22" i="20" s="1"/>
  <c r="I16" i="20"/>
  <c r="H16" i="20"/>
  <c r="G16" i="20"/>
  <c r="G22" i="20" s="1"/>
  <c r="F16" i="20"/>
  <c r="E16" i="20"/>
  <c r="E22" i="20" s="1"/>
  <c r="D16" i="20"/>
  <c r="M22" i="20"/>
  <c r="L22" i="20"/>
  <c r="K22" i="20"/>
  <c r="I22" i="20"/>
  <c r="F22" i="20"/>
  <c r="M11" i="20"/>
  <c r="L11" i="20"/>
  <c r="K11" i="20"/>
  <c r="J11" i="20"/>
  <c r="I11" i="20"/>
  <c r="H11" i="20"/>
  <c r="G11" i="20"/>
  <c r="F11" i="20"/>
  <c r="E11" i="20"/>
  <c r="D11" i="20"/>
  <c r="M10" i="20"/>
  <c r="L10" i="20"/>
  <c r="K10" i="20"/>
  <c r="J10" i="20"/>
  <c r="I10" i="20"/>
  <c r="H10" i="20"/>
  <c r="G10" i="20"/>
  <c r="F10" i="20"/>
  <c r="E10" i="20"/>
  <c r="D10" i="20"/>
  <c r="M9" i="20"/>
  <c r="M13" i="20" s="1"/>
  <c r="L9" i="20"/>
  <c r="K9" i="20"/>
  <c r="K13" i="20" s="1"/>
  <c r="J9" i="20"/>
  <c r="J13" i="20" s="1"/>
  <c r="I9" i="20"/>
  <c r="I13" i="20" s="1"/>
  <c r="H9" i="20"/>
  <c r="G9" i="20"/>
  <c r="G13" i="20" s="1"/>
  <c r="F9" i="20"/>
  <c r="F13" i="20" s="1"/>
  <c r="E9" i="20"/>
  <c r="E13" i="20" s="1"/>
  <c r="D9" i="20"/>
  <c r="C22" i="17"/>
  <c r="M21" i="17"/>
  <c r="L21" i="17"/>
  <c r="K21" i="17"/>
  <c r="J21" i="17"/>
  <c r="I21" i="17"/>
  <c r="H21" i="17"/>
  <c r="G21" i="17"/>
  <c r="F21" i="17"/>
  <c r="E21" i="17"/>
  <c r="D21" i="17"/>
  <c r="M20" i="17"/>
  <c r="L20" i="17"/>
  <c r="K20" i="17"/>
  <c r="J20" i="17"/>
  <c r="I20" i="17"/>
  <c r="H20" i="17"/>
  <c r="G20" i="17"/>
  <c r="F20" i="17"/>
  <c r="E20" i="17"/>
  <c r="D20" i="17"/>
  <c r="M16" i="17"/>
  <c r="M22" i="17" s="1"/>
  <c r="L16" i="17"/>
  <c r="L22" i="17" s="1"/>
  <c r="K16" i="17"/>
  <c r="J16" i="17"/>
  <c r="J22" i="17" s="1"/>
  <c r="I16" i="17"/>
  <c r="I22" i="17" s="1"/>
  <c r="H16" i="17"/>
  <c r="G16" i="17"/>
  <c r="F16" i="17"/>
  <c r="F22" i="17" s="1"/>
  <c r="E16" i="17"/>
  <c r="E22" i="17" s="1"/>
  <c r="D16" i="17"/>
  <c r="D22" i="17" s="1"/>
  <c r="H22" i="17"/>
  <c r="C14" i="17"/>
  <c r="M13" i="17"/>
  <c r="L13" i="17"/>
  <c r="K13" i="17"/>
  <c r="J13" i="17"/>
  <c r="I13" i="17"/>
  <c r="H13" i="17"/>
  <c r="G13" i="17"/>
  <c r="F13" i="17"/>
  <c r="E13" i="17"/>
  <c r="D13" i="17"/>
  <c r="M12" i="17"/>
  <c r="L12" i="17"/>
  <c r="K12" i="17"/>
  <c r="K14" i="17" s="1"/>
  <c r="J12" i="17"/>
  <c r="I12" i="17"/>
  <c r="H12" i="17"/>
  <c r="G12" i="17"/>
  <c r="G14" i="17" s="1"/>
  <c r="F12" i="17"/>
  <c r="E12" i="17"/>
  <c r="D12" i="17"/>
  <c r="M14" i="17"/>
  <c r="L14" i="17"/>
  <c r="L23" i="17" s="1"/>
  <c r="J14" i="17"/>
  <c r="J23" i="17" s="1"/>
  <c r="I14" i="17"/>
  <c r="I23" i="17" s="1"/>
  <c r="H14" i="17"/>
  <c r="F14" i="17"/>
  <c r="F23" i="17" s="1"/>
  <c r="E14" i="17"/>
  <c r="E23" i="17" s="1"/>
  <c r="D14" i="17"/>
  <c r="D23" i="17" s="1"/>
  <c r="G22" i="17" l="1"/>
  <c r="G23" i="17" s="1"/>
  <c r="K22" i="17"/>
  <c r="K23" i="17" s="1"/>
  <c r="D13" i="20"/>
  <c r="H13" i="20"/>
  <c r="L13" i="20"/>
  <c r="D22" i="20"/>
  <c r="D23" i="20" s="1"/>
  <c r="H23" i="20"/>
  <c r="M23" i="17"/>
  <c r="C23" i="17"/>
  <c r="H23" i="17"/>
  <c r="F23" i="20"/>
  <c r="J23" i="20"/>
  <c r="L23" i="20"/>
  <c r="E23" i="20"/>
  <c r="I23" i="20"/>
  <c r="M23" i="20"/>
  <c r="G23" i="20"/>
  <c r="K23" i="20"/>
  <c r="M22" i="15" l="1"/>
  <c r="L22" i="15"/>
  <c r="K22" i="15"/>
  <c r="J22" i="15"/>
  <c r="I22" i="15"/>
  <c r="H22" i="15"/>
  <c r="G22" i="15"/>
  <c r="F22" i="15"/>
  <c r="E22" i="15"/>
  <c r="D22" i="15"/>
  <c r="M21" i="15"/>
  <c r="L21" i="15"/>
  <c r="K21" i="15"/>
  <c r="J21" i="15"/>
  <c r="I21" i="15"/>
  <c r="H21" i="15"/>
  <c r="G21" i="15"/>
  <c r="F21" i="15"/>
  <c r="E21" i="15"/>
  <c r="D21" i="15"/>
  <c r="M20" i="15"/>
  <c r="L20" i="15"/>
  <c r="K20" i="15"/>
  <c r="J20" i="15"/>
  <c r="I20" i="15"/>
  <c r="H20" i="15"/>
  <c r="G20" i="15"/>
  <c r="F20" i="15"/>
  <c r="E20" i="15"/>
  <c r="D20" i="15"/>
  <c r="M18" i="15"/>
  <c r="L18" i="15"/>
  <c r="K18" i="15"/>
  <c r="J18" i="15"/>
  <c r="I18" i="15"/>
  <c r="H18" i="15"/>
  <c r="G18" i="15"/>
  <c r="F18" i="15"/>
  <c r="E18" i="15"/>
  <c r="D18" i="15"/>
  <c r="M17" i="15"/>
  <c r="L17" i="15"/>
  <c r="K17" i="15"/>
  <c r="J17" i="15"/>
  <c r="I17" i="15"/>
  <c r="H17" i="15"/>
  <c r="G17" i="15"/>
  <c r="F17" i="15"/>
  <c r="E17" i="15"/>
  <c r="D17" i="15"/>
  <c r="M14" i="15"/>
  <c r="L14" i="15"/>
  <c r="K14" i="15"/>
  <c r="J14" i="15"/>
  <c r="I14" i="15"/>
  <c r="H14" i="15"/>
  <c r="G14" i="15"/>
  <c r="F14" i="15"/>
  <c r="E14" i="15"/>
  <c r="D14" i="15"/>
  <c r="M13" i="15"/>
  <c r="L13" i="15"/>
  <c r="K13" i="15"/>
  <c r="J13" i="15"/>
  <c r="I13" i="15"/>
  <c r="H13" i="15"/>
  <c r="G13" i="15"/>
  <c r="F13" i="15"/>
  <c r="E13" i="15"/>
  <c r="D13" i="15"/>
  <c r="M12" i="15"/>
  <c r="L12" i="15"/>
  <c r="K12" i="15"/>
  <c r="J12" i="15"/>
  <c r="I12" i="15"/>
  <c r="H12" i="15"/>
  <c r="G12" i="15"/>
  <c r="F12" i="15"/>
  <c r="E12" i="15"/>
  <c r="D12" i="15"/>
  <c r="M9" i="15"/>
  <c r="M15" i="15" s="1"/>
  <c r="M25" i="15" s="1"/>
  <c r="L9" i="15"/>
  <c r="K9" i="15"/>
  <c r="K15" i="15" s="1"/>
  <c r="K25" i="15" s="1"/>
  <c r="J9" i="15"/>
  <c r="J15" i="15" s="1"/>
  <c r="I9" i="15"/>
  <c r="I15" i="15" s="1"/>
  <c r="I25" i="15" s="1"/>
  <c r="H9" i="15"/>
  <c r="G9" i="15"/>
  <c r="G15" i="15" s="1"/>
  <c r="G25" i="15" s="1"/>
  <c r="F9" i="15"/>
  <c r="F15" i="15" s="1"/>
  <c r="F25" i="15" s="1"/>
  <c r="E9" i="15"/>
  <c r="E15" i="15" s="1"/>
  <c r="E25" i="15" s="1"/>
  <c r="D9" i="15"/>
  <c r="D15" i="15" l="1"/>
  <c r="D25" i="15" s="1"/>
  <c r="H15" i="15"/>
  <c r="L15" i="15"/>
  <c r="L25" i="15" s="1"/>
  <c r="H25" i="15"/>
  <c r="J25" i="15"/>
</calcChain>
</file>

<file path=xl/sharedStrings.xml><?xml version="1.0" encoding="utf-8"?>
<sst xmlns="http://schemas.openxmlformats.org/spreadsheetml/2006/main" count="416" uniqueCount="86">
  <si>
    <t>Хлеб ржаной</t>
  </si>
  <si>
    <t>Сыр</t>
  </si>
  <si>
    <t>Кондитерские изделия</t>
  </si>
  <si>
    <t>Хлеб белый</t>
  </si>
  <si>
    <t>Компот из сухофруктов</t>
  </si>
  <si>
    <t>Сок</t>
  </si>
  <si>
    <t>Рис отварной</t>
  </si>
  <si>
    <t>Рассольник Ленинградский</t>
  </si>
  <si>
    <t>Картофельное пюре</t>
  </si>
  <si>
    <r>
      <t>Неделя:</t>
    </r>
    <r>
      <rPr>
        <sz val="11"/>
        <color theme="1"/>
        <rFont val="Times New Roman"/>
        <family val="1"/>
        <charset val="204"/>
      </rPr>
      <t xml:space="preserve"> первая</t>
    </r>
  </si>
  <si>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</si>
  <si>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</si>
  <si>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</si>
  <si>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</si>
  <si>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</si>
  <si>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</si>
  <si>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</si>
  <si>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</si>
  <si>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</si>
  <si>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</si>
  <si>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</si>
  <si>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</si>
  <si>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2"/>
        <color theme="1"/>
        <rFont val="Times New Roman"/>
        <family val="1"/>
        <charset val="204"/>
      </rPr>
      <t>1</t>
    </r>
  </si>
  <si>
    <t>С</t>
  </si>
  <si>
    <t>Са</t>
  </si>
  <si>
    <t>Fe</t>
  </si>
  <si>
    <t>Завтрак</t>
  </si>
  <si>
    <t>1\1</t>
  </si>
  <si>
    <t>итого</t>
  </si>
  <si>
    <t>Обед</t>
  </si>
  <si>
    <t>Щи из свежей капусты</t>
  </si>
  <si>
    <t>1\2</t>
  </si>
  <si>
    <t>ИТОГО за день</t>
  </si>
  <si>
    <t>Борщ</t>
  </si>
  <si>
    <t>Рыба тушеная с овощами</t>
  </si>
  <si>
    <t>Компот из свежих яблок</t>
  </si>
  <si>
    <r>
      <t xml:space="preserve">День: </t>
    </r>
    <r>
      <rPr>
        <b/>
        <sz val="14"/>
        <color theme="1"/>
        <rFont val="Times New Roman"/>
        <family val="1"/>
        <charset val="204"/>
      </rPr>
      <t>Пятница</t>
    </r>
  </si>
  <si>
    <r>
      <t>Неделя:</t>
    </r>
    <r>
      <rPr>
        <sz val="11"/>
        <color theme="1"/>
        <rFont val="Times New Roman"/>
        <family val="1"/>
        <charset val="204"/>
      </rPr>
      <t xml:space="preserve"> вторая</t>
    </r>
  </si>
  <si>
    <t>Суп картофел с бобовыми</t>
  </si>
  <si>
    <t>P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</si>
  <si>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</si>
  <si>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Кофейный напиток с молоком</t>
  </si>
  <si>
    <t>Какао с молоком</t>
  </si>
  <si>
    <t xml:space="preserve">                                                </t>
  </si>
  <si>
    <t>Салат из моркови с сахаром</t>
  </si>
  <si>
    <t>Макароны отварные</t>
  </si>
  <si>
    <t>Фрукты</t>
  </si>
  <si>
    <t>Котлета рубленая (свин окорок)</t>
  </si>
  <si>
    <t>Рагу из свинины</t>
  </si>
  <si>
    <t>Суп картофел с фрикадельками</t>
  </si>
  <si>
    <t>Макароны отварные с сыром</t>
  </si>
  <si>
    <t>Картофель отварной</t>
  </si>
  <si>
    <t>Яйцо вареное</t>
  </si>
  <si>
    <t>День: Понедельник</t>
  </si>
  <si>
    <t>День: Вторник</t>
  </si>
  <si>
    <t>День: Среда</t>
  </si>
  <si>
    <t>День: Четверг</t>
  </si>
  <si>
    <t>Винегрет</t>
  </si>
  <si>
    <t>Запеканка из творога со сгущеным молоком</t>
  </si>
  <si>
    <t>Каша молочная вязкая овсяная(геркулес)</t>
  </si>
  <si>
    <t>День: Пятница</t>
  </si>
  <si>
    <r>
      <t>Возрастная категория:</t>
    </r>
    <r>
      <rPr>
        <sz val="11"/>
        <color theme="1"/>
        <rFont val="Times New Roman"/>
        <family val="1"/>
        <charset val="204"/>
      </rPr>
      <t xml:space="preserve">  7-11лет</t>
    </r>
  </si>
  <si>
    <r>
      <t>Возрастная категория:</t>
    </r>
    <r>
      <rPr>
        <sz val="11"/>
        <color theme="1"/>
        <rFont val="Times New Roman"/>
        <family val="1"/>
        <charset val="204"/>
      </rPr>
      <t xml:space="preserve">  7-11 лет</t>
    </r>
  </si>
  <si>
    <r>
      <t>Возрастная категория:</t>
    </r>
    <r>
      <rPr>
        <sz val="11"/>
        <color theme="1"/>
        <rFont val="Times New Roman"/>
        <family val="1"/>
        <charset val="204"/>
      </rPr>
      <t xml:space="preserve"> 7-11 лет</t>
    </r>
  </si>
  <si>
    <t xml:space="preserve">Норматив по САНПиН </t>
  </si>
  <si>
    <r>
      <t>Возрастная категория:</t>
    </r>
    <r>
      <rPr>
        <sz val="11"/>
        <color theme="1"/>
        <rFont val="Times New Roman"/>
        <family val="1"/>
        <charset val="204"/>
      </rPr>
      <t xml:space="preserve">  7--11 лет</t>
    </r>
  </si>
  <si>
    <t>Кисломолочный напиток</t>
  </si>
  <si>
    <t>Каша гречневая рассыпчатая</t>
  </si>
  <si>
    <t>Вареники ленивые с творогом и  сметаной</t>
  </si>
  <si>
    <t>Молоко кипяченое</t>
  </si>
  <si>
    <t>Чай с сахаром и лимоном</t>
  </si>
  <si>
    <t>Каша рассыпчатая"Артек"</t>
  </si>
  <si>
    <t>Икра кабачковая(пром.пр-во)</t>
  </si>
  <si>
    <t>Гуляш из свинины</t>
  </si>
  <si>
    <t>Салат из свеклы</t>
  </si>
  <si>
    <t xml:space="preserve">Чай с сахаром </t>
  </si>
  <si>
    <t>Жаркое по домашнему</t>
  </si>
  <si>
    <t>С-т из белокачанной  капусты</t>
  </si>
  <si>
    <t>Каша вязкая молочная рисовая</t>
  </si>
  <si>
    <t>Запеканка из творога со сгущ.молоком</t>
  </si>
  <si>
    <t>Мясо Тушеное</t>
  </si>
  <si>
    <t xml:space="preserve">Плов </t>
  </si>
  <si>
    <t>Суп картофельный с макароными изделиями</t>
  </si>
  <si>
    <t>День: понедельник</t>
  </si>
  <si>
    <t>День:среда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</si>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</sst>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vertAlign val="subscript"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48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3" borderId="0" xfId="0" applyFill="1" applyAlignment="1">
      <alignment vertical="top"/>
    </xf>
    <xf numFmtId="0" fontId="0" fillId="3" borderId="2" xfId="0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164" fontId="8" fillId="3" borderId="1" xfId="0" applyNumberFormat="1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center" vertical="top" wrapText="1"/>
    </xf>
    <xf numFmtId="1" fontId="8" fillId="3" borderId="0" xfId="0" applyNumberFormat="1" applyFont="1" applyFill="1" applyBorder="1" applyAlignment="1">
      <alignment horizontal="center" vertical="top" wrapText="1"/>
    </xf>
    <xf numFmtId="164" fontId="8" fillId="3" borderId="0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top" wrapText="1"/>
    </xf>
    <xf numFmtId="0" fontId="0" fillId="3" borderId="0" xfId="0" applyFont="1" applyFill="1" applyAlignment="1">
      <alignment vertical="top"/>
    </xf>
    <xf numFmtId="0" fontId="1" fillId="3" borderId="1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1" fontId="1" fillId="3" borderId="1" xfId="0" applyNumberFormat="1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horizontal="center" vertical="top" wrapText="1"/>
    </xf>
    <xf numFmtId="164" fontId="1" fillId="3" borderId="1" xfId="0" applyNumberFormat="1" applyFont="1" applyFill="1" applyBorder="1" applyAlignment="1">
      <alignment horizontal="center" vertical="top" wrapText="1"/>
    </xf>
    <xf numFmtId="0" fontId="0" fillId="3" borderId="0" xfId="0" applyFill="1" applyAlignment="1">
      <alignment vertical="top" wrapText="1"/>
    </xf>
    <xf numFmtId="0" fontId="1" fillId="0" borderId="1" xfId="0" applyFont="1" applyFill="1" applyBorder="1" applyAlignment="1">
      <alignment wrapText="1"/>
    </xf>
    <xf numFmtId="0" fontId="12" fillId="3" borderId="0" xfId="0" applyFont="1" applyFill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2" fontId="8" fillId="0" borderId="1" xfId="0" applyNumberFormat="1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1" fillId="3" borderId="1" xfId="0" applyNumberFormat="1" applyFont="1" applyFill="1" applyBorder="1" applyAlignment="1">
      <alignment horizontal="center" vertical="top" wrapText="1"/>
    </xf>
    <xf numFmtId="0" fontId="8" fillId="0" borderId="1" xfId="0" applyNumberFormat="1" applyFont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/>
    </xf>
    <xf numFmtId="1" fontId="2" fillId="0" borderId="1" xfId="0" applyNumberFormat="1" applyFont="1" applyFill="1" applyBorder="1" applyAlignment="1">
      <alignment horizontal="center" vertical="top"/>
    </xf>
    <xf numFmtId="164" fontId="2" fillId="0" borderId="1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1" fontId="9" fillId="0" borderId="1" xfId="0" applyNumberFormat="1" applyFont="1" applyBorder="1" applyAlignment="1">
      <alignment horizontal="center" vertical="top" wrapText="1"/>
    </xf>
    <xf numFmtId="164" fontId="9" fillId="0" borderId="1" xfId="0" applyNumberFormat="1" applyFont="1" applyBorder="1" applyAlignment="1">
      <alignment horizontal="center" vertical="top" wrapText="1"/>
    </xf>
    <xf numFmtId="0" fontId="2" fillId="3" borderId="1" xfId="0" applyNumberFormat="1" applyFont="1" applyFill="1" applyBorder="1" applyAlignment="1">
      <alignment horizontal="center" vertical="top" wrapText="1"/>
    </xf>
    <xf numFmtId="0" fontId="2" fillId="3" borderId="0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left" vertical="top" wrapText="1"/>
    </xf>
    <xf numFmtId="1" fontId="8" fillId="0" borderId="1" xfId="0" applyNumberFormat="1" applyFont="1" applyBorder="1" applyAlignment="1">
      <alignment vertical="top" wrapText="1"/>
    </xf>
    <xf numFmtId="0" fontId="4" fillId="3" borderId="12" xfId="0" applyFont="1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2" fontId="8" fillId="0" borderId="1" xfId="0" applyNumberFormat="1" applyFont="1" applyBorder="1" applyAlignment="1">
      <alignment vertical="top" wrapText="1"/>
    </xf>
    <xf numFmtId="0" fontId="1" fillId="3" borderId="1" xfId="0" applyNumberFormat="1" applyFont="1" applyFill="1" applyBorder="1" applyAlignment="1">
      <alignment vertical="top" wrapText="1"/>
    </xf>
    <xf numFmtId="0" fontId="8" fillId="0" borderId="1" xfId="0" applyNumberFormat="1" applyFont="1" applyBorder="1" applyAlignment="1">
      <alignment vertical="top" wrapText="1"/>
    </xf>
    <xf numFmtId="1" fontId="8" fillId="3" borderId="0" xfId="0" applyNumberFormat="1" applyFont="1" applyFill="1" applyBorder="1" applyAlignment="1">
      <alignment horizontal="center" vertical="top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164" fontId="14" fillId="0" borderId="1" xfId="0" applyNumberFormat="1" applyFont="1" applyBorder="1" applyAlignment="1">
      <alignment horizontal="center" vertical="top" wrapText="1"/>
    </xf>
    <xf numFmtId="0" fontId="15" fillId="3" borderId="0" xfId="0" applyFont="1" applyFill="1" applyAlignment="1">
      <alignment vertical="top"/>
    </xf>
    <xf numFmtId="16" fontId="1" fillId="0" borderId="1" xfId="0" applyNumberFormat="1" applyFont="1" applyFill="1" applyBorder="1" applyAlignment="1">
      <alignment vertical="top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2" fillId="2" borderId="3" xfId="0" applyFont="1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4" fillId="3" borderId="4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4" fillId="3" borderId="8" xfId="0" applyFont="1" applyFill="1" applyBorder="1" applyAlignment="1">
      <alignment horizontal="center" vertical="top" wrapText="1"/>
    </xf>
    <xf numFmtId="0" fontId="4" fillId="3" borderId="11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4" fillId="3" borderId="11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6" xfId="0" applyFont="1" applyFill="1" applyBorder="1" applyAlignment="1">
      <alignment vertical="top" wrapText="1"/>
    </xf>
    <xf numFmtId="0" fontId="4" fillId="3" borderId="7" xfId="0" applyFont="1" applyFill="1" applyBorder="1" applyAlignment="1">
      <alignment vertical="top" wrapText="1"/>
    </xf>
    <xf numFmtId="0" fontId="4" fillId="3" borderId="9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6"/>
  <sheetViews>
    <sheetView showWhiteSpace="0" view="pageBreakPreview" topLeftCell="A2" zoomScale="80" zoomScaleNormal="70" zoomScaleSheetLayoutView="80" zoomScalePageLayoutView="70" workbookViewId="0">
      <selection activeCell="O20" sqref="O20"/>
    </sheetView>
  </sheetViews>
  <sheetFormatPr defaultColWidth="9.140625" defaultRowHeight="15" x14ac:dyDescent="0.25"/>
  <cols>
    <col min="1" max="1" width="9.140625" style="1"/>
    <col min="2" max="2" width="27.140625" style="1" customWidth="1"/>
    <col min="3" max="3" width="8.7109375" style="1" customWidth="1"/>
    <col min="4" max="4" width="7.28515625" style="1" customWidth="1"/>
    <col min="5" max="5" width="7.7109375" style="1" customWidth="1"/>
    <col min="6" max="6" width="9.28515625" style="1" customWidth="1"/>
    <col min="7" max="8" width="9.5703125" style="1" customWidth="1"/>
    <col min="9" max="9" width="7.5703125" style="1" customWidth="1"/>
    <col min="10" max="10" width="6.7109375" style="1" customWidth="1"/>
    <col min="11" max="11" width="8.5703125" style="1" customWidth="1"/>
    <col min="12" max="13" width="9.28515625" style="1" customWidth="1"/>
    <col min="14" max="16384" width="9.140625" style="1"/>
  </cols>
  <sheetData>
    <row r="1" spans="1:22" ht="0.6" customHeight="1" x14ac:dyDescent="0.25">
      <c r="A1" s="43"/>
      <c r="B1" s="8"/>
      <c r="C1" s="13"/>
      <c r="D1" s="10"/>
      <c r="E1" s="10"/>
      <c r="F1" s="10"/>
      <c r="G1" s="10"/>
      <c r="H1" s="10"/>
      <c r="I1" s="11"/>
      <c r="J1" s="10"/>
      <c r="K1" s="10"/>
      <c r="L1" s="10"/>
      <c r="M1" s="10"/>
    </row>
    <row r="2" spans="1:22" x14ac:dyDescent="0.25">
      <c r="A2" s="71" t="s">
        <v>53</v>
      </c>
      <c r="B2" s="72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22" x14ac:dyDescent="0.25">
      <c r="A3" s="71" t="s">
        <v>9</v>
      </c>
      <c r="B3" s="72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22" ht="15.75" thickBot="1" x14ac:dyDescent="0.3">
      <c r="A4" s="73" t="s">
        <v>63</v>
      </c>
      <c r="B4" s="7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22" x14ac:dyDescent="0.25">
      <c r="A5" s="75" t="s">
        <v>10</v>
      </c>
      <c r="B5" s="75" t="s">
        <v>11</v>
      </c>
      <c r="C5" s="75" t="s">
        <v>12</v>
      </c>
      <c r="D5" s="65" t="s">
        <v>13</v>
      </c>
      <c r="E5" s="66"/>
      <c r="F5" s="67"/>
      <c r="G5" s="80" t="s">
        <v>14</v>
      </c>
      <c r="H5" s="65" t="s">
        <v>15</v>
      </c>
      <c r="I5" s="66"/>
      <c r="J5" s="67"/>
      <c r="K5" s="65" t="s">
        <v>16</v>
      </c>
      <c r="L5" s="66"/>
      <c r="M5" s="67"/>
    </row>
    <row r="6" spans="1:22" ht="15.75" thickBot="1" x14ac:dyDescent="0.3">
      <c r="A6" s="76"/>
      <c r="B6" s="78"/>
      <c r="C6" s="78"/>
      <c r="D6" s="68" t="s">
        <v>17</v>
      </c>
      <c r="E6" s="69"/>
      <c r="F6" s="70"/>
      <c r="G6" s="81"/>
      <c r="H6" s="68"/>
      <c r="I6" s="69"/>
      <c r="J6" s="70"/>
      <c r="K6" s="68"/>
      <c r="L6" s="69"/>
      <c r="M6" s="70"/>
    </row>
    <row r="7" spans="1:22" ht="17.25" thickBot="1" x14ac:dyDescent="0.3">
      <c r="A7" s="77"/>
      <c r="B7" s="79"/>
      <c r="C7" s="79"/>
      <c r="D7" s="15" t="s">
        <v>18</v>
      </c>
      <c r="E7" s="15" t="s">
        <v>19</v>
      </c>
      <c r="F7" s="15" t="s">
        <v>20</v>
      </c>
      <c r="G7" s="82"/>
      <c r="H7" s="15" t="s">
        <v>21</v>
      </c>
      <c r="I7" s="15" t="s">
        <v>40</v>
      </c>
      <c r="J7" s="15" t="s">
        <v>23</v>
      </c>
      <c r="K7" s="15" t="s">
        <v>24</v>
      </c>
      <c r="L7" s="15" t="s">
        <v>39</v>
      </c>
      <c r="M7" s="15" t="s">
        <v>25</v>
      </c>
    </row>
    <row r="8" spans="1:22" ht="18.75" x14ac:dyDescent="0.25">
      <c r="A8" s="2"/>
      <c r="B8" s="27" t="s">
        <v>26</v>
      </c>
      <c r="C8" s="3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22" ht="20.45" customHeight="1" x14ac:dyDescent="0.25">
      <c r="A9" s="6">
        <v>309</v>
      </c>
      <c r="B9" s="24" t="s">
        <v>45</v>
      </c>
      <c r="C9" s="25">
        <v>180</v>
      </c>
      <c r="D9" s="6">
        <f>36.8*C9/1000</f>
        <v>6.6239999999999988</v>
      </c>
      <c r="E9" s="6">
        <f>30.1*C9/1000</f>
        <v>5.4180000000000001</v>
      </c>
      <c r="F9" s="6">
        <f>176.3*C9/1000</f>
        <v>31.734000000000005</v>
      </c>
      <c r="G9" s="6">
        <f>1123*C9/1000</f>
        <v>202.14</v>
      </c>
      <c r="H9" s="6">
        <f>0</f>
        <v>0</v>
      </c>
      <c r="I9" s="6">
        <f>0.4*C9/1000</f>
        <v>7.1999999999999995E-2</v>
      </c>
      <c r="J9" s="6">
        <f>0</f>
        <v>0</v>
      </c>
      <c r="K9" s="6">
        <f>32.4*C9/1000</f>
        <v>5.8319999999999999</v>
      </c>
      <c r="L9" s="6">
        <f>247.8*C9/1000</f>
        <v>44.603999999999999</v>
      </c>
      <c r="M9" s="6">
        <f>7.4*C9/1000</f>
        <v>1.3320000000000001</v>
      </c>
      <c r="V9" s="23"/>
    </row>
    <row r="10" spans="1:22" x14ac:dyDescent="0.25">
      <c r="A10" s="6">
        <v>229</v>
      </c>
      <c r="B10" s="24" t="s">
        <v>34</v>
      </c>
      <c r="C10" s="25">
        <v>100</v>
      </c>
      <c r="D10" s="6">
        <v>13.65</v>
      </c>
      <c r="E10" s="6">
        <v>6.93</v>
      </c>
      <c r="F10" s="6">
        <v>5.32</v>
      </c>
      <c r="G10" s="6">
        <v>147</v>
      </c>
      <c r="H10" s="6">
        <v>8.1479999999999997</v>
      </c>
      <c r="I10" s="6">
        <v>7.0000000000000007E-2</v>
      </c>
      <c r="J10" s="6">
        <v>5.2220000000000004</v>
      </c>
      <c r="K10" s="6">
        <v>54.698</v>
      </c>
      <c r="L10" s="6">
        <v>227.066</v>
      </c>
      <c r="M10" s="6">
        <v>1.19</v>
      </c>
    </row>
    <row r="11" spans="1:22" x14ac:dyDescent="0.25">
      <c r="A11" s="6">
        <v>376</v>
      </c>
      <c r="B11" s="24" t="s">
        <v>5</v>
      </c>
      <c r="C11" s="25">
        <v>200</v>
      </c>
      <c r="D11" s="6">
        <f>5*C11/1000</f>
        <v>1</v>
      </c>
      <c r="E11" s="6">
        <f>0</f>
        <v>0</v>
      </c>
      <c r="F11" s="6">
        <f>101*C11/1000</f>
        <v>20.2</v>
      </c>
      <c r="G11" s="6">
        <f>424*C11/1000</f>
        <v>84.8</v>
      </c>
      <c r="H11" s="6">
        <f>0</f>
        <v>0</v>
      </c>
      <c r="I11" s="6">
        <f>0.1*C11/1000</f>
        <v>0.02</v>
      </c>
      <c r="J11" s="6">
        <f>20*C11/1000</f>
        <v>4</v>
      </c>
      <c r="K11" s="6">
        <f>70*C11/1000</f>
        <v>14</v>
      </c>
      <c r="L11" s="6">
        <f>70*C11/1000</f>
        <v>14</v>
      </c>
      <c r="M11" s="6">
        <f>14*C11/1000</f>
        <v>2.8</v>
      </c>
    </row>
    <row r="12" spans="1:22" x14ac:dyDescent="0.25">
      <c r="A12" s="28" t="s">
        <v>27</v>
      </c>
      <c r="B12" s="24" t="s">
        <v>3</v>
      </c>
      <c r="C12" s="25">
        <v>40</v>
      </c>
      <c r="D12" s="6">
        <f>107*C12/1000</f>
        <v>4.28</v>
      </c>
      <c r="E12" s="6">
        <f>45*C12/1000</f>
        <v>1.8</v>
      </c>
      <c r="F12" s="6">
        <f>435*C12/1000</f>
        <v>17.399999999999999</v>
      </c>
      <c r="G12" s="6">
        <f>2740*C12/1000</f>
        <v>109.6</v>
      </c>
      <c r="H12" s="6">
        <f>0</f>
        <v>0</v>
      </c>
      <c r="I12" s="6">
        <f>4.1*C12/1000</f>
        <v>0.16400000000000001</v>
      </c>
      <c r="J12" s="6">
        <f>2*C12/1000</f>
        <v>0.08</v>
      </c>
      <c r="K12" s="6">
        <f>1250*C12/1000</f>
        <v>50</v>
      </c>
      <c r="L12" s="6">
        <f>1290*C12/1000</f>
        <v>51.6</v>
      </c>
      <c r="M12" s="6">
        <f>36*C12/1000</f>
        <v>1.44</v>
      </c>
    </row>
    <row r="13" spans="1:22" x14ac:dyDescent="0.25">
      <c r="A13" s="29" t="s">
        <v>31</v>
      </c>
      <c r="B13" s="24" t="s">
        <v>0</v>
      </c>
      <c r="C13" s="25">
        <v>20</v>
      </c>
      <c r="D13" s="26">
        <f>85*C13/1000</f>
        <v>1.7</v>
      </c>
      <c r="E13" s="26">
        <f>33*C13/1000</f>
        <v>0.66</v>
      </c>
      <c r="F13" s="26">
        <f>425*C13/1000</f>
        <v>8.5</v>
      </c>
      <c r="G13" s="26">
        <f>2590*C13/1000</f>
        <v>51.8</v>
      </c>
      <c r="H13" s="30">
        <f>0</f>
        <v>0</v>
      </c>
      <c r="I13" s="26">
        <f>4.3*C13/1000</f>
        <v>8.5999999999999993E-2</v>
      </c>
      <c r="J13" s="26">
        <f>4*C13/1000</f>
        <v>0.08</v>
      </c>
      <c r="K13" s="26">
        <f>730*C13/1000</f>
        <v>14.6</v>
      </c>
      <c r="L13" s="26">
        <f>1250*C13/1000</f>
        <v>25</v>
      </c>
      <c r="M13" s="26">
        <f>28.3*C13/1000</f>
        <v>0.56599999999999995</v>
      </c>
    </row>
    <row r="14" spans="1:22" x14ac:dyDescent="0.25">
      <c r="A14" s="6"/>
      <c r="B14" s="31" t="s">
        <v>28</v>
      </c>
      <c r="C14" s="40">
        <f t="shared" ref="C14:M14" si="0">SUM(C9:C13)</f>
        <v>540</v>
      </c>
      <c r="D14" s="33">
        <f t="shared" si="0"/>
        <v>27.254000000000001</v>
      </c>
      <c r="E14" s="33">
        <f t="shared" si="0"/>
        <v>14.808</v>
      </c>
      <c r="F14" s="33">
        <f t="shared" si="0"/>
        <v>83.153999999999996</v>
      </c>
      <c r="G14" s="33">
        <f t="shared" si="0"/>
        <v>595.33999999999992</v>
      </c>
      <c r="H14" s="33">
        <f t="shared" si="0"/>
        <v>8.1479999999999997</v>
      </c>
      <c r="I14" s="33">
        <f t="shared" si="0"/>
        <v>0.41200000000000003</v>
      </c>
      <c r="J14" s="33">
        <f t="shared" si="0"/>
        <v>9.3820000000000014</v>
      </c>
      <c r="K14" s="33">
        <f t="shared" si="0"/>
        <v>139.13</v>
      </c>
      <c r="L14" s="33">
        <f t="shared" si="0"/>
        <v>362.27000000000004</v>
      </c>
      <c r="M14" s="33">
        <f t="shared" si="0"/>
        <v>7.3280000000000003</v>
      </c>
    </row>
    <row r="15" spans="1:22" ht="18.75" x14ac:dyDescent="0.25">
      <c r="A15" s="6"/>
      <c r="B15" s="34" t="s">
        <v>29</v>
      </c>
      <c r="C15" s="4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22" x14ac:dyDescent="0.25">
      <c r="A16" s="6">
        <v>82</v>
      </c>
      <c r="B16" s="24" t="s">
        <v>33</v>
      </c>
      <c r="C16" s="25">
        <v>200</v>
      </c>
      <c r="D16" s="6">
        <f>6.4*C16/1000</f>
        <v>1.28</v>
      </c>
      <c r="E16" s="6">
        <f>19.4*C16/1000</f>
        <v>3.8799999999999994</v>
      </c>
      <c r="F16" s="6">
        <f>34.3*C16/1000</f>
        <v>6.8599999999999994</v>
      </c>
      <c r="G16" s="6">
        <f>365*C16/1000</f>
        <v>73</v>
      </c>
      <c r="H16" s="6">
        <f>0</f>
        <v>0</v>
      </c>
      <c r="I16" s="6">
        <f>0.1*C16/1000</f>
        <v>0.02</v>
      </c>
      <c r="J16" s="6">
        <f>43.7*C16/1000</f>
        <v>8.74</v>
      </c>
      <c r="K16" s="6">
        <f>210.1*C16/1000</f>
        <v>42.02</v>
      </c>
      <c r="L16" s="6">
        <f>184.4*C16/1000</f>
        <v>36.880000000000003</v>
      </c>
      <c r="M16" s="6">
        <f>4.4*C16/1000</f>
        <v>0.88000000000000012</v>
      </c>
    </row>
    <row r="17" spans="1:13" x14ac:dyDescent="0.25">
      <c r="A17" s="6">
        <v>259</v>
      </c>
      <c r="B17" s="24" t="s">
        <v>76</v>
      </c>
      <c r="C17" s="25">
        <v>200</v>
      </c>
      <c r="D17" s="6">
        <v>14.1</v>
      </c>
      <c r="E17" s="6">
        <v>33.799999999999997</v>
      </c>
      <c r="F17" s="6">
        <v>18.899999999999999</v>
      </c>
      <c r="G17" s="6">
        <v>437.8</v>
      </c>
      <c r="H17" s="6">
        <v>0</v>
      </c>
      <c r="I17" s="6">
        <v>1.04</v>
      </c>
      <c r="J17" s="6">
        <v>7.7</v>
      </c>
      <c r="K17" s="6">
        <v>32.799999999999997</v>
      </c>
      <c r="L17" s="6">
        <v>205.6</v>
      </c>
      <c r="M17" s="6">
        <v>3.5</v>
      </c>
    </row>
    <row r="18" spans="1:13" x14ac:dyDescent="0.25">
      <c r="A18" s="6">
        <v>45</v>
      </c>
      <c r="B18" s="24" t="s">
        <v>77</v>
      </c>
      <c r="C18" s="25">
        <v>100</v>
      </c>
      <c r="D18" s="19">
        <v>1.3</v>
      </c>
      <c r="E18" s="19">
        <v>3.3</v>
      </c>
      <c r="F18" s="19">
        <v>6.5</v>
      </c>
      <c r="G18" s="19">
        <v>60.4</v>
      </c>
      <c r="H18" s="19">
        <v>0</v>
      </c>
      <c r="I18" s="19">
        <v>0</v>
      </c>
      <c r="J18" s="19">
        <v>17.100000000000001</v>
      </c>
      <c r="K18" s="19">
        <v>25</v>
      </c>
      <c r="L18" s="19">
        <v>28.3</v>
      </c>
      <c r="M18" s="19">
        <v>0.5</v>
      </c>
    </row>
    <row r="19" spans="1:13" x14ac:dyDescent="0.25">
      <c r="A19" s="6">
        <v>342</v>
      </c>
      <c r="B19" s="24" t="s">
        <v>35</v>
      </c>
      <c r="C19" s="25">
        <v>200</v>
      </c>
      <c r="D19" s="6">
        <f>0.8*C19/1000</f>
        <v>0.16</v>
      </c>
      <c r="E19" s="6">
        <f>0.8*C19/1000</f>
        <v>0.16</v>
      </c>
      <c r="F19" s="6">
        <f>139.4*C19/1000</f>
        <v>27.88</v>
      </c>
      <c r="G19" s="6">
        <f>573*C19/1000</f>
        <v>114.6</v>
      </c>
      <c r="H19" s="6">
        <f>0</f>
        <v>0</v>
      </c>
      <c r="I19" s="6">
        <f>0.1*C18/1000</f>
        <v>0.01</v>
      </c>
      <c r="J19" s="6">
        <f>5.5*C19/1000</f>
        <v>1.1000000000000001</v>
      </c>
      <c r="K19" s="6">
        <f>70.9*C19/1000</f>
        <v>14.180000000000001</v>
      </c>
      <c r="L19" s="6">
        <f>22*C19/1000</f>
        <v>4.4000000000000004</v>
      </c>
      <c r="M19" s="6">
        <f>4.8*C19/1000</f>
        <v>0.96</v>
      </c>
    </row>
    <row r="20" spans="1:13" x14ac:dyDescent="0.25">
      <c r="A20" s="28" t="s">
        <v>27</v>
      </c>
      <c r="B20" s="24" t="s">
        <v>3</v>
      </c>
      <c r="C20" s="25">
        <v>50</v>
      </c>
      <c r="D20" s="6">
        <f>107*C20/1000</f>
        <v>5.35</v>
      </c>
      <c r="E20" s="6">
        <f>45*C20/1000</f>
        <v>2.25</v>
      </c>
      <c r="F20" s="6">
        <f>435*C20/1000</f>
        <v>21.75</v>
      </c>
      <c r="G20" s="6">
        <f>2740*C20/1000</f>
        <v>137</v>
      </c>
      <c r="H20" s="6">
        <f>0</f>
        <v>0</v>
      </c>
      <c r="I20" s="6">
        <f>4.1*C20/1000</f>
        <v>0.20499999999999996</v>
      </c>
      <c r="J20" s="6">
        <f>2*C20/1000</f>
        <v>0.1</v>
      </c>
      <c r="K20" s="6">
        <f>1250*C20/1000</f>
        <v>62.5</v>
      </c>
      <c r="L20" s="6">
        <f>1290*C20/1000</f>
        <v>64.5</v>
      </c>
      <c r="M20" s="6">
        <f>36*C20/1000</f>
        <v>1.8</v>
      </c>
    </row>
    <row r="21" spans="1:13" x14ac:dyDescent="0.25">
      <c r="A21" s="29" t="s">
        <v>31</v>
      </c>
      <c r="B21" s="24" t="s">
        <v>0</v>
      </c>
      <c r="C21" s="25">
        <v>30</v>
      </c>
      <c r="D21" s="26">
        <f>85*C21/1000</f>
        <v>2.5499999999999998</v>
      </c>
      <c r="E21" s="26">
        <f>33*C21/1000</f>
        <v>0.99</v>
      </c>
      <c r="F21" s="26">
        <f>425*C21/1000</f>
        <v>12.75</v>
      </c>
      <c r="G21" s="26">
        <f>2590*C21/1000</f>
        <v>77.7</v>
      </c>
      <c r="H21" s="30">
        <f>0</f>
        <v>0</v>
      </c>
      <c r="I21" s="26">
        <f>4.3*C21/1000</f>
        <v>0.129</v>
      </c>
      <c r="J21" s="26">
        <f>4*C21/1000</f>
        <v>0.12</v>
      </c>
      <c r="K21" s="26">
        <f>730*C21/1000</f>
        <v>21.9</v>
      </c>
      <c r="L21" s="26">
        <f>1250*C21/1000</f>
        <v>37.5</v>
      </c>
      <c r="M21" s="26">
        <f>28.3*C21/1000</f>
        <v>0.84899999999999998</v>
      </c>
    </row>
    <row r="22" spans="1:13" x14ac:dyDescent="0.25">
      <c r="A22" s="41"/>
      <c r="B22" s="31" t="s">
        <v>28</v>
      </c>
      <c r="C22" s="40">
        <f t="shared" ref="C22:M22" si="1">SUM(C16:C21)</f>
        <v>780</v>
      </c>
      <c r="D22" s="33">
        <f t="shared" si="1"/>
        <v>24.74</v>
      </c>
      <c r="E22" s="33">
        <f t="shared" si="1"/>
        <v>44.379999999999995</v>
      </c>
      <c r="F22" s="33">
        <f t="shared" si="1"/>
        <v>94.64</v>
      </c>
      <c r="G22" s="33">
        <f t="shared" si="1"/>
        <v>900.50000000000011</v>
      </c>
      <c r="H22" s="33">
        <f t="shared" si="1"/>
        <v>0</v>
      </c>
      <c r="I22" s="33">
        <f t="shared" si="1"/>
        <v>1.4039999999999999</v>
      </c>
      <c r="J22" s="33">
        <f t="shared" si="1"/>
        <v>34.860000000000007</v>
      </c>
      <c r="K22" s="33">
        <f t="shared" si="1"/>
        <v>198.4</v>
      </c>
      <c r="L22" s="33">
        <f t="shared" si="1"/>
        <v>377.17999999999995</v>
      </c>
      <c r="M22" s="33">
        <f t="shared" si="1"/>
        <v>8.488999999999999</v>
      </c>
    </row>
    <row r="23" spans="1:13" ht="18.75" x14ac:dyDescent="0.25">
      <c r="A23" s="41"/>
      <c r="B23" s="35" t="s">
        <v>32</v>
      </c>
      <c r="C23" s="42">
        <f t="shared" ref="C23:M23" si="2">C14+C22</f>
        <v>1320</v>
      </c>
      <c r="D23" s="37">
        <f t="shared" si="2"/>
        <v>51.994</v>
      </c>
      <c r="E23" s="37">
        <f t="shared" si="2"/>
        <v>59.187999999999995</v>
      </c>
      <c r="F23" s="37">
        <f t="shared" si="2"/>
        <v>177.79399999999998</v>
      </c>
      <c r="G23" s="37">
        <f t="shared" si="2"/>
        <v>1495.8400000000001</v>
      </c>
      <c r="H23" s="37">
        <f t="shared" si="2"/>
        <v>8.1479999999999997</v>
      </c>
      <c r="I23" s="37">
        <f t="shared" si="2"/>
        <v>1.8159999999999998</v>
      </c>
      <c r="J23" s="37">
        <f t="shared" si="2"/>
        <v>44.242000000000004</v>
      </c>
      <c r="K23" s="37">
        <f t="shared" si="2"/>
        <v>337.53</v>
      </c>
      <c r="L23" s="37">
        <f t="shared" si="2"/>
        <v>739.45</v>
      </c>
      <c r="M23" s="37">
        <f t="shared" si="2"/>
        <v>15.817</v>
      </c>
    </row>
    <row r="24" spans="1:13" ht="17.25" customHeight="1" x14ac:dyDescent="0.25">
      <c r="A24" s="38"/>
      <c r="B24" s="5" t="s">
        <v>64</v>
      </c>
      <c r="C24" s="6">
        <v>1200</v>
      </c>
      <c r="D24" s="7">
        <v>45</v>
      </c>
      <c r="E24" s="7">
        <v>46</v>
      </c>
      <c r="F24" s="7">
        <v>192</v>
      </c>
      <c r="G24" s="7">
        <v>1360</v>
      </c>
      <c r="H24" s="7">
        <v>450</v>
      </c>
      <c r="I24" s="7">
        <v>0.7</v>
      </c>
      <c r="J24" s="7">
        <v>35</v>
      </c>
      <c r="K24" s="7">
        <v>600</v>
      </c>
      <c r="L24" s="7">
        <v>600</v>
      </c>
      <c r="M24" s="7">
        <v>9</v>
      </c>
    </row>
    <row r="25" spans="1:13" ht="17.25" customHeight="1" x14ac:dyDescent="0.25">
      <c r="A25" s="39"/>
      <c r="B25" s="8"/>
      <c r="C25" s="9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ht="13.9" customHeight="1" x14ac:dyDescent="0.25">
      <c r="A26" s="39"/>
      <c r="B26" s="8"/>
      <c r="C26" s="9"/>
      <c r="D26" s="11"/>
      <c r="E26" s="11"/>
      <c r="F26" s="11"/>
      <c r="G26" s="11"/>
      <c r="H26" s="11"/>
      <c r="I26" s="11"/>
      <c r="J26" s="11"/>
      <c r="K26" s="11"/>
      <c r="L26" s="11"/>
      <c r="M26" s="11"/>
    </row>
  </sheetData>
  <mergeCells count="11">
    <mergeCell ref="H5:J6"/>
    <mergeCell ref="K5:M6"/>
    <mergeCell ref="D6:F6"/>
    <mergeCell ref="A2:B2"/>
    <mergeCell ref="A3:B3"/>
    <mergeCell ref="A4:B4"/>
    <mergeCell ref="A5:A7"/>
    <mergeCell ref="B5:B7"/>
    <mergeCell ref="C5:C7"/>
    <mergeCell ref="D5:F5"/>
    <mergeCell ref="G5:G7"/>
  </mergeCells>
  <pageMargins left="0.7" right="0.7" top="0.75" bottom="0.75" header="0.3" footer="0.3"/>
  <pageSetup paperSize="9" scale="87" fitToWidth="0" orientation="landscape" r:id="rId1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1"/>
  <sheetViews>
    <sheetView showWhiteSpace="0" view="pageBreakPreview" zoomScale="80" zoomScaleNormal="70" zoomScaleSheetLayoutView="80" zoomScalePageLayoutView="70" workbookViewId="0">
      <selection activeCell="B28" sqref="B28"/>
    </sheetView>
  </sheetViews>
  <sheetFormatPr defaultColWidth="9.140625" defaultRowHeight="15" x14ac:dyDescent="0.25"/>
  <cols>
    <col min="1" max="1" width="9.140625" style="1"/>
    <col min="2" max="2" width="28.5703125" style="1" customWidth="1"/>
    <col min="3" max="3" width="8.7109375" style="1" customWidth="1"/>
    <col min="4" max="4" width="7.28515625" style="1" customWidth="1"/>
    <col min="5" max="5" width="7.7109375" style="1" customWidth="1"/>
    <col min="6" max="6" width="9.28515625" style="1" customWidth="1"/>
    <col min="7" max="7" width="9.5703125" style="1" customWidth="1"/>
    <col min="8" max="8" width="9.42578125" style="1" customWidth="1"/>
    <col min="9" max="9" width="8.28515625" style="1" customWidth="1"/>
    <col min="10" max="10" width="6.7109375" style="1" customWidth="1"/>
    <col min="11" max="11" width="8.5703125" style="1" customWidth="1"/>
    <col min="12" max="13" width="9.28515625" style="1" customWidth="1"/>
    <col min="14" max="16384" width="9.140625" style="1"/>
  </cols>
  <sheetData>
    <row r="1" spans="1:13" ht="13.15" customHeight="1" x14ac:dyDescent="0.25">
      <c r="A1" s="43"/>
      <c r="B1" s="8"/>
      <c r="C1" s="13"/>
      <c r="D1" s="10"/>
      <c r="E1" s="10"/>
      <c r="F1" s="10"/>
      <c r="G1" s="10"/>
      <c r="H1" s="10"/>
      <c r="I1" s="11"/>
      <c r="J1" s="10"/>
      <c r="K1" s="10"/>
      <c r="L1" s="10"/>
      <c r="M1" s="10"/>
    </row>
    <row r="2" spans="1:13" ht="15.75" hidden="1" x14ac:dyDescent="0.25">
      <c r="A2" s="43"/>
      <c r="B2" s="8"/>
      <c r="C2" s="13"/>
      <c r="D2" s="10"/>
      <c r="E2" s="10"/>
      <c r="F2" s="10"/>
      <c r="G2" s="10"/>
      <c r="H2" s="10"/>
      <c r="I2" s="11"/>
      <c r="J2" s="10"/>
      <c r="K2" s="10"/>
      <c r="L2" s="10"/>
      <c r="M2" s="10"/>
    </row>
    <row r="3" spans="1:13" ht="37.9" hidden="1" customHeight="1" x14ac:dyDescent="0.25">
      <c r="A3" s="43"/>
      <c r="B3" s="8"/>
      <c r="C3" s="13"/>
      <c r="D3" s="10"/>
      <c r="E3" s="10"/>
      <c r="F3" s="10"/>
      <c r="G3" s="10"/>
      <c r="H3" s="10"/>
      <c r="I3" s="11"/>
      <c r="J3" s="10"/>
      <c r="K3" s="10"/>
      <c r="L3" s="10"/>
      <c r="M3" s="10"/>
    </row>
    <row r="4" spans="1:13" x14ac:dyDescent="0.25">
      <c r="A4" s="71" t="s">
        <v>54</v>
      </c>
      <c r="B4" s="72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x14ac:dyDescent="0.25">
      <c r="A5" s="71" t="s">
        <v>9</v>
      </c>
      <c r="B5" s="72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ht="15.75" thickBot="1" x14ac:dyDescent="0.3">
      <c r="A6" s="73" t="s">
        <v>63</v>
      </c>
      <c r="B6" s="7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x14ac:dyDescent="0.25">
      <c r="A7" s="75" t="s">
        <v>10</v>
      </c>
      <c r="B7" s="75" t="s">
        <v>11</v>
      </c>
      <c r="C7" s="75" t="s">
        <v>12</v>
      </c>
      <c r="D7" s="65" t="s">
        <v>13</v>
      </c>
      <c r="E7" s="66"/>
      <c r="F7" s="67"/>
      <c r="G7" s="80" t="s">
        <v>14</v>
      </c>
      <c r="H7" s="65" t="s">
        <v>15</v>
      </c>
      <c r="I7" s="66"/>
      <c r="J7" s="67"/>
      <c r="K7" s="65" t="s">
        <v>16</v>
      </c>
      <c r="L7" s="66"/>
      <c r="M7" s="67"/>
    </row>
    <row r="8" spans="1:13" ht="15.75" thickBot="1" x14ac:dyDescent="0.3">
      <c r="A8" s="76"/>
      <c r="B8" s="78"/>
      <c r="C8" s="78"/>
      <c r="D8" s="68" t="s">
        <v>17</v>
      </c>
      <c r="E8" s="69"/>
      <c r="F8" s="70"/>
      <c r="G8" s="81"/>
      <c r="H8" s="68"/>
      <c r="I8" s="69"/>
      <c r="J8" s="70"/>
      <c r="K8" s="68"/>
      <c r="L8" s="69"/>
      <c r="M8" s="70"/>
    </row>
    <row r="9" spans="1:13" ht="17.25" thickBot="1" x14ac:dyDescent="0.3">
      <c r="A9" s="77"/>
      <c r="B9" s="79"/>
      <c r="C9" s="79"/>
      <c r="D9" s="15" t="s">
        <v>18</v>
      </c>
      <c r="E9" s="15" t="s">
        <v>19</v>
      </c>
      <c r="F9" s="15" t="s">
        <v>20</v>
      </c>
      <c r="G9" s="82"/>
      <c r="H9" s="15" t="s">
        <v>21</v>
      </c>
      <c r="I9" s="15" t="s">
        <v>40</v>
      </c>
      <c r="J9" s="15" t="s">
        <v>23</v>
      </c>
      <c r="K9" s="15" t="s">
        <v>24</v>
      </c>
      <c r="L9" s="15" t="s">
        <v>39</v>
      </c>
      <c r="M9" s="15" t="s">
        <v>25</v>
      </c>
    </row>
    <row r="10" spans="1:13" ht="18.75" x14ac:dyDescent="0.25">
      <c r="A10" s="2"/>
      <c r="B10" s="27" t="s">
        <v>26</v>
      </c>
      <c r="C10" s="3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 x14ac:dyDescent="0.25">
      <c r="A11" s="6">
        <v>312</v>
      </c>
      <c r="B11" s="24" t="s">
        <v>8</v>
      </c>
      <c r="C11" s="25">
        <v>180</v>
      </c>
      <c r="D11" s="6">
        <f>20.4*C11/1000</f>
        <v>3.6719999999999997</v>
      </c>
      <c r="E11" s="6">
        <f>32*C11/1000</f>
        <v>5.76</v>
      </c>
      <c r="F11" s="6">
        <f>136.3*C11/1000</f>
        <v>24.534000000000002</v>
      </c>
      <c r="G11" s="6">
        <f>915*C11/1000</f>
        <v>164.7</v>
      </c>
      <c r="H11" s="6">
        <f>0</f>
        <v>0</v>
      </c>
      <c r="I11" s="6">
        <f>0.9*C11/1000</f>
        <v>0.16200000000000001</v>
      </c>
      <c r="J11" s="6">
        <f>121.1*C11/1000</f>
        <v>21.797999999999998</v>
      </c>
      <c r="K11" s="6">
        <f>246.5*C11/1000</f>
        <v>44.37</v>
      </c>
      <c r="L11" s="6">
        <f>577.3*C11/1000</f>
        <v>103.91399999999999</v>
      </c>
      <c r="M11" s="6">
        <f>6.7*C11/1000</f>
        <v>1.206</v>
      </c>
    </row>
    <row r="12" spans="1:13" x14ac:dyDescent="0.25">
      <c r="A12" s="6">
        <v>255</v>
      </c>
      <c r="B12" s="24" t="s">
        <v>80</v>
      </c>
      <c r="C12" s="25">
        <v>100</v>
      </c>
      <c r="D12" s="6">
        <v>8.3000000000000007</v>
      </c>
      <c r="E12" s="6">
        <v>12.1</v>
      </c>
      <c r="F12" s="6">
        <v>7.2</v>
      </c>
      <c r="G12" s="6">
        <v>172</v>
      </c>
      <c r="H12" s="6">
        <v>27.9</v>
      </c>
      <c r="I12" s="6">
        <v>1.4</v>
      </c>
      <c r="J12" s="6">
        <v>0</v>
      </c>
      <c r="K12" s="6">
        <v>0.1</v>
      </c>
      <c r="L12" s="6">
        <v>0.2</v>
      </c>
      <c r="M12" s="6">
        <v>0</v>
      </c>
    </row>
    <row r="13" spans="1:13" x14ac:dyDescent="0.25">
      <c r="A13" s="6">
        <v>376</v>
      </c>
      <c r="B13" s="24" t="s">
        <v>5</v>
      </c>
      <c r="C13" s="25">
        <v>200</v>
      </c>
      <c r="D13" s="6">
        <f>5*C13/1000</f>
        <v>1</v>
      </c>
      <c r="E13" s="6">
        <f>0</f>
        <v>0</v>
      </c>
      <c r="F13" s="6">
        <f>101*C13/1000</f>
        <v>20.2</v>
      </c>
      <c r="G13" s="6">
        <f>424*C13/1000</f>
        <v>84.8</v>
      </c>
      <c r="H13" s="6">
        <f>0</f>
        <v>0</v>
      </c>
      <c r="I13" s="6">
        <f>0.1*C13/1000</f>
        <v>0.02</v>
      </c>
      <c r="J13" s="6">
        <f>20*C13/1000</f>
        <v>4</v>
      </c>
      <c r="K13" s="6">
        <f>70*C13/1000</f>
        <v>14</v>
      </c>
      <c r="L13" s="6">
        <f>70*C13/1000</f>
        <v>14</v>
      </c>
      <c r="M13" s="6">
        <f>14*C13/1000</f>
        <v>2.8</v>
      </c>
    </row>
    <row r="14" spans="1:13" x14ac:dyDescent="0.25">
      <c r="A14" s="28" t="s">
        <v>27</v>
      </c>
      <c r="B14" s="24" t="s">
        <v>3</v>
      </c>
      <c r="C14" s="25">
        <v>40</v>
      </c>
      <c r="D14" s="6">
        <f>107*C14/1000</f>
        <v>4.28</v>
      </c>
      <c r="E14" s="6">
        <f>45*C14/1000</f>
        <v>1.8</v>
      </c>
      <c r="F14" s="6">
        <f>435*C14/1000</f>
        <v>17.399999999999999</v>
      </c>
      <c r="G14" s="6">
        <f>2740*C14/1000</f>
        <v>109.6</v>
      </c>
      <c r="H14" s="6">
        <f>0</f>
        <v>0</v>
      </c>
      <c r="I14" s="6">
        <f>4.1*C14/1000</f>
        <v>0.16400000000000001</v>
      </c>
      <c r="J14" s="6">
        <f>2*C14/1000</f>
        <v>0.08</v>
      </c>
      <c r="K14" s="6">
        <f>1250*C14/1000</f>
        <v>50</v>
      </c>
      <c r="L14" s="6">
        <f>1290*C14/1000</f>
        <v>51.6</v>
      </c>
      <c r="M14" s="6">
        <f>36*C14/1000</f>
        <v>1.44</v>
      </c>
    </row>
    <row r="15" spans="1:13" x14ac:dyDescent="0.25">
      <c r="A15" s="29" t="s">
        <v>31</v>
      </c>
      <c r="B15" s="24" t="s">
        <v>0</v>
      </c>
      <c r="C15" s="25">
        <v>20</v>
      </c>
      <c r="D15" s="26">
        <f>85*C15/1000</f>
        <v>1.7</v>
      </c>
      <c r="E15" s="26">
        <f>33*C15/1000</f>
        <v>0.66</v>
      </c>
      <c r="F15" s="26">
        <f>425*C15/1000</f>
        <v>8.5</v>
      </c>
      <c r="G15" s="26">
        <f>2590*C15/1000</f>
        <v>51.8</v>
      </c>
      <c r="H15" s="30">
        <f>0</f>
        <v>0</v>
      </c>
      <c r="I15" s="26">
        <f>4.3*C15/1000</f>
        <v>8.5999999999999993E-2</v>
      </c>
      <c r="J15" s="26">
        <f>4*C15/1000</f>
        <v>0.08</v>
      </c>
      <c r="K15" s="26">
        <f>730*C15/1000</f>
        <v>14.6</v>
      </c>
      <c r="L15" s="26">
        <f>1250*C15/1000</f>
        <v>25</v>
      </c>
      <c r="M15" s="26">
        <f>28.3*C15/1000</f>
        <v>0.56599999999999995</v>
      </c>
    </row>
    <row r="16" spans="1:13" x14ac:dyDescent="0.25">
      <c r="A16" s="6"/>
      <c r="B16" s="31" t="s">
        <v>28</v>
      </c>
      <c r="C16" s="40">
        <f t="shared" ref="C16:M16" si="0">SUM(C11:C15)</f>
        <v>540</v>
      </c>
      <c r="D16" s="33">
        <f t="shared" si="0"/>
        <v>18.952000000000002</v>
      </c>
      <c r="E16" s="33">
        <f t="shared" si="0"/>
        <v>20.32</v>
      </c>
      <c r="F16" s="33">
        <f t="shared" si="0"/>
        <v>77.834000000000003</v>
      </c>
      <c r="G16" s="33">
        <f t="shared" si="0"/>
        <v>582.9</v>
      </c>
      <c r="H16" s="33">
        <f t="shared" si="0"/>
        <v>27.9</v>
      </c>
      <c r="I16" s="33">
        <f t="shared" si="0"/>
        <v>1.8319999999999999</v>
      </c>
      <c r="J16" s="33">
        <f t="shared" si="0"/>
        <v>25.957999999999995</v>
      </c>
      <c r="K16" s="33">
        <f t="shared" si="0"/>
        <v>123.07</v>
      </c>
      <c r="L16" s="33">
        <f t="shared" si="0"/>
        <v>194.714</v>
      </c>
      <c r="M16" s="33">
        <f t="shared" si="0"/>
        <v>6.0119999999999996</v>
      </c>
    </row>
    <row r="17" spans="1:13" ht="18.75" x14ac:dyDescent="0.25">
      <c r="A17" s="6"/>
      <c r="B17" s="34" t="s">
        <v>29</v>
      </c>
      <c r="C17" s="4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25">
      <c r="A18" s="6">
        <v>62</v>
      </c>
      <c r="B18" s="24" t="s">
        <v>44</v>
      </c>
      <c r="C18" s="25">
        <v>60</v>
      </c>
      <c r="D18" s="6">
        <f>12.3*C18/1000</f>
        <v>0.73799999999999999</v>
      </c>
      <c r="E18" s="6">
        <f>0.9*C18/1000</f>
        <v>5.3999999999999999E-2</v>
      </c>
      <c r="F18" s="6">
        <f>114.8*C18/1000</f>
        <v>6.8879999999999999</v>
      </c>
      <c r="G18" s="6">
        <f>817*C18/1000</f>
        <v>49.02</v>
      </c>
      <c r="H18" s="6">
        <f>0</f>
        <v>0</v>
      </c>
      <c r="I18" s="6">
        <f>0.6*C18/1000</f>
        <v>3.5999999999999997E-2</v>
      </c>
      <c r="J18" s="6">
        <f>33.6*C18/1000</f>
        <v>2.016</v>
      </c>
      <c r="K18" s="6">
        <f>257.6*C18/1000</f>
        <v>15.456000000000001</v>
      </c>
      <c r="L18" s="6">
        <f>527.7*C18/1000</f>
        <v>31.662000000000003</v>
      </c>
      <c r="M18" s="6">
        <f>6.6*C18/1000</f>
        <v>0.39600000000000002</v>
      </c>
    </row>
    <row r="19" spans="1:13" ht="16.899999999999999" customHeight="1" x14ac:dyDescent="0.25">
      <c r="A19" s="6">
        <v>82</v>
      </c>
      <c r="B19" s="24" t="s">
        <v>33</v>
      </c>
      <c r="C19" s="25">
        <v>200</v>
      </c>
      <c r="D19" s="6">
        <f>6.4*C19/1000</f>
        <v>1.28</v>
      </c>
      <c r="E19" s="6">
        <f>19.4*C19/1000</f>
        <v>3.8799999999999994</v>
      </c>
      <c r="F19" s="6">
        <f>34.3*C19/1000</f>
        <v>6.8599999999999994</v>
      </c>
      <c r="G19" s="6">
        <f>365*C19/1000</f>
        <v>73</v>
      </c>
      <c r="H19" s="6">
        <f>0</f>
        <v>0</v>
      </c>
      <c r="I19" s="6">
        <f>0.1*C19/1000</f>
        <v>0.02</v>
      </c>
      <c r="J19" s="6">
        <f>43.7*C19/1000</f>
        <v>8.74</v>
      </c>
      <c r="K19" s="6">
        <f>210.1*C19/1000</f>
        <v>42.02</v>
      </c>
      <c r="L19" s="6">
        <f>184.4*C19/1000</f>
        <v>36.880000000000003</v>
      </c>
      <c r="M19" s="6">
        <f>4.4*C19/1000</f>
        <v>0.88000000000000012</v>
      </c>
    </row>
    <row r="20" spans="1:13" x14ac:dyDescent="0.25">
      <c r="A20" s="6">
        <v>171</v>
      </c>
      <c r="B20" s="24" t="s">
        <v>67</v>
      </c>
      <c r="C20" s="25">
        <v>150</v>
      </c>
      <c r="D20" s="6">
        <v>8.9700000000000006</v>
      </c>
      <c r="E20" s="6">
        <v>10.51</v>
      </c>
      <c r="F20" s="6">
        <v>52.5</v>
      </c>
      <c r="G20" s="6">
        <v>341.2</v>
      </c>
      <c r="H20" s="6">
        <v>0.17</v>
      </c>
      <c r="I20" s="6">
        <v>7.0000000000000007E-2</v>
      </c>
      <c r="J20" s="6">
        <v>0</v>
      </c>
      <c r="K20" s="6">
        <v>47.36</v>
      </c>
      <c r="L20" s="6">
        <v>48.1</v>
      </c>
      <c r="M20" s="6">
        <v>3.47</v>
      </c>
    </row>
    <row r="21" spans="1:13" x14ac:dyDescent="0.25">
      <c r="A21" s="6">
        <v>268</v>
      </c>
      <c r="B21" s="24" t="s">
        <v>47</v>
      </c>
      <c r="C21" s="25">
        <v>100</v>
      </c>
      <c r="D21" s="6">
        <f>129*C21/1000</f>
        <v>12.9</v>
      </c>
      <c r="E21" s="6">
        <f>334.2*C21/1000</f>
        <v>33.42</v>
      </c>
      <c r="F21" s="6">
        <f>132.2*C21/1000</f>
        <v>13.219999999999999</v>
      </c>
      <c r="G21" s="6">
        <f>4080*C21/1000</f>
        <v>408</v>
      </c>
      <c r="H21" s="6">
        <f>400*C21/1000</f>
        <v>40</v>
      </c>
      <c r="I21" s="6">
        <f>3.6*C21/1000</f>
        <v>0.36</v>
      </c>
      <c r="J21" s="6">
        <f>42.8*C21/1000</f>
        <v>4.28</v>
      </c>
      <c r="K21" s="6">
        <f>115*C21/1000</f>
        <v>11.5</v>
      </c>
      <c r="L21" s="6">
        <f>1541.6*C21/1000</f>
        <v>154.16</v>
      </c>
      <c r="M21" s="6">
        <f>32*C21/1000</f>
        <v>3.2</v>
      </c>
    </row>
    <row r="22" spans="1:13" x14ac:dyDescent="0.25">
      <c r="A22" s="6">
        <v>382</v>
      </c>
      <c r="B22" s="24" t="s">
        <v>42</v>
      </c>
      <c r="C22" s="25">
        <v>200</v>
      </c>
      <c r="D22" s="26">
        <f>20.4*C22/1000</f>
        <v>4.0799999999999992</v>
      </c>
      <c r="E22" s="26">
        <f>17.7*C22/1000</f>
        <v>3.54</v>
      </c>
      <c r="F22" s="26">
        <f>87.9*C22/1000</f>
        <v>17.579999999999998</v>
      </c>
      <c r="G22" s="26">
        <f>593*C22/1000</f>
        <v>118.6</v>
      </c>
      <c r="H22" s="26">
        <f>122*C22/1000</f>
        <v>24.4</v>
      </c>
      <c r="I22" s="26">
        <f>0.28*C22/1000</f>
        <v>5.6000000000000008E-2</v>
      </c>
      <c r="J22" s="26">
        <f>7.9*C22/1000</f>
        <v>1.58</v>
      </c>
      <c r="K22" s="26">
        <f>761.1*C22/1000</f>
        <v>152.22</v>
      </c>
      <c r="L22" s="26">
        <f>622.8*C22/1000</f>
        <v>124.55999999999999</v>
      </c>
      <c r="M22" s="26">
        <f>2.4*C22/1000</f>
        <v>0.48</v>
      </c>
    </row>
    <row r="23" spans="1:13" x14ac:dyDescent="0.25">
      <c r="A23" s="28" t="s">
        <v>27</v>
      </c>
      <c r="B23" s="24" t="s">
        <v>3</v>
      </c>
      <c r="C23" s="25">
        <v>40</v>
      </c>
      <c r="D23" s="6">
        <f>107*C23/1000</f>
        <v>4.28</v>
      </c>
      <c r="E23" s="6">
        <f>45*C23/1000</f>
        <v>1.8</v>
      </c>
      <c r="F23" s="6">
        <f>435*C23/1000</f>
        <v>17.399999999999999</v>
      </c>
      <c r="G23" s="6">
        <f>2740*C23/1000</f>
        <v>109.6</v>
      </c>
      <c r="H23" s="6">
        <f>0</f>
        <v>0</v>
      </c>
      <c r="I23" s="6">
        <f>4.1*C23/1000</f>
        <v>0.16400000000000001</v>
      </c>
      <c r="J23" s="6">
        <f>2*C23/1000</f>
        <v>0.08</v>
      </c>
      <c r="K23" s="6">
        <f>1250*C23/1000</f>
        <v>50</v>
      </c>
      <c r="L23" s="6">
        <f>1290*C23/1000</f>
        <v>51.6</v>
      </c>
      <c r="M23" s="6">
        <f>36*C23/1000</f>
        <v>1.44</v>
      </c>
    </row>
    <row r="24" spans="1:13" x14ac:dyDescent="0.25">
      <c r="A24" s="29" t="s">
        <v>31</v>
      </c>
      <c r="B24" s="24" t="s">
        <v>0</v>
      </c>
      <c r="C24" s="25">
        <v>20</v>
      </c>
      <c r="D24" s="26">
        <f>85*C24/1000</f>
        <v>1.7</v>
      </c>
      <c r="E24" s="26">
        <f>33*C24/1000</f>
        <v>0.66</v>
      </c>
      <c r="F24" s="26">
        <f>425*C24/1000</f>
        <v>8.5</v>
      </c>
      <c r="G24" s="26">
        <f>2590*C24/1000</f>
        <v>51.8</v>
      </c>
      <c r="H24" s="30">
        <f>0</f>
        <v>0</v>
      </c>
      <c r="I24" s="26">
        <f>4.3*C24/1000</f>
        <v>8.5999999999999993E-2</v>
      </c>
      <c r="J24" s="26">
        <f>4*C24/1000</f>
        <v>0.08</v>
      </c>
      <c r="K24" s="26">
        <f>730*C24/1000</f>
        <v>14.6</v>
      </c>
      <c r="L24" s="26">
        <f>1250*C24/1000</f>
        <v>25</v>
      </c>
      <c r="M24" s="26">
        <f>28.3*C24/1000</f>
        <v>0.56599999999999995</v>
      </c>
    </row>
    <row r="25" spans="1:13" x14ac:dyDescent="0.25">
      <c r="A25" s="41"/>
      <c r="B25" s="31" t="s">
        <v>28</v>
      </c>
      <c r="C25" s="40">
        <f t="shared" ref="C25:M25" si="1">SUM(C18:C24)</f>
        <v>770</v>
      </c>
      <c r="D25" s="33">
        <f t="shared" si="1"/>
        <v>33.948</v>
      </c>
      <c r="E25" s="33">
        <f t="shared" si="1"/>
        <v>53.863999999999997</v>
      </c>
      <c r="F25" s="33">
        <f t="shared" si="1"/>
        <v>122.94800000000001</v>
      </c>
      <c r="G25" s="33">
        <f t="shared" si="1"/>
        <v>1151.22</v>
      </c>
      <c r="H25" s="33">
        <f t="shared" si="1"/>
        <v>64.569999999999993</v>
      </c>
      <c r="I25" s="33">
        <f t="shared" si="1"/>
        <v>0.79200000000000004</v>
      </c>
      <c r="J25" s="33">
        <f t="shared" si="1"/>
        <v>16.775999999999996</v>
      </c>
      <c r="K25" s="33">
        <f t="shared" si="1"/>
        <v>333.15600000000006</v>
      </c>
      <c r="L25" s="33">
        <f t="shared" si="1"/>
        <v>471.96200000000005</v>
      </c>
      <c r="M25" s="33">
        <f t="shared" si="1"/>
        <v>10.432</v>
      </c>
    </row>
    <row r="26" spans="1:13" ht="18.75" x14ac:dyDescent="0.25">
      <c r="A26" s="41"/>
      <c r="B26" s="35" t="s">
        <v>32</v>
      </c>
      <c r="C26" s="42">
        <f t="shared" ref="C26:M26" si="2">C16+C25</f>
        <v>1310</v>
      </c>
      <c r="D26" s="37">
        <f t="shared" si="2"/>
        <v>52.900000000000006</v>
      </c>
      <c r="E26" s="37">
        <f t="shared" si="2"/>
        <v>74.183999999999997</v>
      </c>
      <c r="F26" s="37">
        <f t="shared" si="2"/>
        <v>200.78200000000001</v>
      </c>
      <c r="G26" s="37">
        <f t="shared" si="2"/>
        <v>1734.12</v>
      </c>
      <c r="H26" s="37">
        <f t="shared" si="2"/>
        <v>92.47</v>
      </c>
      <c r="I26" s="37">
        <f t="shared" si="2"/>
        <v>2.6239999999999997</v>
      </c>
      <c r="J26" s="37">
        <f t="shared" si="2"/>
        <v>42.733999999999995</v>
      </c>
      <c r="K26" s="37">
        <f t="shared" si="2"/>
        <v>456.22600000000006</v>
      </c>
      <c r="L26" s="37">
        <f t="shared" si="2"/>
        <v>666.67600000000004</v>
      </c>
      <c r="M26" s="37">
        <f t="shared" si="2"/>
        <v>16.443999999999999</v>
      </c>
    </row>
    <row r="27" spans="1:13" ht="17.25" customHeight="1" x14ac:dyDescent="0.25">
      <c r="A27" s="38"/>
      <c r="B27" s="5" t="s">
        <v>64</v>
      </c>
      <c r="C27" s="6">
        <v>1200</v>
      </c>
      <c r="D27" s="7">
        <v>45</v>
      </c>
      <c r="E27" s="7">
        <v>46</v>
      </c>
      <c r="F27" s="7">
        <v>192</v>
      </c>
      <c r="G27" s="7">
        <v>1360</v>
      </c>
      <c r="H27" s="7">
        <v>450</v>
      </c>
      <c r="I27" s="7">
        <v>0.7</v>
      </c>
      <c r="J27" s="7">
        <v>35</v>
      </c>
      <c r="K27" s="7">
        <v>600</v>
      </c>
      <c r="L27" s="7">
        <v>600</v>
      </c>
      <c r="M27" s="7">
        <v>9</v>
      </c>
    </row>
    <row r="28" spans="1:13" ht="15.75" x14ac:dyDescent="0.25">
      <c r="A28" s="43"/>
      <c r="B28" s="8"/>
      <c r="C28" s="13"/>
      <c r="D28" s="10"/>
      <c r="E28" s="10"/>
      <c r="F28" s="10"/>
      <c r="G28" s="10"/>
      <c r="H28" s="10"/>
      <c r="I28" s="11"/>
      <c r="J28" s="10"/>
      <c r="K28" s="10"/>
      <c r="L28" s="10"/>
      <c r="M28" s="10"/>
    </row>
    <row r="29" spans="1:13" ht="15.75" x14ac:dyDescent="0.25">
      <c r="A29" s="43"/>
      <c r="B29" s="8"/>
      <c r="C29" s="13"/>
      <c r="D29" s="10"/>
      <c r="E29" s="10"/>
      <c r="F29" s="10"/>
      <c r="G29" s="10"/>
      <c r="H29" s="10"/>
      <c r="I29" s="11"/>
      <c r="J29" s="10"/>
      <c r="K29" s="10"/>
      <c r="L29" s="10"/>
      <c r="M29" s="10"/>
    </row>
    <row r="30" spans="1:13" ht="15.75" x14ac:dyDescent="0.25">
      <c r="A30" s="43"/>
      <c r="B30" s="8"/>
      <c r="C30" s="13"/>
      <c r="D30" s="10"/>
      <c r="E30" s="10"/>
      <c r="F30" s="10"/>
      <c r="G30" s="10"/>
      <c r="H30" s="10"/>
      <c r="I30" s="11"/>
      <c r="J30" s="10"/>
      <c r="K30" s="10"/>
      <c r="L30" s="10"/>
      <c r="M30" s="10"/>
    </row>
    <row r="31" spans="1:13" ht="0.6" customHeight="1" x14ac:dyDescent="0.25">
      <c r="A31" s="43"/>
      <c r="B31" s="8"/>
      <c r="C31" s="13"/>
      <c r="D31" s="10"/>
      <c r="E31" s="10"/>
      <c r="F31" s="10"/>
      <c r="G31" s="10"/>
      <c r="H31" s="10"/>
      <c r="I31" s="11"/>
      <c r="J31" s="10"/>
      <c r="K31" s="10"/>
      <c r="L31" s="10"/>
      <c r="M31" s="10"/>
    </row>
  </sheetData>
  <mergeCells count="11">
    <mergeCell ref="C7:C9"/>
    <mergeCell ref="A4:B4"/>
    <mergeCell ref="A5:B5"/>
    <mergeCell ref="A6:B6"/>
    <mergeCell ref="A7:A9"/>
    <mergeCell ref="B7:B9"/>
    <mergeCell ref="D7:F7"/>
    <mergeCell ref="G7:G9"/>
    <mergeCell ref="H7:J8"/>
    <mergeCell ref="K7:M8"/>
    <mergeCell ref="D8:F8"/>
  </mergeCells>
  <pageMargins left="0.7" right="0.7" top="0.75" bottom="0.75" header="0.3" footer="0.3"/>
  <pageSetup paperSize="9" scale="87" fitToWidth="0" orientation="landscape" r:id="rId1"/>
  <rowBreaks count="1" manualBreakCount="1">
    <brk id="30" max="12" man="1"/>
  </rowBreaks>
  <colBreaks count="1" manualBreakCount="1"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9"/>
  <sheetViews>
    <sheetView showWhiteSpace="0" view="pageBreakPreview" zoomScale="80" zoomScaleNormal="70" zoomScaleSheetLayoutView="80" zoomScalePageLayoutView="70" workbookViewId="0">
      <selection activeCell="C22" sqref="C22"/>
    </sheetView>
  </sheetViews>
  <sheetFormatPr defaultColWidth="9.140625" defaultRowHeight="15" x14ac:dyDescent="0.25"/>
  <cols>
    <col min="1" max="1" width="9.140625" style="1"/>
    <col min="2" max="2" width="27.140625" style="1" customWidth="1"/>
    <col min="3" max="3" width="8.7109375" style="1" customWidth="1"/>
    <col min="4" max="4" width="7.28515625" style="1" customWidth="1"/>
    <col min="5" max="5" width="7.7109375" style="1" customWidth="1"/>
    <col min="6" max="6" width="9.28515625" style="1" customWidth="1"/>
    <col min="7" max="8" width="9.5703125" style="1" customWidth="1"/>
    <col min="9" max="9" width="7.5703125" style="1" customWidth="1"/>
    <col min="10" max="10" width="6.7109375" style="1" customWidth="1"/>
    <col min="11" max="11" width="8.5703125" style="1" customWidth="1"/>
    <col min="12" max="13" width="9.28515625" style="1" customWidth="1"/>
    <col min="14" max="16384" width="9.140625" style="1"/>
  </cols>
  <sheetData>
    <row r="1" spans="1:14" ht="15.95" customHeight="1" x14ac:dyDescent="0.25">
      <c r="A1" s="39"/>
      <c r="B1" s="8"/>
      <c r="C1" s="9"/>
      <c r="D1" s="10"/>
      <c r="E1" s="10"/>
      <c r="F1" s="10"/>
      <c r="G1" s="10"/>
      <c r="H1" s="10"/>
      <c r="I1" s="11"/>
      <c r="J1" s="10"/>
      <c r="K1" s="10"/>
      <c r="L1" s="10"/>
      <c r="M1" s="10"/>
    </row>
    <row r="2" spans="1:14" ht="15" customHeight="1" x14ac:dyDescent="0.25">
      <c r="A2" s="39"/>
      <c r="B2" s="8"/>
      <c r="C2" s="9"/>
      <c r="D2" s="10"/>
      <c r="E2" s="10"/>
      <c r="F2" s="10"/>
      <c r="G2" s="10"/>
      <c r="H2" s="10"/>
      <c r="I2" s="11"/>
      <c r="J2" s="10"/>
      <c r="K2" s="10"/>
      <c r="L2" s="10"/>
      <c r="M2" s="10"/>
    </row>
    <row r="3" spans="1:14" ht="408.6" hidden="1" customHeight="1" x14ac:dyDescent="0.25">
      <c r="A3" s="39"/>
      <c r="B3" s="8"/>
      <c r="C3" s="9"/>
      <c r="D3" s="10"/>
      <c r="E3" s="10"/>
      <c r="F3" s="58"/>
      <c r="G3" s="10"/>
      <c r="H3" s="10"/>
      <c r="I3" s="11"/>
      <c r="J3" s="10"/>
      <c r="K3" s="10"/>
      <c r="L3" s="10"/>
      <c r="M3" s="10"/>
    </row>
    <row r="4" spans="1:14" ht="1.1499999999999999" hidden="1" customHeight="1" x14ac:dyDescent="0.25"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4" x14ac:dyDescent="0.25">
      <c r="A5" s="71" t="s">
        <v>55</v>
      </c>
      <c r="B5" s="72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4" x14ac:dyDescent="0.25">
      <c r="A6" s="71" t="s">
        <v>9</v>
      </c>
      <c r="B6" s="72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4" ht="15.75" thickBot="1" x14ac:dyDescent="0.3">
      <c r="A7" s="73" t="s">
        <v>62</v>
      </c>
      <c r="B7" s="7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4" x14ac:dyDescent="0.25">
      <c r="A8" s="75" t="s">
        <v>10</v>
      </c>
      <c r="B8" s="75" t="s">
        <v>11</v>
      </c>
      <c r="C8" s="75" t="s">
        <v>12</v>
      </c>
      <c r="D8" s="65" t="s">
        <v>13</v>
      </c>
      <c r="E8" s="66"/>
      <c r="F8" s="67"/>
      <c r="G8" s="80" t="s">
        <v>14</v>
      </c>
      <c r="H8" s="65" t="s">
        <v>15</v>
      </c>
      <c r="I8" s="66"/>
      <c r="J8" s="67"/>
      <c r="K8" s="65" t="s">
        <v>16</v>
      </c>
      <c r="L8" s="66"/>
      <c r="M8" s="67"/>
      <c r="N8" s="21"/>
    </row>
    <row r="9" spans="1:14" ht="15.75" thickBot="1" x14ac:dyDescent="0.3">
      <c r="A9" s="76"/>
      <c r="B9" s="78"/>
      <c r="C9" s="78"/>
      <c r="D9" s="68" t="s">
        <v>17</v>
      </c>
      <c r="E9" s="69"/>
      <c r="F9" s="70"/>
      <c r="G9" s="81"/>
      <c r="H9" s="68"/>
      <c r="I9" s="69"/>
      <c r="J9" s="70"/>
      <c r="K9" s="68"/>
      <c r="L9" s="69"/>
      <c r="M9" s="70"/>
    </row>
    <row r="10" spans="1:14" ht="17.25" thickBot="1" x14ac:dyDescent="0.3">
      <c r="A10" s="77"/>
      <c r="B10" s="79"/>
      <c r="C10" s="79"/>
      <c r="D10" s="15" t="s">
        <v>18</v>
      </c>
      <c r="E10" s="15" t="s">
        <v>19</v>
      </c>
      <c r="F10" s="15" t="s">
        <v>20</v>
      </c>
      <c r="G10" s="82"/>
      <c r="H10" s="15" t="s">
        <v>21</v>
      </c>
      <c r="I10" s="15" t="s">
        <v>40</v>
      </c>
      <c r="J10" s="15" t="s">
        <v>23</v>
      </c>
      <c r="K10" s="15" t="s">
        <v>24</v>
      </c>
      <c r="L10" s="15" t="s">
        <v>39</v>
      </c>
      <c r="M10" s="15" t="s">
        <v>25</v>
      </c>
    </row>
    <row r="11" spans="1:14" ht="18.75" x14ac:dyDescent="0.25">
      <c r="A11" s="2"/>
      <c r="B11" s="27" t="s">
        <v>26</v>
      </c>
      <c r="C11" s="3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spans="1:14" ht="30" x14ac:dyDescent="0.25">
      <c r="A12" s="12">
        <v>218</v>
      </c>
      <c r="B12" s="22" t="s">
        <v>68</v>
      </c>
      <c r="C12" s="17">
        <v>120</v>
      </c>
      <c r="D12" s="6">
        <f>148.3*C12/1000</f>
        <v>17.795999999999999</v>
      </c>
      <c r="E12" s="6">
        <f>70.4*C12/1000</f>
        <v>8.4480000000000004</v>
      </c>
      <c r="F12" s="6">
        <f>237.4*C12/1000</f>
        <v>28.488</v>
      </c>
      <c r="G12" s="6">
        <f>2180*C12/1000</f>
        <v>261.60000000000002</v>
      </c>
      <c r="H12" s="6">
        <f>501*C12/1000</f>
        <v>60.12</v>
      </c>
      <c r="I12" s="6">
        <f>0.4*C12/1000</f>
        <v>4.8000000000000001E-2</v>
      </c>
      <c r="J12" s="6">
        <f>1.9*C12/1000</f>
        <v>0.22800000000000001</v>
      </c>
      <c r="K12" s="6">
        <f>974.1*C12/1000</f>
        <v>116.892</v>
      </c>
      <c r="L12" s="6">
        <f>1400*C12/1000</f>
        <v>168</v>
      </c>
      <c r="M12" s="6">
        <f>4*C12/1000</f>
        <v>0.48</v>
      </c>
    </row>
    <row r="13" spans="1:14" x14ac:dyDescent="0.25">
      <c r="A13" s="28">
        <v>338</v>
      </c>
      <c r="B13" s="24" t="s">
        <v>46</v>
      </c>
      <c r="C13" s="25">
        <v>100</v>
      </c>
      <c r="D13" s="6">
        <f>4*C13/1000</f>
        <v>0.4</v>
      </c>
      <c r="E13" s="6">
        <f>4*C13/1000</f>
        <v>0.4</v>
      </c>
      <c r="F13" s="6">
        <f>98*C13/1000</f>
        <v>9.8000000000000007</v>
      </c>
      <c r="G13" s="6">
        <f>470*C13/1000</f>
        <v>47</v>
      </c>
      <c r="H13" s="6">
        <f>0</f>
        <v>0</v>
      </c>
      <c r="I13" s="6">
        <f>0.3*C13/1000</f>
        <v>0.03</v>
      </c>
      <c r="J13" s="6">
        <f>100*C13/1000</f>
        <v>10</v>
      </c>
      <c r="K13" s="6">
        <f>160*C13/1000</f>
        <v>16</v>
      </c>
      <c r="L13" s="6">
        <f>110*C13/1000</f>
        <v>11</v>
      </c>
      <c r="M13" s="6">
        <f>22*C13/1000</f>
        <v>2.2000000000000002</v>
      </c>
    </row>
    <row r="14" spans="1:14" x14ac:dyDescent="0.25">
      <c r="A14" s="6">
        <v>376</v>
      </c>
      <c r="B14" s="24" t="s">
        <v>75</v>
      </c>
      <c r="C14" s="25">
        <v>200</v>
      </c>
      <c r="D14" s="26">
        <f>15.8*C14/1000</f>
        <v>3.16</v>
      </c>
      <c r="E14" s="26">
        <f>13.4*C14/1000</f>
        <v>2.68</v>
      </c>
      <c r="F14" s="26">
        <f>79.7*C14/1000</f>
        <v>15.94</v>
      </c>
      <c r="G14" s="26">
        <f>503*C14/1000</f>
        <v>100.6</v>
      </c>
      <c r="H14" s="26">
        <f>100*C14/1000</f>
        <v>20</v>
      </c>
      <c r="I14" s="26">
        <f>0.22*C14/1000</f>
        <v>4.3999999999999997E-2</v>
      </c>
      <c r="J14" s="26">
        <f>6.5*C14/1000</f>
        <v>1.3</v>
      </c>
      <c r="K14" s="26">
        <f>628.9*C14/1000</f>
        <v>125.78</v>
      </c>
      <c r="L14" s="26">
        <f>450*C14/1000</f>
        <v>90</v>
      </c>
      <c r="M14" s="26">
        <f>0.7*C14/1000</f>
        <v>0.14000000000000001</v>
      </c>
    </row>
    <row r="15" spans="1:14" x14ac:dyDescent="0.25">
      <c r="A15" s="6" t="s">
        <v>27</v>
      </c>
      <c r="B15" s="24" t="s">
        <v>3</v>
      </c>
      <c r="C15" s="25">
        <v>40</v>
      </c>
      <c r="D15" s="6">
        <f>107*C15/1000</f>
        <v>4.28</v>
      </c>
      <c r="E15" s="6">
        <f>45*C15/1000</f>
        <v>1.8</v>
      </c>
      <c r="F15" s="6">
        <f>435*C15/1000</f>
        <v>17.399999999999999</v>
      </c>
      <c r="G15" s="6">
        <f>2740*C15/1000</f>
        <v>109.6</v>
      </c>
      <c r="H15" s="6">
        <f>0</f>
        <v>0</v>
      </c>
      <c r="I15" s="6">
        <f>4.1*C15/1000</f>
        <v>0.16400000000000001</v>
      </c>
      <c r="J15" s="6">
        <f>2*C15/1000</f>
        <v>0.08</v>
      </c>
      <c r="K15" s="6">
        <f>1250*C15/1000</f>
        <v>50</v>
      </c>
      <c r="L15" s="6">
        <f>1290*C15/1000</f>
        <v>51.6</v>
      </c>
      <c r="M15" s="6">
        <f>36*C15/1000</f>
        <v>1.44</v>
      </c>
    </row>
    <row r="16" spans="1:14" x14ac:dyDescent="0.25">
      <c r="A16" s="64"/>
      <c r="B16" s="24" t="s">
        <v>2</v>
      </c>
      <c r="C16" s="24">
        <v>40</v>
      </c>
      <c r="D16" s="26">
        <v>3.35</v>
      </c>
      <c r="E16" s="26">
        <v>3.7749999999999999</v>
      </c>
      <c r="F16" s="26">
        <v>36.03</v>
      </c>
      <c r="G16" s="26">
        <v>191.5</v>
      </c>
      <c r="H16" s="26">
        <v>20</v>
      </c>
      <c r="I16" s="26">
        <v>0.08</v>
      </c>
      <c r="J16" s="26">
        <v>0</v>
      </c>
      <c r="K16" s="26">
        <v>9.875</v>
      </c>
      <c r="L16" s="26">
        <v>37.484999999999999</v>
      </c>
      <c r="M16" s="26">
        <v>0.71499999999999997</v>
      </c>
    </row>
    <row r="17" spans="1:13" x14ac:dyDescent="0.25">
      <c r="A17" s="29" t="s">
        <v>31</v>
      </c>
      <c r="B17" s="24" t="s">
        <v>0</v>
      </c>
      <c r="C17" s="25">
        <v>20</v>
      </c>
      <c r="D17" s="26">
        <f>85*C17/1000</f>
        <v>1.7</v>
      </c>
      <c r="E17" s="26">
        <f>33*C17/1000</f>
        <v>0.66</v>
      </c>
      <c r="F17" s="26">
        <f>425*C17/1000</f>
        <v>8.5</v>
      </c>
      <c r="G17" s="26">
        <f>2590*C17/1000</f>
        <v>51.8</v>
      </c>
      <c r="H17" s="30">
        <f>0</f>
        <v>0</v>
      </c>
      <c r="I17" s="26">
        <f>4.3*C17/1000</f>
        <v>8.5999999999999993E-2</v>
      </c>
      <c r="J17" s="26">
        <f>4*C17/1000</f>
        <v>0.08</v>
      </c>
      <c r="K17" s="26">
        <f>730*C17/1000</f>
        <v>14.6</v>
      </c>
      <c r="L17" s="26">
        <f>1250*C17/1000</f>
        <v>25</v>
      </c>
      <c r="M17" s="26">
        <f>28.3*C17/1000</f>
        <v>0.56599999999999995</v>
      </c>
    </row>
    <row r="18" spans="1:13" x14ac:dyDescent="0.25">
      <c r="A18" s="6"/>
      <c r="B18" s="31" t="s">
        <v>28</v>
      </c>
      <c r="C18" s="40">
        <f>SUM(C12:C17)</f>
        <v>520</v>
      </c>
      <c r="D18" s="33">
        <f t="shared" ref="D18:M18" si="0">SUM(D12:D17)</f>
        <v>30.686</v>
      </c>
      <c r="E18" s="33">
        <f t="shared" si="0"/>
        <v>17.763000000000002</v>
      </c>
      <c r="F18" s="33">
        <f t="shared" si="0"/>
        <v>116.15799999999999</v>
      </c>
      <c r="G18" s="33">
        <f t="shared" si="0"/>
        <v>762.1</v>
      </c>
      <c r="H18" s="33">
        <f t="shared" si="0"/>
        <v>100.12</v>
      </c>
      <c r="I18" s="33">
        <f t="shared" si="0"/>
        <v>0.45200000000000007</v>
      </c>
      <c r="J18" s="33">
        <f t="shared" si="0"/>
        <v>11.688000000000001</v>
      </c>
      <c r="K18" s="33">
        <f t="shared" si="0"/>
        <v>333.14700000000005</v>
      </c>
      <c r="L18" s="33">
        <f t="shared" si="0"/>
        <v>383.08500000000004</v>
      </c>
      <c r="M18" s="33">
        <f t="shared" si="0"/>
        <v>5.5409999999999995</v>
      </c>
    </row>
    <row r="19" spans="1:13" ht="18.75" x14ac:dyDescent="0.25">
      <c r="A19" s="6"/>
      <c r="B19" s="34" t="s">
        <v>29</v>
      </c>
      <c r="C19" s="4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x14ac:dyDescent="0.25">
      <c r="A20" s="28">
        <v>67</v>
      </c>
      <c r="B20" s="24" t="s">
        <v>57</v>
      </c>
      <c r="C20" s="25">
        <v>60</v>
      </c>
      <c r="D20" s="6">
        <f>6.4*C20/1000</f>
        <v>0.38400000000000001</v>
      </c>
      <c r="E20" s="6">
        <f>19.4*C20/1000</f>
        <v>1.1639999999999999</v>
      </c>
      <c r="F20" s="6">
        <f>34.3*C20/1000</f>
        <v>2.0579999999999998</v>
      </c>
      <c r="G20" s="6">
        <f>365*C20/1000</f>
        <v>21.9</v>
      </c>
      <c r="H20" s="6">
        <f>0</f>
        <v>0</v>
      </c>
      <c r="I20" s="6">
        <f>0.1*C20/1000</f>
        <v>6.0000000000000001E-3</v>
      </c>
      <c r="J20" s="6">
        <f>43.7*C20/1000</f>
        <v>2.6219999999999999</v>
      </c>
      <c r="K20" s="6">
        <f>210.1*C20/1000</f>
        <v>12.606</v>
      </c>
      <c r="L20" s="6">
        <f>184.4*C20/1000</f>
        <v>11.064</v>
      </c>
      <c r="M20" s="6">
        <f>4.4*C20/1000</f>
        <v>0.26400000000000001</v>
      </c>
    </row>
    <row r="21" spans="1:13" x14ac:dyDescent="0.25">
      <c r="A21" s="6">
        <v>96</v>
      </c>
      <c r="B21" s="24" t="s">
        <v>7</v>
      </c>
      <c r="C21" s="25">
        <v>200</v>
      </c>
      <c r="D21" s="6">
        <f>8.1*C21/1000</f>
        <v>1.62</v>
      </c>
      <c r="E21" s="6">
        <f>20.4*C21/1000</f>
        <v>4.0799999999999992</v>
      </c>
      <c r="F21" s="6">
        <f>47.9*C21/1000</f>
        <v>9.58</v>
      </c>
      <c r="G21" s="6">
        <f>429*C21/1000</f>
        <v>85.8</v>
      </c>
      <c r="H21" s="6">
        <f>0</f>
        <v>0</v>
      </c>
      <c r="I21" s="6">
        <f>0.4*C21/1000</f>
        <v>0.08</v>
      </c>
      <c r="J21" s="6">
        <f>33.5*C21/1000</f>
        <v>6.7</v>
      </c>
      <c r="K21" s="6">
        <f>116.6*C21/1000</f>
        <v>23.32</v>
      </c>
      <c r="L21" s="6">
        <f>226.9*C21/1000</f>
        <v>45.38</v>
      </c>
      <c r="M21" s="6">
        <f>3.7*C21/1000</f>
        <v>0.74</v>
      </c>
    </row>
    <row r="22" spans="1:13" x14ac:dyDescent="0.25">
      <c r="A22" s="6">
        <v>171</v>
      </c>
      <c r="B22" s="24" t="s">
        <v>71</v>
      </c>
      <c r="C22" s="25">
        <v>150</v>
      </c>
      <c r="D22" s="6">
        <v>8.9</v>
      </c>
      <c r="E22" s="6">
        <v>9.6</v>
      </c>
      <c r="F22" s="6">
        <v>39.9</v>
      </c>
      <c r="G22" s="6">
        <v>280</v>
      </c>
      <c r="H22" s="6">
        <v>0.2</v>
      </c>
      <c r="I22" s="6">
        <v>0.1</v>
      </c>
      <c r="J22" s="6">
        <v>0</v>
      </c>
      <c r="K22" s="6">
        <v>26.4</v>
      </c>
      <c r="L22" s="6">
        <v>140.5</v>
      </c>
      <c r="M22" s="6">
        <v>4.7</v>
      </c>
    </row>
    <row r="23" spans="1:13" x14ac:dyDescent="0.25">
      <c r="A23" s="6">
        <v>260</v>
      </c>
      <c r="B23" s="24" t="s">
        <v>73</v>
      </c>
      <c r="C23" s="25">
        <v>100</v>
      </c>
      <c r="D23" s="6">
        <v>8.3000000000000007</v>
      </c>
      <c r="E23" s="6">
        <v>12.1</v>
      </c>
      <c r="F23" s="6">
        <v>7.2</v>
      </c>
      <c r="G23" s="6">
        <v>172</v>
      </c>
      <c r="H23" s="6">
        <v>27.9</v>
      </c>
      <c r="I23" s="6">
        <v>1.4</v>
      </c>
      <c r="J23" s="6">
        <v>0</v>
      </c>
      <c r="K23" s="6">
        <v>0.1</v>
      </c>
      <c r="L23" s="6">
        <v>0.2</v>
      </c>
      <c r="M23" s="6">
        <v>0</v>
      </c>
    </row>
    <row r="24" spans="1:13" x14ac:dyDescent="0.25">
      <c r="A24" s="28" t="s">
        <v>27</v>
      </c>
      <c r="B24" s="24" t="s">
        <v>3</v>
      </c>
      <c r="C24" s="25">
        <v>40</v>
      </c>
      <c r="D24" s="6">
        <f>107*C24/1000</f>
        <v>4.28</v>
      </c>
      <c r="E24" s="6">
        <f>45*C24/1000</f>
        <v>1.8</v>
      </c>
      <c r="F24" s="6">
        <f>435*C24/1000</f>
        <v>17.399999999999999</v>
      </c>
      <c r="G24" s="6">
        <f>2740*C24/1000</f>
        <v>109.6</v>
      </c>
      <c r="H24" s="6">
        <f>0</f>
        <v>0</v>
      </c>
      <c r="I24" s="6">
        <f>4.1*C24/1000</f>
        <v>0.16400000000000001</v>
      </c>
      <c r="J24" s="6">
        <f>2*C24/1000</f>
        <v>0.08</v>
      </c>
      <c r="K24" s="6">
        <f>1250*C24/1000</f>
        <v>50</v>
      </c>
      <c r="L24" s="6">
        <f>1290*C24/1000</f>
        <v>51.6</v>
      </c>
      <c r="M24" s="6">
        <f>36*C24/1000</f>
        <v>1.44</v>
      </c>
    </row>
    <row r="25" spans="1:13" x14ac:dyDescent="0.25">
      <c r="A25" s="29" t="s">
        <v>31</v>
      </c>
      <c r="B25" s="24" t="s">
        <v>0</v>
      </c>
      <c r="C25" s="25">
        <v>20</v>
      </c>
      <c r="D25" s="26">
        <f>85*C25/1000</f>
        <v>1.7</v>
      </c>
      <c r="E25" s="26">
        <f>33*C25/1000</f>
        <v>0.66</v>
      </c>
      <c r="F25" s="26">
        <f>425*C25/1000</f>
        <v>8.5</v>
      </c>
      <c r="G25" s="26">
        <f>2590*C25/1000</f>
        <v>51.8</v>
      </c>
      <c r="H25" s="30">
        <f>0</f>
        <v>0</v>
      </c>
      <c r="I25" s="26">
        <f>4.3*C25/1000</f>
        <v>8.5999999999999993E-2</v>
      </c>
      <c r="J25" s="26">
        <f>4*C25/1000</f>
        <v>0.08</v>
      </c>
      <c r="K25" s="26">
        <f>730*C25/1000</f>
        <v>14.6</v>
      </c>
      <c r="L25" s="26">
        <f>1250*C25/1000</f>
        <v>25</v>
      </c>
      <c r="M25" s="26">
        <f>28.3*C25/1000</f>
        <v>0.56599999999999995</v>
      </c>
    </row>
    <row r="26" spans="1:13" x14ac:dyDescent="0.25">
      <c r="A26" s="28">
        <v>338</v>
      </c>
      <c r="B26" s="24" t="s">
        <v>46</v>
      </c>
      <c r="C26" s="25">
        <v>100</v>
      </c>
      <c r="D26" s="6">
        <f>4*C26/1000</f>
        <v>0.4</v>
      </c>
      <c r="E26" s="6">
        <f>4*C26/1000</f>
        <v>0.4</v>
      </c>
      <c r="F26" s="6">
        <f>98*C26/1000</f>
        <v>9.8000000000000007</v>
      </c>
      <c r="G26" s="6">
        <f>470*C26/1000</f>
        <v>47</v>
      </c>
      <c r="H26" s="6">
        <f>0</f>
        <v>0</v>
      </c>
      <c r="I26" s="6">
        <f>0.3*C26/1000</f>
        <v>0.03</v>
      </c>
      <c r="J26" s="6">
        <f>100*C26/1000</f>
        <v>10</v>
      </c>
      <c r="K26" s="6">
        <f>160*C26/1000</f>
        <v>16</v>
      </c>
      <c r="L26" s="6">
        <f>110*C26/1000</f>
        <v>11</v>
      </c>
      <c r="M26" s="6">
        <f>22*C26/1000</f>
        <v>2.2000000000000002</v>
      </c>
    </row>
    <row r="27" spans="1:13" x14ac:dyDescent="0.25">
      <c r="A27" s="6">
        <v>376</v>
      </c>
      <c r="B27" s="24" t="s">
        <v>5</v>
      </c>
      <c r="C27" s="25">
        <v>200</v>
      </c>
      <c r="D27" s="6">
        <f>5*C27/1000</f>
        <v>1</v>
      </c>
      <c r="E27" s="6">
        <f>0</f>
        <v>0</v>
      </c>
      <c r="F27" s="6">
        <f>101*C27/1000</f>
        <v>20.2</v>
      </c>
      <c r="G27" s="6">
        <f>424*C27/1000</f>
        <v>84.8</v>
      </c>
      <c r="H27" s="6">
        <f>0</f>
        <v>0</v>
      </c>
      <c r="I27" s="6">
        <f>0.1*C27/1000</f>
        <v>0.02</v>
      </c>
      <c r="J27" s="6">
        <f>20*C27/1000</f>
        <v>4</v>
      </c>
      <c r="K27" s="6">
        <f>70*C27/1000</f>
        <v>14</v>
      </c>
      <c r="L27" s="6">
        <f>70*C27/1000</f>
        <v>14</v>
      </c>
      <c r="M27" s="6">
        <f>14*C27/1000</f>
        <v>2.8</v>
      </c>
    </row>
    <row r="28" spans="1:13" ht="18.75" x14ac:dyDescent="0.25">
      <c r="A28" s="41"/>
      <c r="B28" s="35" t="s">
        <v>32</v>
      </c>
      <c r="C28" s="42">
        <v>1320</v>
      </c>
      <c r="D28" s="37">
        <f t="shared" ref="D28:M28" si="1">D18+D27</f>
        <v>31.686</v>
      </c>
      <c r="E28" s="37">
        <f t="shared" si="1"/>
        <v>17.763000000000002</v>
      </c>
      <c r="F28" s="37">
        <f t="shared" si="1"/>
        <v>136.35799999999998</v>
      </c>
      <c r="G28" s="37">
        <f t="shared" si="1"/>
        <v>846.9</v>
      </c>
      <c r="H28" s="37">
        <f t="shared" si="1"/>
        <v>100.12</v>
      </c>
      <c r="I28" s="37">
        <f t="shared" si="1"/>
        <v>0.47200000000000009</v>
      </c>
      <c r="J28" s="37">
        <f t="shared" si="1"/>
        <v>15.688000000000001</v>
      </c>
      <c r="K28" s="37">
        <f t="shared" si="1"/>
        <v>347.14700000000005</v>
      </c>
      <c r="L28" s="37">
        <f t="shared" si="1"/>
        <v>397.08500000000004</v>
      </c>
      <c r="M28" s="37">
        <f t="shared" si="1"/>
        <v>8.3409999999999993</v>
      </c>
    </row>
    <row r="29" spans="1:13" ht="48" customHeight="1" x14ac:dyDescent="0.25">
      <c r="A29" s="38"/>
      <c r="B29" s="5" t="s">
        <v>64</v>
      </c>
      <c r="C29" s="6">
        <v>1200</v>
      </c>
      <c r="D29" s="7">
        <v>45</v>
      </c>
      <c r="E29" s="7">
        <v>46</v>
      </c>
      <c r="F29" s="7">
        <v>192</v>
      </c>
      <c r="G29" s="7">
        <v>1360</v>
      </c>
      <c r="H29" s="7">
        <v>450</v>
      </c>
      <c r="I29" s="7">
        <v>0.7</v>
      </c>
      <c r="J29" s="7">
        <v>35</v>
      </c>
      <c r="K29" s="7">
        <v>600</v>
      </c>
      <c r="L29" s="7">
        <v>600</v>
      </c>
      <c r="M29" s="7">
        <v>9</v>
      </c>
    </row>
  </sheetData>
  <mergeCells count="11">
    <mergeCell ref="C8:C10"/>
    <mergeCell ref="A5:B5"/>
    <mergeCell ref="A6:B6"/>
    <mergeCell ref="A7:B7"/>
    <mergeCell ref="A8:A10"/>
    <mergeCell ref="B8:B10"/>
    <mergeCell ref="D8:F8"/>
    <mergeCell ref="G8:G10"/>
    <mergeCell ref="H8:J9"/>
    <mergeCell ref="K8:M9"/>
    <mergeCell ref="D9:F9"/>
  </mergeCells>
  <pageMargins left="0.7" right="0.7" top="0.75" bottom="0.75" header="0.3" footer="0.3"/>
  <pageSetup paperSize="9" scale="87" fitToWidth="0" orientation="landscape" r:id="rId1"/>
  <colBreaks count="1" manualBreakCount="1">
    <brk id="1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0"/>
  <sheetViews>
    <sheetView showWhiteSpace="0" view="pageBreakPreview" zoomScale="80" zoomScaleNormal="70" zoomScaleSheetLayoutView="80" zoomScalePageLayoutView="70" workbookViewId="0">
      <selection activeCell="C19" sqref="C19"/>
    </sheetView>
  </sheetViews>
  <sheetFormatPr defaultColWidth="9.140625" defaultRowHeight="15" x14ac:dyDescent="0.25"/>
  <cols>
    <col min="1" max="1" width="9.140625" style="1"/>
    <col min="2" max="2" width="27.140625" style="1" customWidth="1"/>
    <col min="3" max="3" width="8.7109375" style="1" customWidth="1"/>
    <col min="4" max="4" width="7.28515625" style="1" customWidth="1"/>
    <col min="5" max="5" width="7.7109375" style="1" customWidth="1"/>
    <col min="6" max="6" width="9.28515625" style="1" customWidth="1"/>
    <col min="7" max="8" width="9.5703125" style="1" customWidth="1"/>
    <col min="9" max="9" width="7.5703125" style="1" customWidth="1"/>
    <col min="10" max="10" width="6.7109375" style="1" customWidth="1"/>
    <col min="11" max="11" width="8.5703125" style="1" customWidth="1"/>
    <col min="12" max="13" width="9.28515625" style="1" customWidth="1"/>
    <col min="14" max="16384" width="9.140625" style="1"/>
  </cols>
  <sheetData>
    <row r="1" spans="1:13" ht="14.45" customHeight="1" x14ac:dyDescent="0.25">
      <c r="A1" s="43"/>
      <c r="B1" s="8"/>
      <c r="C1" s="13"/>
      <c r="D1" s="10"/>
      <c r="E1" s="10"/>
      <c r="F1" s="10"/>
      <c r="G1" s="10"/>
      <c r="H1" s="10"/>
      <c r="I1" s="11"/>
      <c r="J1" s="10"/>
      <c r="K1" s="10"/>
      <c r="L1" s="10"/>
      <c r="M1" s="10"/>
    </row>
    <row r="2" spans="1:13" ht="15.75" hidden="1" x14ac:dyDescent="0.25">
      <c r="A2" s="43"/>
      <c r="B2" s="8"/>
      <c r="C2" s="13"/>
      <c r="D2" s="10"/>
      <c r="E2" s="10"/>
      <c r="F2" s="10"/>
      <c r="G2" s="10"/>
      <c r="H2" s="10"/>
      <c r="I2" s="11"/>
      <c r="J2" s="10"/>
      <c r="K2" s="10"/>
      <c r="L2" s="10"/>
      <c r="M2" s="10"/>
    </row>
    <row r="3" spans="1:13" ht="15.75" hidden="1" x14ac:dyDescent="0.25">
      <c r="A3" s="43"/>
      <c r="B3" s="8"/>
      <c r="C3" s="13"/>
      <c r="D3" s="10"/>
      <c r="E3" s="10"/>
      <c r="F3" s="10"/>
      <c r="G3" s="10"/>
      <c r="H3" s="10"/>
      <c r="I3" s="11"/>
      <c r="J3" s="10"/>
      <c r="K3" s="10"/>
      <c r="L3" s="10"/>
      <c r="M3" s="10"/>
    </row>
    <row r="4" spans="1:13" ht="15.75" hidden="1" x14ac:dyDescent="0.25">
      <c r="A4" s="43"/>
      <c r="B4" s="8"/>
      <c r="C4" s="13"/>
      <c r="D4" s="10"/>
      <c r="E4" s="10"/>
      <c r="F4" s="10"/>
      <c r="G4" s="10"/>
      <c r="H4" s="10"/>
      <c r="I4" s="11"/>
      <c r="J4" s="10"/>
      <c r="K4" s="10"/>
      <c r="L4" s="10"/>
      <c r="M4" s="10"/>
    </row>
    <row r="5" spans="1:13" ht="61.9" hidden="1" customHeight="1" x14ac:dyDescent="0.25">
      <c r="A5" s="43"/>
      <c r="B5" s="8"/>
      <c r="C5" s="13"/>
      <c r="D5" s="10"/>
      <c r="E5" s="10"/>
      <c r="F5" s="10"/>
      <c r="G5" s="10"/>
      <c r="H5" s="10"/>
      <c r="I5" s="11"/>
      <c r="J5" s="10"/>
      <c r="K5" s="10"/>
      <c r="L5" s="10"/>
      <c r="M5" s="10"/>
    </row>
    <row r="6" spans="1:13" x14ac:dyDescent="0.25">
      <c r="A6" s="71" t="s">
        <v>56</v>
      </c>
      <c r="B6" s="72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x14ac:dyDescent="0.25">
      <c r="A7" s="71" t="s">
        <v>9</v>
      </c>
      <c r="B7" s="72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ht="15.75" thickBot="1" x14ac:dyDescent="0.3">
      <c r="A8" s="73" t="s">
        <v>62</v>
      </c>
      <c r="B8" s="7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x14ac:dyDescent="0.25">
      <c r="A9" s="75" t="s">
        <v>10</v>
      </c>
      <c r="B9" s="75" t="s">
        <v>11</v>
      </c>
      <c r="C9" s="75" t="s">
        <v>12</v>
      </c>
      <c r="D9" s="65" t="s">
        <v>13</v>
      </c>
      <c r="E9" s="66"/>
      <c r="F9" s="67"/>
      <c r="G9" s="80" t="s">
        <v>14</v>
      </c>
      <c r="H9" s="65" t="s">
        <v>15</v>
      </c>
      <c r="I9" s="66"/>
      <c r="J9" s="67"/>
      <c r="K9" s="65" t="s">
        <v>16</v>
      </c>
      <c r="L9" s="66"/>
      <c r="M9" s="67"/>
    </row>
    <row r="10" spans="1:13" ht="15.75" thickBot="1" x14ac:dyDescent="0.3">
      <c r="A10" s="76"/>
      <c r="B10" s="78"/>
      <c r="C10" s="78"/>
      <c r="D10" s="68" t="s">
        <v>17</v>
      </c>
      <c r="E10" s="69"/>
      <c r="F10" s="70"/>
      <c r="G10" s="81"/>
      <c r="H10" s="68"/>
      <c r="I10" s="69"/>
      <c r="J10" s="70"/>
      <c r="K10" s="68"/>
      <c r="L10" s="69"/>
      <c r="M10" s="70"/>
    </row>
    <row r="11" spans="1:13" ht="17.25" thickBot="1" x14ac:dyDescent="0.3">
      <c r="A11" s="77"/>
      <c r="B11" s="79"/>
      <c r="C11" s="79"/>
      <c r="D11" s="15" t="s">
        <v>18</v>
      </c>
      <c r="E11" s="15" t="s">
        <v>19</v>
      </c>
      <c r="F11" s="15" t="s">
        <v>20</v>
      </c>
      <c r="G11" s="82"/>
      <c r="H11" s="15" t="s">
        <v>21</v>
      </c>
      <c r="I11" s="15" t="s">
        <v>40</v>
      </c>
      <c r="J11" s="15" t="s">
        <v>23</v>
      </c>
      <c r="K11" s="15" t="s">
        <v>24</v>
      </c>
      <c r="L11" s="15" t="s">
        <v>39</v>
      </c>
      <c r="M11" s="15" t="s">
        <v>25</v>
      </c>
    </row>
    <row r="12" spans="1:13" ht="18.75" x14ac:dyDescent="0.25">
      <c r="A12" s="2"/>
      <c r="B12" s="27" t="s">
        <v>26</v>
      </c>
      <c r="C12" s="3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1:13" x14ac:dyDescent="0.25">
      <c r="A13" s="6">
        <v>291</v>
      </c>
      <c r="B13" s="24" t="s">
        <v>81</v>
      </c>
      <c r="C13" s="25">
        <v>200</v>
      </c>
      <c r="D13" s="6">
        <f>20.7*C13/1000</f>
        <v>4.1399999999999997</v>
      </c>
      <c r="E13" s="6">
        <f>32.4*C13/1000</f>
        <v>6.48</v>
      </c>
      <c r="F13" s="6">
        <f>94.3*C13/1000</f>
        <v>18.86</v>
      </c>
      <c r="G13" s="6">
        <f>751*C13/1000</f>
        <v>150.19999999999999</v>
      </c>
      <c r="H13" s="6">
        <v>0</v>
      </c>
      <c r="I13" s="6">
        <f>0.3*C13/1000</f>
        <v>0.06</v>
      </c>
      <c r="J13" s="6">
        <f>171.6*C13/1000</f>
        <v>34.32</v>
      </c>
      <c r="K13" s="6">
        <f>554.5*C13/1000</f>
        <v>110.9</v>
      </c>
      <c r="L13" s="6">
        <f>401.4*C13/1000</f>
        <v>80.28</v>
      </c>
      <c r="M13" s="6">
        <f>8.1*C13/1000</f>
        <v>1.62</v>
      </c>
    </row>
    <row r="14" spans="1:13" x14ac:dyDescent="0.25">
      <c r="A14" s="28">
        <v>55</v>
      </c>
      <c r="B14" s="24" t="s">
        <v>74</v>
      </c>
      <c r="C14" s="25">
        <v>60</v>
      </c>
      <c r="D14" s="6">
        <v>0.9</v>
      </c>
      <c r="E14" s="6">
        <v>3.6</v>
      </c>
      <c r="F14" s="6">
        <v>3.8</v>
      </c>
      <c r="G14" s="6">
        <v>51</v>
      </c>
      <c r="H14" s="6">
        <v>0</v>
      </c>
      <c r="I14" s="6">
        <v>0</v>
      </c>
      <c r="J14" s="6">
        <v>3.6</v>
      </c>
      <c r="K14" s="6">
        <v>18.399999999999999</v>
      </c>
      <c r="L14" s="6">
        <v>23.7</v>
      </c>
      <c r="M14" s="6">
        <v>0.6</v>
      </c>
    </row>
    <row r="15" spans="1:13" x14ac:dyDescent="0.25">
      <c r="A15" s="6">
        <v>379</v>
      </c>
      <c r="B15" s="24" t="s">
        <v>41</v>
      </c>
      <c r="C15" s="25">
        <v>180</v>
      </c>
      <c r="D15" s="26">
        <f>15.8*C15/1000</f>
        <v>2.8439999999999999</v>
      </c>
      <c r="E15" s="26">
        <f>13.4*C15/1000</f>
        <v>2.4119999999999999</v>
      </c>
      <c r="F15" s="26">
        <f>79.7*C15/1000</f>
        <v>14.346</v>
      </c>
      <c r="G15" s="26">
        <f>503*C15/1000</f>
        <v>90.54</v>
      </c>
      <c r="H15" s="26">
        <f>100*C15/1000</f>
        <v>18</v>
      </c>
      <c r="I15" s="26">
        <f>0.22*C15/1000</f>
        <v>3.9600000000000003E-2</v>
      </c>
      <c r="J15" s="26">
        <f>6.5*C15/1000</f>
        <v>1.17</v>
      </c>
      <c r="K15" s="26">
        <f>628.9*C15/1000</f>
        <v>113.202</v>
      </c>
      <c r="L15" s="26">
        <f>450*C15/1000</f>
        <v>81</v>
      </c>
      <c r="M15" s="26">
        <f>0.7*C15/1000</f>
        <v>0.12599999999999997</v>
      </c>
    </row>
    <row r="16" spans="1:13" x14ac:dyDescent="0.25">
      <c r="A16" s="28" t="s">
        <v>27</v>
      </c>
      <c r="B16" s="24" t="s">
        <v>3</v>
      </c>
      <c r="C16" s="25">
        <v>40</v>
      </c>
      <c r="D16" s="6">
        <f>107*C16/1000</f>
        <v>4.28</v>
      </c>
      <c r="E16" s="6">
        <f>45*C16/1000</f>
        <v>1.8</v>
      </c>
      <c r="F16" s="6">
        <f>435*C16/1000</f>
        <v>17.399999999999999</v>
      </c>
      <c r="G16" s="6">
        <f>2740*C16/1000</f>
        <v>109.6</v>
      </c>
      <c r="H16" s="6">
        <f>0</f>
        <v>0</v>
      </c>
      <c r="I16" s="6">
        <f>4.1*C16/1000</f>
        <v>0.16400000000000001</v>
      </c>
      <c r="J16" s="6">
        <f>2*C16/1000</f>
        <v>0.08</v>
      </c>
      <c r="K16" s="6">
        <f>1250*C16/1000</f>
        <v>50</v>
      </c>
      <c r="L16" s="6">
        <f>1290*C16/1000</f>
        <v>51.6</v>
      </c>
      <c r="M16" s="6">
        <f>36*C16/1000</f>
        <v>1.44</v>
      </c>
    </row>
    <row r="17" spans="1:13" x14ac:dyDescent="0.25">
      <c r="A17" s="64"/>
      <c r="B17" s="24" t="s">
        <v>2</v>
      </c>
      <c r="C17" s="24">
        <v>20</v>
      </c>
      <c r="D17" s="26">
        <v>3.35</v>
      </c>
      <c r="E17" s="26">
        <v>3.7749999999999999</v>
      </c>
      <c r="F17" s="26">
        <v>36.03</v>
      </c>
      <c r="G17" s="26">
        <v>191.5</v>
      </c>
      <c r="H17" s="26">
        <v>20</v>
      </c>
      <c r="I17" s="26">
        <v>0.08</v>
      </c>
      <c r="J17" s="26">
        <v>0</v>
      </c>
      <c r="K17" s="26">
        <v>9.875</v>
      </c>
      <c r="L17" s="26">
        <v>37.484999999999999</v>
      </c>
      <c r="M17" s="26">
        <v>0.71499999999999997</v>
      </c>
    </row>
    <row r="18" spans="1:13" x14ac:dyDescent="0.25">
      <c r="A18" s="29" t="s">
        <v>31</v>
      </c>
      <c r="B18" s="24" t="s">
        <v>0</v>
      </c>
      <c r="C18" s="25">
        <v>20</v>
      </c>
      <c r="D18" s="26">
        <f>85*C18/1000</f>
        <v>1.7</v>
      </c>
      <c r="E18" s="26">
        <f>33*C18/1000</f>
        <v>0.66</v>
      </c>
      <c r="F18" s="26">
        <f>425*C18/1000</f>
        <v>8.5</v>
      </c>
      <c r="G18" s="26">
        <f>2590*C18/1000</f>
        <v>51.8</v>
      </c>
      <c r="H18" s="30">
        <f>0</f>
        <v>0</v>
      </c>
      <c r="I18" s="26">
        <f>4.3*C18/1000</f>
        <v>8.5999999999999993E-2</v>
      </c>
      <c r="J18" s="26">
        <f>4*C18/1000</f>
        <v>0.08</v>
      </c>
      <c r="K18" s="26">
        <f>730*C18/1000</f>
        <v>14.6</v>
      </c>
      <c r="L18" s="26">
        <f>1250*C18/1000</f>
        <v>25</v>
      </c>
      <c r="M18" s="26">
        <f>28.3*C18/1000</f>
        <v>0.56599999999999995</v>
      </c>
    </row>
    <row r="19" spans="1:13" x14ac:dyDescent="0.25">
      <c r="A19" s="29"/>
      <c r="B19" s="24"/>
      <c r="C19" s="25"/>
      <c r="D19" s="26"/>
      <c r="E19" s="26"/>
      <c r="F19" s="26"/>
      <c r="G19" s="26"/>
      <c r="H19" s="30"/>
      <c r="I19" s="26"/>
      <c r="J19" s="26"/>
      <c r="K19" s="26"/>
      <c r="L19" s="26"/>
      <c r="M19" s="26"/>
    </row>
    <row r="20" spans="1:13" x14ac:dyDescent="0.25">
      <c r="A20" s="6"/>
      <c r="B20" s="31" t="s">
        <v>28</v>
      </c>
      <c r="C20" s="40">
        <f t="shared" ref="C20:M20" si="0">SUM(C13:C19)</f>
        <v>520</v>
      </c>
      <c r="D20" s="33">
        <f t="shared" si="0"/>
        <v>17.214000000000002</v>
      </c>
      <c r="E20" s="33">
        <f t="shared" si="0"/>
        <v>18.727</v>
      </c>
      <c r="F20" s="33">
        <f t="shared" si="0"/>
        <v>98.936000000000007</v>
      </c>
      <c r="G20" s="33">
        <f t="shared" si="0"/>
        <v>644.64</v>
      </c>
      <c r="H20" s="33">
        <f t="shared" si="0"/>
        <v>38</v>
      </c>
      <c r="I20" s="33">
        <f t="shared" si="0"/>
        <v>0.42959999999999998</v>
      </c>
      <c r="J20" s="33">
        <f t="shared" si="0"/>
        <v>39.25</v>
      </c>
      <c r="K20" s="33">
        <f t="shared" si="0"/>
        <v>316.97700000000003</v>
      </c>
      <c r="L20" s="33">
        <f t="shared" si="0"/>
        <v>299.065</v>
      </c>
      <c r="M20" s="33">
        <f t="shared" si="0"/>
        <v>5.0670000000000002</v>
      </c>
    </row>
    <row r="21" spans="1:13" ht="18.75" x14ac:dyDescent="0.25">
      <c r="A21" s="6"/>
      <c r="B21" s="34" t="s">
        <v>29</v>
      </c>
      <c r="C21" s="4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5">
      <c r="A22" s="6">
        <v>102</v>
      </c>
      <c r="B22" s="24" t="s">
        <v>38</v>
      </c>
      <c r="C22" s="25">
        <v>200</v>
      </c>
      <c r="D22" s="6">
        <f>22*C22/1000</f>
        <v>4.4000000000000004</v>
      </c>
      <c r="E22" s="6">
        <f>21.1*C22/1000</f>
        <v>4.22</v>
      </c>
      <c r="F22" s="6">
        <f>66.1*C22/1000</f>
        <v>13.219999999999999</v>
      </c>
      <c r="G22" s="6">
        <f>593*C22/1000</f>
        <v>118.6</v>
      </c>
      <c r="H22" s="6">
        <f>0</f>
        <v>0</v>
      </c>
      <c r="I22" s="6">
        <f>0.9*C22/1000</f>
        <v>0.18</v>
      </c>
      <c r="J22" s="6">
        <f>23.3*C22/1000</f>
        <v>4.66</v>
      </c>
      <c r="K22" s="6">
        <f>170.7*C22/1000</f>
        <v>34.14</v>
      </c>
      <c r="L22" s="6">
        <f>352.4*C22/1000</f>
        <v>70.48</v>
      </c>
      <c r="M22" s="6">
        <f>8.2*C22/1000</f>
        <v>1.6399999999999997</v>
      </c>
    </row>
    <row r="23" spans="1:13" ht="30" x14ac:dyDescent="0.25">
      <c r="A23" s="41">
        <v>223</v>
      </c>
      <c r="B23" s="45" t="s">
        <v>79</v>
      </c>
      <c r="C23" s="25">
        <v>170</v>
      </c>
      <c r="D23" s="26">
        <f>122.8*C23/1000</f>
        <v>20.876000000000001</v>
      </c>
      <c r="E23" s="26">
        <f>109.6*C23/1000</f>
        <v>18.632000000000001</v>
      </c>
      <c r="F23" s="26">
        <f>97.5*C23/1000</f>
        <v>16.574999999999999</v>
      </c>
      <c r="G23" s="26">
        <f>1862.5*C23/1000</f>
        <v>316.625</v>
      </c>
      <c r="H23" s="26">
        <f>482.5*C23/1000</f>
        <v>82.025000000000006</v>
      </c>
      <c r="I23" s="26">
        <f>0.5*C23/1000</f>
        <v>8.5000000000000006E-2</v>
      </c>
      <c r="J23" s="26">
        <f>1.8*C23/1000</f>
        <v>0.30599999999999999</v>
      </c>
      <c r="K23" s="26">
        <f>1093.6*C23/1000</f>
        <v>185.91199999999998</v>
      </c>
      <c r="L23" s="26">
        <f>1498.8*C23/1000</f>
        <v>254.79599999999999</v>
      </c>
      <c r="M23" s="26">
        <f>5*C23/1000</f>
        <v>0.85</v>
      </c>
    </row>
    <row r="24" spans="1:13" x14ac:dyDescent="0.25">
      <c r="A24" s="6">
        <v>349</v>
      </c>
      <c r="B24" s="24" t="s">
        <v>4</v>
      </c>
      <c r="C24" s="25">
        <v>200</v>
      </c>
      <c r="D24" s="6">
        <f>3.3*C24/1000</f>
        <v>0.66</v>
      </c>
      <c r="E24" s="6">
        <f>0.5*C24/1000</f>
        <v>0.1</v>
      </c>
      <c r="F24" s="6">
        <f>160.1*C24/1000</f>
        <v>32.020000000000003</v>
      </c>
      <c r="G24" s="6">
        <f>664*C24/1000</f>
        <v>132.80000000000001</v>
      </c>
      <c r="H24" s="6">
        <f>0</f>
        <v>0</v>
      </c>
      <c r="I24" s="6">
        <f>0.1*C24/1000</f>
        <v>0.02</v>
      </c>
      <c r="J24" s="6">
        <f>5.6*C24/1000</f>
        <v>1.1200000000000001</v>
      </c>
      <c r="K24" s="6">
        <f>162.4*C24/1000</f>
        <v>32.479999999999997</v>
      </c>
      <c r="L24" s="6">
        <f>117.2*C24/1000</f>
        <v>23.44</v>
      </c>
      <c r="M24" s="6">
        <f>3.5*C24/1000</f>
        <v>0.7</v>
      </c>
    </row>
    <row r="25" spans="1:13" x14ac:dyDescent="0.25">
      <c r="A25" s="28" t="s">
        <v>27</v>
      </c>
      <c r="B25" s="24" t="s">
        <v>3</v>
      </c>
      <c r="C25" s="25">
        <v>40</v>
      </c>
      <c r="D25" s="6">
        <f>107*C25/1000</f>
        <v>4.28</v>
      </c>
      <c r="E25" s="6">
        <f>45*C25/1000</f>
        <v>1.8</v>
      </c>
      <c r="F25" s="6">
        <f>435*C25/1000</f>
        <v>17.399999999999999</v>
      </c>
      <c r="G25" s="6">
        <f>2740*C25/1000</f>
        <v>109.6</v>
      </c>
      <c r="H25" s="6">
        <f>0</f>
        <v>0</v>
      </c>
      <c r="I25" s="6">
        <f>4.1*C25/1000</f>
        <v>0.16400000000000001</v>
      </c>
      <c r="J25" s="6">
        <f>2*C25/1000</f>
        <v>0.08</v>
      </c>
      <c r="K25" s="6">
        <f>1250*C25/1000</f>
        <v>50</v>
      </c>
      <c r="L25" s="6">
        <f>1290*C25/1000</f>
        <v>51.6</v>
      </c>
      <c r="M25" s="6">
        <f>36*C25/1000</f>
        <v>1.44</v>
      </c>
    </row>
    <row r="26" spans="1:13" x14ac:dyDescent="0.25">
      <c r="A26" s="29" t="s">
        <v>31</v>
      </c>
      <c r="B26" s="24" t="s">
        <v>0</v>
      </c>
      <c r="C26" s="25">
        <v>20</v>
      </c>
      <c r="D26" s="26">
        <f>85*C26/1000</f>
        <v>1.7</v>
      </c>
      <c r="E26" s="26">
        <f>33*C26/1000</f>
        <v>0.66</v>
      </c>
      <c r="F26" s="26">
        <f>425*C26/1000</f>
        <v>8.5</v>
      </c>
      <c r="G26" s="26">
        <f>2590*C26/1000</f>
        <v>51.8</v>
      </c>
      <c r="H26" s="30">
        <f>0</f>
        <v>0</v>
      </c>
      <c r="I26" s="26">
        <f>4.3*C26/1000</f>
        <v>8.5999999999999993E-2</v>
      </c>
      <c r="J26" s="26">
        <f>4*C26/1000</f>
        <v>0.08</v>
      </c>
      <c r="K26" s="26">
        <f>730*C26/1000</f>
        <v>14.6</v>
      </c>
      <c r="L26" s="26">
        <f>1250*C26/1000</f>
        <v>25</v>
      </c>
      <c r="M26" s="26">
        <f>28.3*C26/1000</f>
        <v>0.56599999999999995</v>
      </c>
    </row>
    <row r="27" spans="1:13" x14ac:dyDescent="0.25">
      <c r="A27" s="41"/>
      <c r="B27" s="31" t="s">
        <v>28</v>
      </c>
      <c r="C27" s="40">
        <f>SUM(C22:C26)</f>
        <v>630</v>
      </c>
      <c r="D27" s="33">
        <f t="shared" ref="D27:M27" si="1">SUM(D22:D26)</f>
        <v>31.916000000000004</v>
      </c>
      <c r="E27" s="33">
        <f t="shared" si="1"/>
        <v>25.412000000000003</v>
      </c>
      <c r="F27" s="33">
        <f t="shared" si="1"/>
        <v>87.715000000000003</v>
      </c>
      <c r="G27" s="33">
        <f t="shared" si="1"/>
        <v>729.42500000000007</v>
      </c>
      <c r="H27" s="33">
        <f t="shared" si="1"/>
        <v>82.025000000000006</v>
      </c>
      <c r="I27" s="33">
        <f t="shared" si="1"/>
        <v>0.53500000000000003</v>
      </c>
      <c r="J27" s="33">
        <f t="shared" si="1"/>
        <v>6.2460000000000004</v>
      </c>
      <c r="K27" s="33">
        <f t="shared" si="1"/>
        <v>317.13199999999995</v>
      </c>
      <c r="L27" s="33">
        <f t="shared" si="1"/>
        <v>425.31600000000003</v>
      </c>
      <c r="M27" s="33">
        <f t="shared" si="1"/>
        <v>5.1959999999999988</v>
      </c>
    </row>
    <row r="28" spans="1:13" ht="18.75" x14ac:dyDescent="0.25">
      <c r="A28" s="41"/>
      <c r="B28" s="35" t="s">
        <v>32</v>
      </c>
      <c r="C28" s="42">
        <v>1200</v>
      </c>
      <c r="D28" s="37">
        <f t="shared" ref="D28:M28" si="2">D20+D27</f>
        <v>49.13000000000001</v>
      </c>
      <c r="E28" s="37">
        <f t="shared" si="2"/>
        <v>44.139000000000003</v>
      </c>
      <c r="F28" s="37">
        <f t="shared" si="2"/>
        <v>186.65100000000001</v>
      </c>
      <c r="G28" s="37">
        <f t="shared" si="2"/>
        <v>1374.0650000000001</v>
      </c>
      <c r="H28" s="37">
        <f t="shared" si="2"/>
        <v>120.02500000000001</v>
      </c>
      <c r="I28" s="37">
        <f t="shared" si="2"/>
        <v>0.96460000000000001</v>
      </c>
      <c r="J28" s="37">
        <f t="shared" si="2"/>
        <v>45.496000000000002</v>
      </c>
      <c r="K28" s="37">
        <f t="shared" si="2"/>
        <v>634.10899999999992</v>
      </c>
      <c r="L28" s="37">
        <f t="shared" si="2"/>
        <v>724.38100000000009</v>
      </c>
      <c r="M28" s="37">
        <f t="shared" si="2"/>
        <v>10.262999999999998</v>
      </c>
    </row>
    <row r="29" spans="1:13" ht="18" customHeight="1" x14ac:dyDescent="0.25">
      <c r="A29" s="38"/>
      <c r="B29" s="5" t="s">
        <v>64</v>
      </c>
      <c r="C29" s="6">
        <v>1200</v>
      </c>
      <c r="D29" s="7">
        <v>45</v>
      </c>
      <c r="E29" s="7">
        <v>46</v>
      </c>
      <c r="F29" s="7">
        <v>192</v>
      </c>
      <c r="G29" s="7">
        <v>1360</v>
      </c>
      <c r="H29" s="7">
        <v>450</v>
      </c>
      <c r="I29" s="7">
        <v>0.7</v>
      </c>
      <c r="J29" s="7">
        <v>35</v>
      </c>
      <c r="K29" s="7">
        <v>600</v>
      </c>
      <c r="L29" s="7">
        <v>600</v>
      </c>
      <c r="M29" s="7">
        <v>9</v>
      </c>
    </row>
    <row r="30" spans="1:13" ht="15.75" x14ac:dyDescent="0.25">
      <c r="A30" s="43"/>
      <c r="B30" s="8"/>
      <c r="C30" s="13"/>
      <c r="D30" s="10"/>
      <c r="E30" s="10"/>
      <c r="F30" s="10"/>
      <c r="G30" s="10"/>
      <c r="H30" s="10"/>
      <c r="I30" s="11"/>
      <c r="J30" s="10"/>
      <c r="K30" s="10"/>
      <c r="L30" s="10"/>
      <c r="M30" s="10"/>
    </row>
  </sheetData>
  <mergeCells count="11">
    <mergeCell ref="C9:C11"/>
    <mergeCell ref="A6:B6"/>
    <mergeCell ref="A7:B7"/>
    <mergeCell ref="A8:B8"/>
    <mergeCell ref="A9:A11"/>
    <mergeCell ref="B9:B11"/>
    <mergeCell ref="D9:F9"/>
    <mergeCell ref="G9:G11"/>
    <mergeCell ref="H9:J10"/>
    <mergeCell ref="K9:M10"/>
    <mergeCell ref="D10:F10"/>
  </mergeCells>
  <pageMargins left="0.7" right="0.7" top="0.75" bottom="0.75" header="0.3" footer="0.3"/>
  <pageSetup paperSize="9" scale="87" fitToWidth="0" orientation="landscape" r:id="rId1"/>
  <colBreaks count="1" manualBreakCount="1">
    <brk id="1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4"/>
  <sheetViews>
    <sheetView showWhiteSpace="0" view="pageBreakPreview" zoomScale="80" zoomScaleNormal="70" zoomScaleSheetLayoutView="80" zoomScalePageLayoutView="70" workbookViewId="0">
      <selection activeCell="Q14" sqref="Q14"/>
    </sheetView>
  </sheetViews>
  <sheetFormatPr defaultColWidth="9.140625" defaultRowHeight="15" x14ac:dyDescent="0.25"/>
  <cols>
    <col min="1" max="1" width="9.140625" style="1"/>
    <col min="2" max="2" width="27.140625" style="1" customWidth="1"/>
    <col min="3" max="3" width="8.7109375" style="1" customWidth="1"/>
    <col min="4" max="4" width="7.28515625" style="1" customWidth="1"/>
    <col min="5" max="5" width="7.7109375" style="1" customWidth="1"/>
    <col min="6" max="6" width="9.28515625" style="1" customWidth="1"/>
    <col min="7" max="8" width="9.5703125" style="1" customWidth="1"/>
    <col min="9" max="9" width="7.5703125" style="1" customWidth="1"/>
    <col min="10" max="10" width="6.7109375" style="1" customWidth="1"/>
    <col min="11" max="11" width="8.5703125" style="1" customWidth="1"/>
    <col min="12" max="13" width="9.28515625" style="1" customWidth="1"/>
    <col min="14" max="16384" width="9.140625" style="1"/>
  </cols>
  <sheetData>
    <row r="1" spans="1:13" x14ac:dyDescent="0.25">
      <c r="A1" s="71" t="s">
        <v>60</v>
      </c>
      <c r="B1" s="72"/>
    </row>
    <row r="2" spans="1:13" x14ac:dyDescent="0.25">
      <c r="A2" s="71" t="s">
        <v>9</v>
      </c>
      <c r="B2" s="72"/>
    </row>
    <row r="3" spans="1:13" ht="15.75" thickBot="1" x14ac:dyDescent="0.3">
      <c r="A3" s="73" t="s">
        <v>65</v>
      </c>
      <c r="B3" s="74"/>
    </row>
    <row r="4" spans="1:13" ht="15.75" x14ac:dyDescent="0.25">
      <c r="A4" s="83" t="s">
        <v>10</v>
      </c>
      <c r="B4" s="83" t="s">
        <v>11</v>
      </c>
      <c r="C4" s="83" t="s">
        <v>12</v>
      </c>
      <c r="D4" s="86" t="s">
        <v>13</v>
      </c>
      <c r="E4" s="87"/>
      <c r="F4" s="88"/>
      <c r="G4" s="83" t="s">
        <v>14</v>
      </c>
      <c r="H4" s="86" t="s">
        <v>15</v>
      </c>
      <c r="I4" s="87"/>
      <c r="J4" s="88"/>
      <c r="K4" s="86" t="s">
        <v>16</v>
      </c>
      <c r="L4" s="87"/>
      <c r="M4" s="88"/>
    </row>
    <row r="5" spans="1:13" ht="16.5" thickBot="1" x14ac:dyDescent="0.3">
      <c r="A5" s="76"/>
      <c r="B5" s="84"/>
      <c r="C5" s="84"/>
      <c r="D5" s="89" t="s">
        <v>17</v>
      </c>
      <c r="E5" s="90"/>
      <c r="F5" s="91"/>
      <c r="G5" s="84"/>
      <c r="H5" s="89"/>
      <c r="I5" s="90"/>
      <c r="J5" s="91"/>
      <c r="K5" s="89"/>
      <c r="L5" s="90"/>
      <c r="M5" s="91"/>
    </row>
    <row r="6" spans="1:13" ht="18" customHeight="1" thickBot="1" x14ac:dyDescent="0.3">
      <c r="A6" s="77"/>
      <c r="B6" s="85"/>
      <c r="C6" s="85"/>
      <c r="D6" s="50" t="s">
        <v>18</v>
      </c>
      <c r="E6" s="50" t="s">
        <v>19</v>
      </c>
      <c r="F6" s="50" t="s">
        <v>20</v>
      </c>
      <c r="G6" s="85"/>
      <c r="H6" s="50" t="s">
        <v>21</v>
      </c>
      <c r="I6" s="50" t="s">
        <v>22</v>
      </c>
      <c r="J6" s="50" t="s">
        <v>23</v>
      </c>
      <c r="K6" s="50" t="s">
        <v>24</v>
      </c>
      <c r="L6" s="50" t="s">
        <v>39</v>
      </c>
      <c r="M6" s="50" t="s">
        <v>25</v>
      </c>
    </row>
    <row r="7" spans="1:13" ht="15.95" customHeight="1" x14ac:dyDescent="0.25">
      <c r="A7" s="51"/>
      <c r="B7" s="52" t="s">
        <v>26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</row>
    <row r="8" spans="1:13" ht="22.15" customHeight="1" x14ac:dyDescent="0.25">
      <c r="A8" s="41">
        <v>204</v>
      </c>
      <c r="B8" s="24" t="s">
        <v>50</v>
      </c>
      <c r="C8" s="25">
        <v>200</v>
      </c>
      <c r="D8" s="20">
        <f>67.7*C8/1000</f>
        <v>13.54</v>
      </c>
      <c r="E8" s="20">
        <f>79.7*C8/1000</f>
        <v>15.94</v>
      </c>
      <c r="F8" s="20">
        <f>170.6*C8/1000</f>
        <v>34.119999999999997</v>
      </c>
      <c r="G8" s="20">
        <f>1123*C8/1000</f>
        <v>224.6</v>
      </c>
      <c r="H8" s="20">
        <f>576*C8/1000</f>
        <v>115.2</v>
      </c>
      <c r="I8" s="20">
        <f>0.4*C8/1000</f>
        <v>0.08</v>
      </c>
      <c r="J8" s="20">
        <f>1.1*C8/1000</f>
        <v>0.22000000000000003</v>
      </c>
      <c r="K8" s="20">
        <f>1476*C8/1000</f>
        <v>295.2</v>
      </c>
      <c r="L8" s="20">
        <f>1010*C8/1000</f>
        <v>202</v>
      </c>
      <c r="M8" s="20">
        <f>6.2*C8/1000</f>
        <v>1.24</v>
      </c>
    </row>
    <row r="9" spans="1:13" ht="18" customHeight="1" x14ac:dyDescent="0.25">
      <c r="A9" s="6">
        <v>382</v>
      </c>
      <c r="B9" s="24" t="s">
        <v>42</v>
      </c>
      <c r="C9" s="25">
        <v>200</v>
      </c>
      <c r="D9" s="26">
        <f>20.4*C9/1000</f>
        <v>4.0799999999999992</v>
      </c>
      <c r="E9" s="26">
        <f>17.7*C9/1000</f>
        <v>3.54</v>
      </c>
      <c r="F9" s="26">
        <f>87.9*C9/1000</f>
        <v>17.579999999999998</v>
      </c>
      <c r="G9" s="26">
        <f>593*C9/1000</f>
        <v>118.6</v>
      </c>
      <c r="H9" s="26">
        <f>122*C9/1000</f>
        <v>24.4</v>
      </c>
      <c r="I9" s="26">
        <f>0.28*C9/1000</f>
        <v>5.6000000000000008E-2</v>
      </c>
      <c r="J9" s="26">
        <f>7.9*C9/1000</f>
        <v>1.58</v>
      </c>
      <c r="K9" s="26">
        <f>761.1*C9/1000</f>
        <v>152.22</v>
      </c>
      <c r="L9" s="26">
        <f>622.8*C9/1000</f>
        <v>124.55999999999999</v>
      </c>
      <c r="M9" s="26">
        <f>2.4*C9/1000</f>
        <v>0.48</v>
      </c>
    </row>
    <row r="10" spans="1:13" ht="15" customHeight="1" x14ac:dyDescent="0.25">
      <c r="A10" s="56" t="s">
        <v>27</v>
      </c>
      <c r="B10" s="24" t="s">
        <v>3</v>
      </c>
      <c r="C10" s="25">
        <v>40</v>
      </c>
      <c r="D10" s="54">
        <f>107*C10/1000</f>
        <v>4.28</v>
      </c>
      <c r="E10" s="54">
        <f>45*C10/1000</f>
        <v>1.8</v>
      </c>
      <c r="F10" s="54">
        <f>435*C10/1000</f>
        <v>17.399999999999999</v>
      </c>
      <c r="G10" s="54">
        <f>2740*C10/1000</f>
        <v>109.6</v>
      </c>
      <c r="H10" s="54">
        <f>0</f>
        <v>0</v>
      </c>
      <c r="I10" s="54">
        <f>4.1*C10/1000</f>
        <v>0.16400000000000001</v>
      </c>
      <c r="J10" s="54">
        <f>2*C10/1000</f>
        <v>0.08</v>
      </c>
      <c r="K10" s="54">
        <f>1250*C10/1000</f>
        <v>50</v>
      </c>
      <c r="L10" s="54">
        <f>1290*C10/1000</f>
        <v>51.6</v>
      </c>
      <c r="M10" s="54">
        <f>36*C10/1000</f>
        <v>1.44</v>
      </c>
    </row>
    <row r="11" spans="1:13" ht="19.149999999999999" customHeight="1" x14ac:dyDescent="0.25">
      <c r="A11" s="57" t="s">
        <v>31</v>
      </c>
      <c r="B11" s="24" t="s">
        <v>0</v>
      </c>
      <c r="C11" s="25">
        <v>20</v>
      </c>
      <c r="D11" s="55">
        <f>85*C11/1000</f>
        <v>1.7</v>
      </c>
      <c r="E11" s="55">
        <f>33*C11/1000</f>
        <v>0.66</v>
      </c>
      <c r="F11" s="55">
        <f>425*C11/1000</f>
        <v>8.5</v>
      </c>
      <c r="G11" s="55">
        <f>2590*C11/1000</f>
        <v>51.8</v>
      </c>
      <c r="H11" s="49">
        <f>0</f>
        <v>0</v>
      </c>
      <c r="I11" s="55">
        <f>4.3*C11/1000</f>
        <v>8.5999999999999993E-2</v>
      </c>
      <c r="J11" s="55">
        <f>4*C11/1000</f>
        <v>0.08</v>
      </c>
      <c r="K11" s="55">
        <f>730*C11/1000</f>
        <v>14.6</v>
      </c>
      <c r="L11" s="55">
        <f>1250*C11/1000</f>
        <v>25</v>
      </c>
      <c r="M11" s="55">
        <f>28.3*C11/1000</f>
        <v>0.56599999999999995</v>
      </c>
    </row>
    <row r="12" spans="1:13" ht="15.95" customHeight="1" x14ac:dyDescent="0.25">
      <c r="A12" s="64"/>
      <c r="B12" s="24" t="s">
        <v>2</v>
      </c>
      <c r="C12" s="24">
        <v>40</v>
      </c>
      <c r="D12" s="26">
        <v>3.35</v>
      </c>
      <c r="E12" s="26">
        <v>3.7749999999999999</v>
      </c>
      <c r="F12" s="26">
        <v>36.03</v>
      </c>
      <c r="G12" s="26">
        <v>191.5</v>
      </c>
      <c r="H12" s="26">
        <v>20</v>
      </c>
      <c r="I12" s="26">
        <v>0.08</v>
      </c>
      <c r="J12" s="26">
        <v>0</v>
      </c>
      <c r="K12" s="26">
        <v>9.875</v>
      </c>
      <c r="L12" s="26">
        <v>37.484999999999999</v>
      </c>
      <c r="M12" s="26">
        <v>0.71499999999999997</v>
      </c>
    </row>
    <row r="13" spans="1:13" ht="15.95" customHeight="1" x14ac:dyDescent="0.25">
      <c r="A13" s="28"/>
      <c r="B13" s="31" t="s">
        <v>28</v>
      </c>
      <c r="C13" s="32">
        <f t="shared" ref="C13:M13" si="0">SUM(C8:C12)</f>
        <v>500</v>
      </c>
      <c r="D13" s="33">
        <f t="shared" si="0"/>
        <v>26.95</v>
      </c>
      <c r="E13" s="33">
        <f t="shared" si="0"/>
        <v>25.715</v>
      </c>
      <c r="F13" s="33">
        <f t="shared" si="0"/>
        <v>113.63</v>
      </c>
      <c r="G13" s="33">
        <f t="shared" si="0"/>
        <v>696.09999999999991</v>
      </c>
      <c r="H13" s="33">
        <f t="shared" si="0"/>
        <v>159.6</v>
      </c>
      <c r="I13" s="33">
        <f t="shared" si="0"/>
        <v>0.46600000000000003</v>
      </c>
      <c r="J13" s="33">
        <f t="shared" si="0"/>
        <v>1.9600000000000002</v>
      </c>
      <c r="K13" s="33">
        <f t="shared" si="0"/>
        <v>521.89499999999998</v>
      </c>
      <c r="L13" s="33">
        <f t="shared" si="0"/>
        <v>440.64500000000004</v>
      </c>
      <c r="M13" s="33">
        <f t="shared" si="0"/>
        <v>4.4409999999999998</v>
      </c>
    </row>
    <row r="14" spans="1:13" ht="15.95" customHeight="1" x14ac:dyDescent="0.25">
      <c r="A14" s="28"/>
      <c r="B14" s="34" t="s">
        <v>29</v>
      </c>
      <c r="C14" s="4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ht="33.6" customHeight="1" x14ac:dyDescent="0.25">
      <c r="A15" s="6">
        <v>95</v>
      </c>
      <c r="B15" s="45" t="s">
        <v>82</v>
      </c>
      <c r="C15" s="25">
        <v>200</v>
      </c>
      <c r="D15" s="6">
        <v>6.9</v>
      </c>
      <c r="E15" s="6">
        <v>6.7</v>
      </c>
      <c r="F15" s="6">
        <v>11.5</v>
      </c>
      <c r="G15" s="6">
        <v>173.8</v>
      </c>
      <c r="H15" s="6">
        <v>12</v>
      </c>
      <c r="I15" s="6">
        <v>0.1</v>
      </c>
      <c r="J15" s="6">
        <v>7.3</v>
      </c>
      <c r="K15" s="6">
        <v>36.200000000000003</v>
      </c>
      <c r="L15" s="6">
        <v>141.19999999999999</v>
      </c>
      <c r="M15" s="6">
        <v>1</v>
      </c>
    </row>
    <row r="16" spans="1:13" ht="24" customHeight="1" x14ac:dyDescent="0.25">
      <c r="A16" s="6">
        <v>304</v>
      </c>
      <c r="B16" s="24" t="s">
        <v>6</v>
      </c>
      <c r="C16" s="25">
        <v>200</v>
      </c>
      <c r="D16" s="6">
        <f>24.3*C16/1000</f>
        <v>4.8600000000000003</v>
      </c>
      <c r="E16" s="6">
        <f>35.8*C16/1000</f>
        <v>7.1599999999999993</v>
      </c>
      <c r="F16" s="6">
        <f>244.6*C16/1000</f>
        <v>48.92</v>
      </c>
      <c r="G16" s="6">
        <f>1398*C16/1000</f>
        <v>279.60000000000002</v>
      </c>
      <c r="H16" s="6">
        <f>0</f>
        <v>0</v>
      </c>
      <c r="I16" s="6">
        <f>0.2*C16/1000</f>
        <v>0.04</v>
      </c>
      <c r="J16" s="6">
        <f>0</f>
        <v>0</v>
      </c>
      <c r="K16" s="6">
        <f>9.1*C16/1000</f>
        <v>1.82</v>
      </c>
      <c r="L16" s="6">
        <f>406.3*C16/1000</f>
        <v>81.260000000000005</v>
      </c>
      <c r="M16" s="6">
        <f>3.5*C16/1000</f>
        <v>0.7</v>
      </c>
    </row>
    <row r="17" spans="1:13" ht="21.6" customHeight="1" x14ac:dyDescent="0.25">
      <c r="A17" s="6">
        <v>260</v>
      </c>
      <c r="B17" s="24" t="s">
        <v>73</v>
      </c>
      <c r="C17" s="25">
        <v>100</v>
      </c>
      <c r="D17" s="6">
        <v>8.3000000000000007</v>
      </c>
      <c r="E17" s="6">
        <v>12.1</v>
      </c>
      <c r="F17" s="6">
        <v>7.2</v>
      </c>
      <c r="G17" s="6">
        <v>172</v>
      </c>
      <c r="H17" s="6">
        <v>27.9</v>
      </c>
      <c r="I17" s="6">
        <v>1.4</v>
      </c>
      <c r="J17" s="6">
        <v>0</v>
      </c>
      <c r="K17" s="6">
        <v>0.1</v>
      </c>
      <c r="L17" s="6">
        <v>0.2</v>
      </c>
      <c r="M17" s="6">
        <v>0</v>
      </c>
    </row>
    <row r="18" spans="1:13" ht="18.600000000000001" customHeight="1" x14ac:dyDescent="0.25">
      <c r="A18" s="6">
        <v>342</v>
      </c>
      <c r="B18" s="24" t="s">
        <v>35</v>
      </c>
      <c r="C18" s="25">
        <v>200</v>
      </c>
      <c r="D18" s="6">
        <f>0.8*C18/1000</f>
        <v>0.16</v>
      </c>
      <c r="E18" s="6">
        <f>0.8*C18/1000</f>
        <v>0.16</v>
      </c>
      <c r="F18" s="6">
        <f>139.4*C18/1000</f>
        <v>27.88</v>
      </c>
      <c r="G18" s="6">
        <f>573*C18/1000</f>
        <v>114.6</v>
      </c>
      <c r="H18" s="6">
        <f>0</f>
        <v>0</v>
      </c>
      <c r="I18" s="6">
        <f>0.1*C17/1000</f>
        <v>0.01</v>
      </c>
      <c r="J18" s="6">
        <f>5.5*C18/1000</f>
        <v>1.1000000000000001</v>
      </c>
      <c r="K18" s="6">
        <f>70.9*C18/1000</f>
        <v>14.180000000000001</v>
      </c>
      <c r="L18" s="6">
        <f>22*C18/1000</f>
        <v>4.4000000000000004</v>
      </c>
      <c r="M18" s="6">
        <f>4.8*C18/1000</f>
        <v>0.96</v>
      </c>
    </row>
    <row r="19" spans="1:13" ht="21.6" customHeight="1" x14ac:dyDescent="0.25">
      <c r="A19" s="28" t="s">
        <v>27</v>
      </c>
      <c r="B19" s="24" t="s">
        <v>3</v>
      </c>
      <c r="C19" s="25">
        <v>40</v>
      </c>
      <c r="D19" s="6">
        <f>107*C19/1000</f>
        <v>4.28</v>
      </c>
      <c r="E19" s="6">
        <f>45*C19/1000</f>
        <v>1.8</v>
      </c>
      <c r="F19" s="6">
        <f>435*C19/1000</f>
        <v>17.399999999999999</v>
      </c>
      <c r="G19" s="6">
        <f>2740*C19/1000</f>
        <v>109.6</v>
      </c>
      <c r="H19" s="6">
        <f>0</f>
        <v>0</v>
      </c>
      <c r="I19" s="6">
        <f>4.1*C19/1000</f>
        <v>0.16400000000000001</v>
      </c>
      <c r="J19" s="6">
        <f>2*C19/1000</f>
        <v>0.08</v>
      </c>
      <c r="K19" s="6">
        <f>1250*C19/1000</f>
        <v>50</v>
      </c>
      <c r="L19" s="6">
        <f>1290*C19/1000</f>
        <v>51.6</v>
      </c>
      <c r="M19" s="6">
        <f>36*C19/1000</f>
        <v>1.44</v>
      </c>
    </row>
    <row r="20" spans="1:13" ht="22.15" customHeight="1" x14ac:dyDescent="0.25">
      <c r="A20" s="29" t="s">
        <v>31</v>
      </c>
      <c r="B20" s="24" t="s">
        <v>0</v>
      </c>
      <c r="C20" s="25">
        <v>20</v>
      </c>
      <c r="D20" s="26">
        <f>85*C20/1000</f>
        <v>1.7</v>
      </c>
      <c r="E20" s="26">
        <f>33*C20/1000</f>
        <v>0.66</v>
      </c>
      <c r="F20" s="26">
        <f>425*C20/1000</f>
        <v>8.5</v>
      </c>
      <c r="G20" s="26">
        <f>2590*C20/1000</f>
        <v>51.8</v>
      </c>
      <c r="H20" s="30">
        <f>0</f>
        <v>0</v>
      </c>
      <c r="I20" s="26">
        <f>4.3*C20/1000</f>
        <v>8.5999999999999993E-2</v>
      </c>
      <c r="J20" s="26">
        <f>4*C20/1000</f>
        <v>0.08</v>
      </c>
      <c r="K20" s="26">
        <f>730*C20/1000</f>
        <v>14.6</v>
      </c>
      <c r="L20" s="26">
        <f>1250*C20/1000</f>
        <v>25</v>
      </c>
      <c r="M20" s="26">
        <f>28.3*C20/1000</f>
        <v>0.56599999999999995</v>
      </c>
    </row>
    <row r="21" spans="1:13" ht="15.95" customHeight="1" x14ac:dyDescent="0.25">
      <c r="A21" s="28"/>
      <c r="B21" s="24"/>
      <c r="C21" s="25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 ht="15.95" customHeight="1" x14ac:dyDescent="0.25">
      <c r="A22" s="29"/>
      <c r="B22" s="31" t="s">
        <v>28</v>
      </c>
      <c r="C22" s="32">
        <f>SUM(C15:C21)</f>
        <v>760</v>
      </c>
      <c r="D22" s="33">
        <f t="shared" ref="D22:M22" si="1">SUM(D15:D21)</f>
        <v>26.200000000000003</v>
      </c>
      <c r="E22" s="33">
        <f t="shared" si="1"/>
        <v>28.580000000000002</v>
      </c>
      <c r="F22" s="33">
        <f t="shared" si="1"/>
        <v>121.4</v>
      </c>
      <c r="G22" s="33">
        <f t="shared" si="1"/>
        <v>901.40000000000009</v>
      </c>
      <c r="H22" s="33">
        <f t="shared" si="1"/>
        <v>39.9</v>
      </c>
      <c r="I22" s="33">
        <f t="shared" si="1"/>
        <v>1.8</v>
      </c>
      <c r="J22" s="33">
        <f t="shared" si="1"/>
        <v>8.56</v>
      </c>
      <c r="K22" s="33">
        <f t="shared" si="1"/>
        <v>116.9</v>
      </c>
      <c r="L22" s="33">
        <f t="shared" si="1"/>
        <v>303.65999999999997</v>
      </c>
      <c r="M22" s="33">
        <f t="shared" si="1"/>
        <v>4.6659999999999995</v>
      </c>
    </row>
    <row r="23" spans="1:13" ht="15.95" customHeight="1" x14ac:dyDescent="0.25">
      <c r="A23" s="29"/>
      <c r="B23" s="35" t="s">
        <v>32</v>
      </c>
      <c r="C23" s="36">
        <f>C22+C13</f>
        <v>1260</v>
      </c>
      <c r="D23" s="37">
        <f t="shared" ref="D23:M23" si="2">D13+D22</f>
        <v>53.150000000000006</v>
      </c>
      <c r="E23" s="37">
        <f t="shared" si="2"/>
        <v>54.295000000000002</v>
      </c>
      <c r="F23" s="37">
        <f t="shared" si="2"/>
        <v>235.03</v>
      </c>
      <c r="G23" s="37">
        <f t="shared" si="2"/>
        <v>1597.5</v>
      </c>
      <c r="H23" s="37">
        <f t="shared" si="2"/>
        <v>199.5</v>
      </c>
      <c r="I23" s="37">
        <f t="shared" si="2"/>
        <v>2.266</v>
      </c>
      <c r="J23" s="37">
        <f t="shared" si="2"/>
        <v>10.520000000000001</v>
      </c>
      <c r="K23" s="37">
        <f t="shared" si="2"/>
        <v>638.79499999999996</v>
      </c>
      <c r="L23" s="37">
        <f t="shared" si="2"/>
        <v>744.30500000000006</v>
      </c>
      <c r="M23" s="37">
        <f t="shared" si="2"/>
        <v>9.1069999999999993</v>
      </c>
    </row>
    <row r="24" spans="1:13" ht="15.95" customHeight="1" x14ac:dyDescent="0.25">
      <c r="A24" s="38"/>
      <c r="B24" s="5" t="s">
        <v>64</v>
      </c>
      <c r="C24" s="18">
        <v>1200</v>
      </c>
      <c r="D24" s="7">
        <v>45</v>
      </c>
      <c r="E24" s="7">
        <v>46</v>
      </c>
      <c r="F24" s="7">
        <v>192</v>
      </c>
      <c r="G24" s="7">
        <v>1360</v>
      </c>
      <c r="H24" s="7">
        <v>450</v>
      </c>
      <c r="I24" s="7">
        <v>0.7</v>
      </c>
      <c r="J24" s="7">
        <v>35</v>
      </c>
      <c r="K24" s="7">
        <v>600</v>
      </c>
      <c r="L24" s="7">
        <v>600</v>
      </c>
      <c r="M24" s="7">
        <v>9</v>
      </c>
    </row>
  </sheetData>
  <mergeCells count="11">
    <mergeCell ref="D4:F4"/>
    <mergeCell ref="G4:G6"/>
    <mergeCell ref="H4:J5"/>
    <mergeCell ref="K4:M5"/>
    <mergeCell ref="D5:F5"/>
    <mergeCell ref="C4:C6"/>
    <mergeCell ref="A1:B1"/>
    <mergeCell ref="A2:B2"/>
    <mergeCell ref="A3:B3"/>
    <mergeCell ref="A4:A6"/>
    <mergeCell ref="B4:B6"/>
  </mergeCells>
  <pageMargins left="0.7" right="0.7" top="0.75" bottom="0.75" header="0.3" footer="0.3"/>
  <pageSetup paperSize="9" scale="87" fitToWidth="0" orientation="landscape" r:id="rId1"/>
  <colBreaks count="1" manualBreakCount="1">
    <brk id="1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2"/>
  <sheetViews>
    <sheetView showWhiteSpace="0" view="pageBreakPreview" topLeftCell="A2" zoomScale="80" zoomScaleNormal="70" zoomScaleSheetLayoutView="80" zoomScalePageLayoutView="70" workbookViewId="0">
      <selection activeCell="C13" sqref="C13"/>
    </sheetView>
  </sheetViews>
  <sheetFormatPr defaultColWidth="9.140625" defaultRowHeight="15" x14ac:dyDescent="0.25"/>
  <cols>
    <col min="1" max="1" width="9.140625" style="1"/>
    <col min="2" max="2" width="27.140625" style="1" customWidth="1"/>
    <col min="3" max="3" width="8.7109375" style="1" customWidth="1"/>
    <col min="4" max="4" width="7.28515625" style="1" customWidth="1"/>
    <col min="5" max="5" width="7.7109375" style="1" customWidth="1"/>
    <col min="6" max="6" width="9.28515625" style="1" customWidth="1"/>
    <col min="7" max="8" width="9.5703125" style="1" customWidth="1"/>
    <col min="9" max="9" width="7.5703125" style="1" customWidth="1"/>
    <col min="10" max="10" width="6.7109375" style="1" customWidth="1"/>
    <col min="11" max="11" width="8.5703125" style="1" customWidth="1"/>
    <col min="12" max="13" width="9.28515625" style="1" customWidth="1"/>
    <col min="14" max="16384" width="9.140625" style="1"/>
  </cols>
  <sheetData>
    <row r="1" spans="1:13" ht="402" hidden="1" customHeight="1" x14ac:dyDescent="0.25">
      <c r="A1" s="39"/>
      <c r="B1" s="8"/>
      <c r="C1" s="9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25">
      <c r="A2" s="71" t="s">
        <v>83</v>
      </c>
      <c r="B2" s="72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x14ac:dyDescent="0.25">
      <c r="A3" s="71" t="s">
        <v>37</v>
      </c>
      <c r="B3" s="72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5.75" thickBot="1" x14ac:dyDescent="0.3">
      <c r="A4" s="73" t="s">
        <v>62</v>
      </c>
      <c r="B4" s="7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x14ac:dyDescent="0.25">
      <c r="A5" s="75" t="s">
        <v>10</v>
      </c>
      <c r="B5" s="75" t="s">
        <v>11</v>
      </c>
      <c r="C5" s="75" t="s">
        <v>12</v>
      </c>
      <c r="D5" s="65" t="s">
        <v>13</v>
      </c>
      <c r="E5" s="66"/>
      <c r="F5" s="67"/>
      <c r="G5" s="80" t="s">
        <v>14</v>
      </c>
      <c r="H5" s="65" t="s">
        <v>15</v>
      </c>
      <c r="I5" s="66"/>
      <c r="J5" s="67"/>
      <c r="K5" s="65" t="s">
        <v>16</v>
      </c>
      <c r="L5" s="66"/>
      <c r="M5" s="67"/>
    </row>
    <row r="6" spans="1:13" ht="15.75" thickBot="1" x14ac:dyDescent="0.3">
      <c r="A6" s="76"/>
      <c r="B6" s="78"/>
      <c r="C6" s="78"/>
      <c r="D6" s="68" t="s">
        <v>17</v>
      </c>
      <c r="E6" s="69"/>
      <c r="F6" s="70"/>
      <c r="G6" s="81"/>
      <c r="H6" s="68"/>
      <c r="I6" s="69"/>
      <c r="J6" s="70"/>
      <c r="K6" s="68"/>
      <c r="L6" s="69"/>
      <c r="M6" s="70"/>
    </row>
    <row r="7" spans="1:13" ht="17.25" thickBot="1" x14ac:dyDescent="0.3">
      <c r="A7" s="77"/>
      <c r="B7" s="79"/>
      <c r="C7" s="79"/>
      <c r="D7" s="15" t="s">
        <v>18</v>
      </c>
      <c r="E7" s="15" t="s">
        <v>19</v>
      </c>
      <c r="F7" s="15" t="s">
        <v>20</v>
      </c>
      <c r="G7" s="82"/>
      <c r="H7" s="15" t="s">
        <v>21</v>
      </c>
      <c r="I7" s="15" t="s">
        <v>40</v>
      </c>
      <c r="J7" s="15" t="s">
        <v>23</v>
      </c>
      <c r="K7" s="15" t="s">
        <v>24</v>
      </c>
      <c r="L7" s="15" t="s">
        <v>39</v>
      </c>
      <c r="M7" s="15" t="s">
        <v>25</v>
      </c>
    </row>
    <row r="8" spans="1:13" ht="18.75" x14ac:dyDescent="0.25">
      <c r="A8" s="2"/>
      <c r="B8" s="27" t="s">
        <v>26</v>
      </c>
      <c r="C8" s="3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x14ac:dyDescent="0.25">
      <c r="A9" s="28">
        <v>338</v>
      </c>
      <c r="B9" s="24" t="s">
        <v>46</v>
      </c>
      <c r="C9" s="25">
        <v>100</v>
      </c>
      <c r="D9" s="6">
        <f>4*C9/1000</f>
        <v>0.4</v>
      </c>
      <c r="E9" s="6">
        <f>4*C9/1000</f>
        <v>0.4</v>
      </c>
      <c r="F9" s="6">
        <f>98*C9/1000</f>
        <v>9.8000000000000007</v>
      </c>
      <c r="G9" s="6">
        <f>470*C9/1000</f>
        <v>47</v>
      </c>
      <c r="H9" s="6">
        <f>0</f>
        <v>0</v>
      </c>
      <c r="I9" s="6">
        <f>0.3*C9/1000</f>
        <v>0.03</v>
      </c>
      <c r="J9" s="6">
        <f>100*C9/1000</f>
        <v>10</v>
      </c>
      <c r="K9" s="6">
        <f>160*C9/1000</f>
        <v>16</v>
      </c>
      <c r="L9" s="6">
        <f>110*C9/1000</f>
        <v>11</v>
      </c>
      <c r="M9" s="6">
        <f>22*C9/1000</f>
        <v>2.2000000000000002</v>
      </c>
    </row>
    <row r="10" spans="1:13" x14ac:dyDescent="0.25">
      <c r="A10" s="6">
        <v>243</v>
      </c>
      <c r="B10" s="24" t="s">
        <v>48</v>
      </c>
      <c r="C10" s="25">
        <v>200</v>
      </c>
      <c r="D10" s="6">
        <f>16.9*C10/1000</f>
        <v>3.3799999999999994</v>
      </c>
      <c r="E10" s="6">
        <f>109.9*C10/1000</f>
        <v>21.98</v>
      </c>
      <c r="F10" s="6">
        <f>81.9*C10/1000</f>
        <v>16.380000000000003</v>
      </c>
      <c r="G10" s="6">
        <f>1352.4*C10/1000</f>
        <v>270.48</v>
      </c>
      <c r="H10" s="6">
        <f>438.1*C10/1000</f>
        <v>87.62</v>
      </c>
      <c r="I10" s="6">
        <f>0.6*C10/1000</f>
        <v>0.12</v>
      </c>
      <c r="J10" s="6">
        <f>119.1*C10/1000</f>
        <v>23.82</v>
      </c>
      <c r="K10" s="6">
        <f>353.9*C10/1000</f>
        <v>70.78</v>
      </c>
      <c r="L10" s="6">
        <f>428.6*C10/1000</f>
        <v>85.72</v>
      </c>
      <c r="M10" s="6">
        <f>5.7*C10/1000</f>
        <v>1.1399999999999999</v>
      </c>
    </row>
    <row r="11" spans="1:13" x14ac:dyDescent="0.25">
      <c r="A11" s="6">
        <v>385</v>
      </c>
      <c r="B11" s="24" t="s">
        <v>69</v>
      </c>
      <c r="C11" s="25">
        <v>180</v>
      </c>
      <c r="D11" s="26">
        <v>5.8</v>
      </c>
      <c r="E11" s="26">
        <v>5</v>
      </c>
      <c r="F11" s="26">
        <v>9.6</v>
      </c>
      <c r="G11" s="26">
        <v>107</v>
      </c>
      <c r="H11" s="26">
        <v>40</v>
      </c>
      <c r="I11" s="26">
        <v>0.2</v>
      </c>
      <c r="J11" s="26">
        <v>2.6</v>
      </c>
      <c r="K11" s="26">
        <v>20</v>
      </c>
      <c r="L11" s="26">
        <v>0</v>
      </c>
      <c r="M11" s="26">
        <v>0</v>
      </c>
    </row>
    <row r="12" spans="1:13" x14ac:dyDescent="0.25">
      <c r="A12" s="28" t="s">
        <v>27</v>
      </c>
      <c r="B12" s="24" t="s">
        <v>3</v>
      </c>
      <c r="C12" s="25">
        <v>40</v>
      </c>
      <c r="D12" s="6">
        <f>107*C12/1000</f>
        <v>4.28</v>
      </c>
      <c r="E12" s="6">
        <f>45*C12/1000</f>
        <v>1.8</v>
      </c>
      <c r="F12" s="6">
        <f>435*C12/1000</f>
        <v>17.399999999999999</v>
      </c>
      <c r="G12" s="6">
        <f>2740*C12/1000</f>
        <v>109.6</v>
      </c>
      <c r="H12" s="6">
        <f>0</f>
        <v>0</v>
      </c>
      <c r="I12" s="6">
        <f>4.1*C12/1000</f>
        <v>0.16400000000000001</v>
      </c>
      <c r="J12" s="6">
        <f>2*C12/1000</f>
        <v>0.08</v>
      </c>
      <c r="K12" s="6">
        <f>1250*C12/1000</f>
        <v>50</v>
      </c>
      <c r="L12" s="6">
        <f>1290*C12/1000</f>
        <v>51.6</v>
      </c>
      <c r="M12" s="6">
        <f>36*C12/1000</f>
        <v>1.44</v>
      </c>
    </row>
    <row r="13" spans="1:13" x14ac:dyDescent="0.25">
      <c r="A13" s="29" t="s">
        <v>31</v>
      </c>
      <c r="B13" s="24" t="s">
        <v>0</v>
      </c>
      <c r="C13" s="25">
        <v>20</v>
      </c>
      <c r="D13" s="26">
        <f>85*C13/1000</f>
        <v>1.7</v>
      </c>
      <c r="E13" s="26">
        <f>33*C13/1000</f>
        <v>0.66</v>
      </c>
      <c r="F13" s="26">
        <f>425*C13/1000</f>
        <v>8.5</v>
      </c>
      <c r="G13" s="26">
        <f>2590*C13/1000</f>
        <v>51.8</v>
      </c>
      <c r="H13" s="30">
        <f>0</f>
        <v>0</v>
      </c>
      <c r="I13" s="26">
        <f>4.3*C13/1000</f>
        <v>8.5999999999999993E-2</v>
      </c>
      <c r="J13" s="26">
        <f>4*C13/1000</f>
        <v>0.08</v>
      </c>
      <c r="K13" s="26">
        <f>730*C13/1000</f>
        <v>14.6</v>
      </c>
      <c r="L13" s="26">
        <f>1250*C13/1000</f>
        <v>25</v>
      </c>
      <c r="M13" s="26">
        <f>28.3*C13/1000</f>
        <v>0.56599999999999995</v>
      </c>
    </row>
    <row r="14" spans="1:13" x14ac:dyDescent="0.25">
      <c r="A14" s="28"/>
      <c r="B14" s="24"/>
      <c r="C14" s="24"/>
      <c r="D14" s="26"/>
      <c r="E14" s="26"/>
      <c r="F14" s="26"/>
      <c r="G14" s="26"/>
      <c r="H14" s="26"/>
      <c r="I14" s="26"/>
      <c r="J14" s="26"/>
      <c r="K14" s="26"/>
      <c r="L14" s="26"/>
      <c r="M14" s="26"/>
    </row>
    <row r="15" spans="1:13" x14ac:dyDescent="0.25">
      <c r="A15" s="6"/>
      <c r="B15" s="24"/>
      <c r="C15" s="24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x14ac:dyDescent="0.25">
      <c r="A16" s="6"/>
      <c r="B16" s="31" t="s">
        <v>28</v>
      </c>
      <c r="C16" s="40">
        <f>SUM(C9:C15)</f>
        <v>540</v>
      </c>
      <c r="D16" s="40">
        <f t="shared" ref="D16:M16" si="0">SUM(D9:D15)</f>
        <v>15.559999999999999</v>
      </c>
      <c r="E16" s="40">
        <f t="shared" si="0"/>
        <v>29.84</v>
      </c>
      <c r="F16" s="40">
        <f t="shared" si="0"/>
        <v>61.68</v>
      </c>
      <c r="G16" s="40">
        <f t="shared" si="0"/>
        <v>585.88</v>
      </c>
      <c r="H16" s="40">
        <f t="shared" si="0"/>
        <v>127.62</v>
      </c>
      <c r="I16" s="40">
        <f t="shared" si="0"/>
        <v>0.6</v>
      </c>
      <c r="J16" s="40">
        <f t="shared" si="0"/>
        <v>36.58</v>
      </c>
      <c r="K16" s="40">
        <f t="shared" si="0"/>
        <v>171.38</v>
      </c>
      <c r="L16" s="40">
        <f t="shared" si="0"/>
        <v>173.32</v>
      </c>
      <c r="M16" s="40">
        <f t="shared" si="0"/>
        <v>5.3459999999999992</v>
      </c>
    </row>
    <row r="17" spans="1:13" ht="18.75" x14ac:dyDescent="0.25">
      <c r="A17" s="6"/>
      <c r="B17" s="34" t="s">
        <v>29</v>
      </c>
      <c r="C17" s="4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25">
      <c r="A18" s="28">
        <v>57</v>
      </c>
      <c r="B18" s="24" t="s">
        <v>72</v>
      </c>
      <c r="C18" s="25">
        <v>60</v>
      </c>
      <c r="D18" s="6">
        <f t="shared" ref="D18" si="1">6.4*C18/1000</f>
        <v>0.38400000000000001</v>
      </c>
      <c r="E18" s="6">
        <f t="shared" ref="E18" si="2">19.4*C18/1000</f>
        <v>1.1639999999999999</v>
      </c>
      <c r="F18" s="6">
        <f t="shared" ref="F18" si="3">34.3*C18/1000</f>
        <v>2.0579999999999998</v>
      </c>
      <c r="G18" s="6">
        <f t="shared" ref="G18" si="4">365*C18/1000</f>
        <v>21.9</v>
      </c>
      <c r="H18" s="6">
        <f>0</f>
        <v>0</v>
      </c>
      <c r="I18" s="6">
        <f t="shared" ref="I18" si="5">0.1*C18/1000</f>
        <v>6.0000000000000001E-3</v>
      </c>
      <c r="J18" s="6">
        <f t="shared" ref="J18" si="6">43.7*C18/1000</f>
        <v>2.6219999999999999</v>
      </c>
      <c r="K18" s="6">
        <f t="shared" ref="K18" si="7">210.1*C18/1000</f>
        <v>12.606</v>
      </c>
      <c r="L18" s="6">
        <f t="shared" ref="L18" si="8">184.4*C18/1000</f>
        <v>11.064</v>
      </c>
      <c r="M18" s="6">
        <f t="shared" ref="M18" si="9">4.4*C18/1000</f>
        <v>0.26400000000000001</v>
      </c>
    </row>
    <row r="19" spans="1:13" x14ac:dyDescent="0.25">
      <c r="A19" s="28">
        <v>88</v>
      </c>
      <c r="B19" s="24" t="s">
        <v>30</v>
      </c>
      <c r="C19" s="25">
        <v>200</v>
      </c>
      <c r="D19" s="6">
        <f>7*C19/1000</f>
        <v>1.4</v>
      </c>
      <c r="E19" s="6">
        <f>19.5*C19/1000</f>
        <v>3.9</v>
      </c>
      <c r="F19" s="6">
        <f>23.6*C19/1000</f>
        <v>4.72</v>
      </c>
      <c r="G19" s="6">
        <f>320*C19/1000</f>
        <v>64</v>
      </c>
      <c r="H19" s="6">
        <f>0</f>
        <v>0</v>
      </c>
      <c r="I19" s="6">
        <f>0.2*C19/1000</f>
        <v>0.04</v>
      </c>
      <c r="J19" s="6">
        <f>68.5*C19/1000</f>
        <v>13.7</v>
      </c>
      <c r="K19" s="6">
        <f>202.9*C19/1000</f>
        <v>40.58</v>
      </c>
      <c r="L19" s="6">
        <f>155.4*C19/1000</f>
        <v>31.08</v>
      </c>
      <c r="M19" s="6">
        <f>2.7*C19/1000</f>
        <v>0.54</v>
      </c>
    </row>
    <row r="20" spans="1:13" x14ac:dyDescent="0.25">
      <c r="A20" s="6">
        <v>260</v>
      </c>
      <c r="B20" s="24" t="s">
        <v>73</v>
      </c>
      <c r="C20" s="25">
        <v>100</v>
      </c>
      <c r="D20" s="6">
        <v>8.3000000000000007</v>
      </c>
      <c r="E20" s="6">
        <v>12.1</v>
      </c>
      <c r="F20" s="6">
        <v>7.2</v>
      </c>
      <c r="G20" s="6">
        <v>172</v>
      </c>
      <c r="H20" s="6">
        <v>27.9</v>
      </c>
      <c r="I20" s="6">
        <v>1.4</v>
      </c>
      <c r="J20" s="6">
        <v>0</v>
      </c>
      <c r="K20" s="6">
        <v>0.1</v>
      </c>
      <c r="L20" s="6">
        <v>0.2</v>
      </c>
      <c r="M20" s="6">
        <v>0</v>
      </c>
    </row>
    <row r="21" spans="1:13" x14ac:dyDescent="0.25">
      <c r="A21" s="6">
        <v>171</v>
      </c>
      <c r="B21" s="24" t="s">
        <v>67</v>
      </c>
      <c r="C21" s="25">
        <v>150</v>
      </c>
      <c r="D21" s="6">
        <v>8.9700000000000006</v>
      </c>
      <c r="E21" s="6">
        <v>10.51</v>
      </c>
      <c r="F21" s="6">
        <v>52.5</v>
      </c>
      <c r="G21" s="6">
        <v>341.2</v>
      </c>
      <c r="H21" s="6">
        <v>0.17</v>
      </c>
      <c r="I21" s="6">
        <v>7.0000000000000007E-2</v>
      </c>
      <c r="J21" s="6">
        <v>0</v>
      </c>
      <c r="K21" s="6">
        <v>47.36</v>
      </c>
      <c r="L21" s="6">
        <v>48.1</v>
      </c>
      <c r="M21" s="6">
        <v>3.47</v>
      </c>
    </row>
    <row r="22" spans="1:13" x14ac:dyDescent="0.25">
      <c r="A22" s="6">
        <v>382</v>
      </c>
      <c r="B22" s="24" t="s">
        <v>42</v>
      </c>
      <c r="C22" s="25">
        <v>200</v>
      </c>
      <c r="D22" s="26">
        <f>20.4*C22/1000</f>
        <v>4.0799999999999992</v>
      </c>
      <c r="E22" s="26">
        <f>17.7*C22/1000</f>
        <v>3.54</v>
      </c>
      <c r="F22" s="26">
        <f>87.9*C22/1000</f>
        <v>17.579999999999998</v>
      </c>
      <c r="G22" s="26">
        <f>593*C22/1000</f>
        <v>118.6</v>
      </c>
      <c r="H22" s="26">
        <f>122*C22/1000</f>
        <v>24.4</v>
      </c>
      <c r="I22" s="26">
        <f>0.28*C22/1000</f>
        <v>5.6000000000000008E-2</v>
      </c>
      <c r="J22" s="26">
        <f>7.9*C22/1000</f>
        <v>1.58</v>
      </c>
      <c r="K22" s="26">
        <f>761.1*C22/1000</f>
        <v>152.22</v>
      </c>
      <c r="L22" s="26">
        <f>622.8*C22/1000</f>
        <v>124.55999999999999</v>
      </c>
      <c r="M22" s="26">
        <f>2.4*C22/1000</f>
        <v>0.48</v>
      </c>
    </row>
    <row r="23" spans="1:13" x14ac:dyDescent="0.25">
      <c r="A23" s="28" t="s">
        <v>27</v>
      </c>
      <c r="B23" s="24" t="s">
        <v>3</v>
      </c>
      <c r="C23" s="25">
        <v>40</v>
      </c>
      <c r="D23" s="6">
        <f>107*C23/1000</f>
        <v>4.28</v>
      </c>
      <c r="E23" s="6">
        <f>45*C23/1000</f>
        <v>1.8</v>
      </c>
      <c r="F23" s="6">
        <f>435*C23/1000</f>
        <v>17.399999999999999</v>
      </c>
      <c r="G23" s="6">
        <f>2740*C23/1000</f>
        <v>109.6</v>
      </c>
      <c r="H23" s="6">
        <f>0</f>
        <v>0</v>
      </c>
      <c r="I23" s="6">
        <f>4.1*C23/1000</f>
        <v>0.16400000000000001</v>
      </c>
      <c r="J23" s="6">
        <f>2*C23/1000</f>
        <v>0.08</v>
      </c>
      <c r="K23" s="6">
        <f>1250*C23/1000</f>
        <v>50</v>
      </c>
      <c r="L23" s="6">
        <f>1290*C23/1000</f>
        <v>51.6</v>
      </c>
      <c r="M23" s="6">
        <f>36*C23/1000</f>
        <v>1.44</v>
      </c>
    </row>
    <row r="24" spans="1:13" x14ac:dyDescent="0.25">
      <c r="A24" s="29" t="s">
        <v>31</v>
      </c>
      <c r="B24" s="24" t="s">
        <v>0</v>
      </c>
      <c r="C24" s="25">
        <v>20</v>
      </c>
      <c r="D24" s="26">
        <f>85*C24/1000</f>
        <v>1.7</v>
      </c>
      <c r="E24" s="26">
        <f>33*C24/1000</f>
        <v>0.66</v>
      </c>
      <c r="F24" s="26">
        <f>425*C24/1000</f>
        <v>8.5</v>
      </c>
      <c r="G24" s="26">
        <f>2590*C24/1000</f>
        <v>51.8</v>
      </c>
      <c r="H24" s="30">
        <f>0</f>
        <v>0</v>
      </c>
      <c r="I24" s="26">
        <f>4.3*C24/1000</f>
        <v>8.5999999999999993E-2</v>
      </c>
      <c r="J24" s="26">
        <f>4*C24/1000</f>
        <v>0.08</v>
      </c>
      <c r="K24" s="26">
        <f>730*C24/1000</f>
        <v>14.6</v>
      </c>
      <c r="L24" s="26">
        <f>1250*C24/1000</f>
        <v>25</v>
      </c>
      <c r="M24" s="26">
        <f>28.3*C24/1000</f>
        <v>0.56599999999999995</v>
      </c>
    </row>
    <row r="25" spans="1:13" x14ac:dyDescent="0.25">
      <c r="A25" s="28"/>
      <c r="B25" s="24"/>
      <c r="C25" s="25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x14ac:dyDescent="0.25">
      <c r="A26" s="41"/>
      <c r="B26" s="31" t="s">
        <v>28</v>
      </c>
      <c r="C26" s="40">
        <f>SUM(C18:C25)</f>
        <v>770</v>
      </c>
      <c r="D26" s="33">
        <f t="shared" ref="D26:M26" si="10">SUM(D18:D25)</f>
        <v>29.114000000000001</v>
      </c>
      <c r="E26" s="33">
        <f t="shared" si="10"/>
        <v>33.673999999999992</v>
      </c>
      <c r="F26" s="33">
        <f t="shared" si="10"/>
        <v>109.958</v>
      </c>
      <c r="G26" s="33">
        <f t="shared" si="10"/>
        <v>879.09999999999991</v>
      </c>
      <c r="H26" s="33">
        <f t="shared" si="10"/>
        <v>52.47</v>
      </c>
      <c r="I26" s="33">
        <f t="shared" si="10"/>
        <v>1.8220000000000001</v>
      </c>
      <c r="J26" s="33">
        <f t="shared" si="10"/>
        <v>18.061999999999998</v>
      </c>
      <c r="K26" s="33">
        <f t="shared" si="10"/>
        <v>317.46600000000001</v>
      </c>
      <c r="L26" s="33">
        <f t="shared" si="10"/>
        <v>291.60399999999998</v>
      </c>
      <c r="M26" s="33">
        <f t="shared" si="10"/>
        <v>6.7599999999999989</v>
      </c>
    </row>
    <row r="27" spans="1:13" ht="18.75" x14ac:dyDescent="0.25">
      <c r="A27" s="41"/>
      <c r="B27" s="35" t="s">
        <v>32</v>
      </c>
      <c r="C27" s="42">
        <f t="shared" ref="C27:M27" si="11">C16+C26</f>
        <v>1310</v>
      </c>
      <c r="D27" s="37">
        <f t="shared" si="11"/>
        <v>44.673999999999999</v>
      </c>
      <c r="E27" s="37">
        <f t="shared" si="11"/>
        <v>63.513999999999996</v>
      </c>
      <c r="F27" s="37">
        <f t="shared" si="11"/>
        <v>171.63800000000001</v>
      </c>
      <c r="G27" s="37">
        <f t="shared" si="11"/>
        <v>1464.98</v>
      </c>
      <c r="H27" s="37">
        <f t="shared" si="11"/>
        <v>180.09</v>
      </c>
      <c r="I27" s="37">
        <f t="shared" si="11"/>
        <v>2.4220000000000002</v>
      </c>
      <c r="J27" s="37">
        <f t="shared" si="11"/>
        <v>54.641999999999996</v>
      </c>
      <c r="K27" s="37">
        <f t="shared" si="11"/>
        <v>488.846</v>
      </c>
      <c r="L27" s="37">
        <f t="shared" si="11"/>
        <v>464.92399999999998</v>
      </c>
      <c r="M27" s="37">
        <f t="shared" si="11"/>
        <v>12.105999999999998</v>
      </c>
    </row>
    <row r="28" spans="1:13" ht="18" customHeight="1" x14ac:dyDescent="0.25">
      <c r="A28" s="38"/>
      <c r="B28" s="5" t="s">
        <v>64</v>
      </c>
      <c r="C28" s="6">
        <v>1200</v>
      </c>
      <c r="D28" s="7">
        <v>45</v>
      </c>
      <c r="E28" s="7">
        <v>46</v>
      </c>
      <c r="F28" s="7">
        <v>192</v>
      </c>
      <c r="G28" s="7">
        <v>1360</v>
      </c>
      <c r="H28" s="7">
        <v>450</v>
      </c>
      <c r="I28" s="7">
        <v>0.7</v>
      </c>
      <c r="J28" s="7">
        <v>35</v>
      </c>
      <c r="K28" s="7">
        <v>600</v>
      </c>
      <c r="L28" s="7">
        <v>600</v>
      </c>
      <c r="M28" s="7">
        <v>9</v>
      </c>
    </row>
    <row r="29" spans="1:13" ht="18" customHeight="1" x14ac:dyDescent="0.25">
      <c r="A29" s="39"/>
      <c r="B29" s="8"/>
      <c r="C29" s="9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13" ht="5.45" customHeight="1" x14ac:dyDescent="0.25">
      <c r="A30" s="39"/>
      <c r="B30" s="8"/>
      <c r="C30" s="9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ht="18" hidden="1" customHeight="1" x14ac:dyDescent="0.25">
      <c r="A31" s="39"/>
      <c r="B31" s="8"/>
      <c r="C31" s="9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22.15" hidden="1" customHeight="1" x14ac:dyDescent="0.25">
      <c r="A32" s="39"/>
      <c r="B32" s="8"/>
      <c r="C32" s="9"/>
      <c r="D32" s="11"/>
      <c r="E32" s="11"/>
      <c r="F32" s="11"/>
      <c r="G32" s="11"/>
      <c r="H32" s="11"/>
      <c r="I32" s="11"/>
      <c r="J32" s="11"/>
      <c r="K32" s="11"/>
      <c r="L32" s="11"/>
      <c r="M32" s="11"/>
    </row>
  </sheetData>
  <mergeCells count="11">
    <mergeCell ref="C5:C7"/>
    <mergeCell ref="A2:B2"/>
    <mergeCell ref="A3:B3"/>
    <mergeCell ref="A4:B4"/>
    <mergeCell ref="A5:A7"/>
    <mergeCell ref="B5:B7"/>
    <mergeCell ref="D5:F5"/>
    <mergeCell ref="G5:G7"/>
    <mergeCell ref="H5:J6"/>
    <mergeCell ref="K5:M6"/>
    <mergeCell ref="D6:F6"/>
  </mergeCells>
  <pageMargins left="0.7" right="0.7" top="0.75" bottom="0.75" header="0.3" footer="0.3"/>
  <pageSetup paperSize="9" scale="87" fitToWidth="0" orientation="landscape" r:id="rId1"/>
  <rowBreaks count="1" manualBreakCount="1">
    <brk id="30" max="12" man="1"/>
  </rowBreaks>
  <colBreaks count="1" manualBreakCount="1">
    <brk id="19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1"/>
  <sheetViews>
    <sheetView showWhiteSpace="0" view="pageBreakPreview" topLeftCell="A3" zoomScale="80" zoomScaleNormal="70" zoomScaleSheetLayoutView="80" zoomScalePageLayoutView="70" workbookViewId="0">
      <selection activeCell="F25" sqref="F25"/>
    </sheetView>
  </sheetViews>
  <sheetFormatPr defaultColWidth="9.140625" defaultRowHeight="15" x14ac:dyDescent="0.25"/>
  <cols>
    <col min="1" max="1" width="9.140625" style="1"/>
    <col min="2" max="2" width="27.140625" style="1" customWidth="1"/>
    <col min="3" max="3" width="8.7109375" style="1" customWidth="1"/>
    <col min="4" max="4" width="7.28515625" style="1" customWidth="1"/>
    <col min="5" max="5" width="7.7109375" style="1" customWidth="1"/>
    <col min="6" max="6" width="9.28515625" style="1" customWidth="1"/>
    <col min="7" max="8" width="9.5703125" style="1" customWidth="1"/>
    <col min="9" max="9" width="7.5703125" style="1" customWidth="1"/>
    <col min="10" max="10" width="6.7109375" style="1" customWidth="1"/>
    <col min="11" max="11" width="8.5703125" style="1" customWidth="1"/>
    <col min="12" max="13" width="9.28515625" style="1" customWidth="1"/>
    <col min="14" max="16384" width="9.140625" style="1"/>
  </cols>
  <sheetData>
    <row r="1" spans="1:13" ht="18" hidden="1" customHeight="1" x14ac:dyDescent="0.25">
      <c r="A1" s="39"/>
      <c r="B1" s="8"/>
      <c r="C1" s="9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22.15" hidden="1" customHeight="1" x14ac:dyDescent="0.25">
      <c r="A2" s="39"/>
      <c r="B2" s="8"/>
      <c r="C2" s="9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5">
      <c r="A3" s="71" t="s">
        <v>54</v>
      </c>
      <c r="B3" s="72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x14ac:dyDescent="0.25">
      <c r="A4" s="71" t="s">
        <v>37</v>
      </c>
      <c r="B4" s="72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5.75" thickBot="1" x14ac:dyDescent="0.3">
      <c r="A5" s="73" t="s">
        <v>63</v>
      </c>
      <c r="B5" s="7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x14ac:dyDescent="0.25">
      <c r="A6" s="75" t="s">
        <v>10</v>
      </c>
      <c r="B6" s="75" t="s">
        <v>11</v>
      </c>
      <c r="C6" s="75" t="s">
        <v>12</v>
      </c>
      <c r="D6" s="65" t="s">
        <v>13</v>
      </c>
      <c r="E6" s="66"/>
      <c r="F6" s="67"/>
      <c r="G6" s="80" t="s">
        <v>14</v>
      </c>
      <c r="H6" s="65" t="s">
        <v>15</v>
      </c>
      <c r="I6" s="66"/>
      <c r="J6" s="67"/>
      <c r="K6" s="65" t="s">
        <v>16</v>
      </c>
      <c r="L6" s="66"/>
      <c r="M6" s="67"/>
    </row>
    <row r="7" spans="1:13" ht="15.75" thickBot="1" x14ac:dyDescent="0.3">
      <c r="A7" s="76"/>
      <c r="B7" s="78"/>
      <c r="C7" s="78"/>
      <c r="D7" s="68" t="s">
        <v>17</v>
      </c>
      <c r="E7" s="69"/>
      <c r="F7" s="70"/>
      <c r="G7" s="81"/>
      <c r="H7" s="68"/>
      <c r="I7" s="69"/>
      <c r="J7" s="70"/>
      <c r="K7" s="68"/>
      <c r="L7" s="69"/>
      <c r="M7" s="70"/>
    </row>
    <row r="8" spans="1:13" ht="17.25" thickBot="1" x14ac:dyDescent="0.3">
      <c r="A8" s="77"/>
      <c r="B8" s="79"/>
      <c r="C8" s="79"/>
      <c r="D8" s="15" t="s">
        <v>18</v>
      </c>
      <c r="E8" s="15" t="s">
        <v>19</v>
      </c>
      <c r="F8" s="15" t="s">
        <v>20</v>
      </c>
      <c r="G8" s="82"/>
      <c r="H8" s="15" t="s">
        <v>21</v>
      </c>
      <c r="I8" s="15" t="s">
        <v>40</v>
      </c>
      <c r="J8" s="15" t="s">
        <v>23</v>
      </c>
      <c r="K8" s="15" t="s">
        <v>24</v>
      </c>
      <c r="L8" s="15" t="s">
        <v>39</v>
      </c>
      <c r="M8" s="15" t="s">
        <v>25</v>
      </c>
    </row>
    <row r="9" spans="1:13" ht="18.75" x14ac:dyDescent="0.25">
      <c r="A9" s="2"/>
      <c r="B9" s="27" t="s">
        <v>26</v>
      </c>
      <c r="C9" s="3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 x14ac:dyDescent="0.25">
      <c r="A10" s="6">
        <v>304</v>
      </c>
      <c r="B10" s="24" t="s">
        <v>6</v>
      </c>
      <c r="C10" s="25">
        <v>180</v>
      </c>
      <c r="D10" s="6">
        <f>24.3*C10/1000</f>
        <v>4.3739999999999997</v>
      </c>
      <c r="E10" s="6">
        <f>35.8*C10/1000</f>
        <v>6.4439999999999991</v>
      </c>
      <c r="F10" s="6">
        <f>244.6*C10/1000</f>
        <v>44.027999999999999</v>
      </c>
      <c r="G10" s="6">
        <f>1398*C10/1000</f>
        <v>251.64</v>
      </c>
      <c r="H10" s="6">
        <f>0</f>
        <v>0</v>
      </c>
      <c r="I10" s="6">
        <f>0.2*C10/1000</f>
        <v>3.5999999999999997E-2</v>
      </c>
      <c r="J10" s="6">
        <f>0</f>
        <v>0</v>
      </c>
      <c r="K10" s="6">
        <f>9.1*C10/1000</f>
        <v>1.6379999999999999</v>
      </c>
      <c r="L10" s="6">
        <f>406.3*C10/1000</f>
        <v>73.134</v>
      </c>
      <c r="M10" s="6">
        <f>3.5*C10/1000</f>
        <v>0.63</v>
      </c>
    </row>
    <row r="11" spans="1:13" x14ac:dyDescent="0.25">
      <c r="A11" s="6">
        <v>229</v>
      </c>
      <c r="B11" s="24" t="s">
        <v>34</v>
      </c>
      <c r="C11" s="25">
        <v>100</v>
      </c>
      <c r="D11" s="6">
        <f>97.5*C11/1000</f>
        <v>9.75</v>
      </c>
      <c r="E11" s="6">
        <f>49.5*C11/1000</f>
        <v>4.95</v>
      </c>
      <c r="F11" s="6">
        <f>38*C11/1000</f>
        <v>3.8</v>
      </c>
      <c r="G11" s="6">
        <f>1050*C11/1000</f>
        <v>105</v>
      </c>
      <c r="H11" s="6">
        <f>58.2*C11/1000</f>
        <v>5.82</v>
      </c>
      <c r="I11" s="6">
        <f>0.5*C11/1000</f>
        <v>0.05</v>
      </c>
      <c r="J11" s="6">
        <f>37.3*C11/1000</f>
        <v>3.7299999999999995</v>
      </c>
      <c r="K11" s="6">
        <f>390.7*C11/1000</f>
        <v>39.07</v>
      </c>
      <c r="L11" s="6">
        <f>1621.9*C11/1000</f>
        <v>162.19</v>
      </c>
      <c r="M11" s="6">
        <f>8.5*C11/1000</f>
        <v>0.85</v>
      </c>
    </row>
    <row r="12" spans="1:13" x14ac:dyDescent="0.25">
      <c r="A12" s="6">
        <v>382</v>
      </c>
      <c r="B12" s="24" t="s">
        <v>42</v>
      </c>
      <c r="C12" s="25">
        <v>180</v>
      </c>
      <c r="D12" s="26">
        <f>20.4*C12/1000</f>
        <v>3.6719999999999997</v>
      </c>
      <c r="E12" s="26">
        <f>17.7*C12/1000</f>
        <v>3.1859999999999999</v>
      </c>
      <c r="F12" s="26">
        <f>87.9*C12/1000</f>
        <v>15.822000000000001</v>
      </c>
      <c r="G12" s="26">
        <f>593*C12/1000</f>
        <v>106.74</v>
      </c>
      <c r="H12" s="26">
        <f>122*C12/1000</f>
        <v>21.96</v>
      </c>
      <c r="I12" s="26">
        <f>0.28*C12/1000</f>
        <v>5.0400000000000007E-2</v>
      </c>
      <c r="J12" s="26">
        <f>7.9*C12/1000</f>
        <v>1.4219999999999999</v>
      </c>
      <c r="K12" s="26">
        <f>761.1*C12/1000</f>
        <v>136.99799999999999</v>
      </c>
      <c r="L12" s="26">
        <f>622.8*C12/1000</f>
        <v>112.10399999999998</v>
      </c>
      <c r="M12" s="26">
        <f>2.4*C12/1000</f>
        <v>0.432</v>
      </c>
    </row>
    <row r="13" spans="1:13" x14ac:dyDescent="0.25">
      <c r="A13" s="28" t="s">
        <v>27</v>
      </c>
      <c r="B13" s="24" t="s">
        <v>3</v>
      </c>
      <c r="C13" s="25">
        <v>40</v>
      </c>
      <c r="D13" s="6">
        <f>107*C13/1000</f>
        <v>4.28</v>
      </c>
      <c r="E13" s="6">
        <f>45*C13/1000</f>
        <v>1.8</v>
      </c>
      <c r="F13" s="6">
        <f>435*C13/1000</f>
        <v>17.399999999999999</v>
      </c>
      <c r="G13" s="6">
        <f>2740*C13/1000</f>
        <v>109.6</v>
      </c>
      <c r="H13" s="6">
        <f>0</f>
        <v>0</v>
      </c>
      <c r="I13" s="6">
        <f>4.1*C13/1000</f>
        <v>0.16400000000000001</v>
      </c>
      <c r="J13" s="6">
        <f>2*C13/1000</f>
        <v>0.08</v>
      </c>
      <c r="K13" s="6">
        <f>1250*C13/1000</f>
        <v>50</v>
      </c>
      <c r="L13" s="6">
        <f>1290*C13/1000</f>
        <v>51.6</v>
      </c>
      <c r="M13" s="6">
        <f>36*C13/1000</f>
        <v>1.44</v>
      </c>
    </row>
    <row r="14" spans="1:13" x14ac:dyDescent="0.25">
      <c r="A14" s="29" t="s">
        <v>31</v>
      </c>
      <c r="B14" s="24" t="s">
        <v>0</v>
      </c>
      <c r="C14" s="25">
        <v>20</v>
      </c>
      <c r="D14" s="26">
        <f>85*C14/1000</f>
        <v>1.7</v>
      </c>
      <c r="E14" s="26">
        <f>33*C14/1000</f>
        <v>0.66</v>
      </c>
      <c r="F14" s="26">
        <f>425*C14/1000</f>
        <v>8.5</v>
      </c>
      <c r="G14" s="26">
        <f>2590*C14/1000</f>
        <v>51.8</v>
      </c>
      <c r="H14" s="30">
        <f>0</f>
        <v>0</v>
      </c>
      <c r="I14" s="26">
        <f>4.3*C14/1000</f>
        <v>8.5999999999999993E-2</v>
      </c>
      <c r="J14" s="26">
        <f>4*C14/1000</f>
        <v>0.08</v>
      </c>
      <c r="K14" s="26">
        <f>730*C14/1000</f>
        <v>14.6</v>
      </c>
      <c r="L14" s="26">
        <f>1250*C14/1000</f>
        <v>25</v>
      </c>
      <c r="M14" s="26">
        <f>28.3*C14/1000</f>
        <v>0.56599999999999995</v>
      </c>
    </row>
    <row r="15" spans="1:13" x14ac:dyDescent="0.25">
      <c r="A15" s="6"/>
      <c r="B15" s="24"/>
      <c r="C15" s="24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x14ac:dyDescent="0.25">
      <c r="A16" s="6"/>
      <c r="B16" s="31" t="s">
        <v>28</v>
      </c>
      <c r="C16" s="40">
        <f>SUM(C10:C15)</f>
        <v>520</v>
      </c>
      <c r="D16" s="33">
        <f t="shared" ref="D16:M16" si="0">SUM(D10:D15)</f>
        <v>23.776</v>
      </c>
      <c r="E16" s="33">
        <f t="shared" si="0"/>
        <v>17.04</v>
      </c>
      <c r="F16" s="33">
        <f t="shared" si="0"/>
        <v>89.55</v>
      </c>
      <c r="G16" s="33">
        <f t="shared" si="0"/>
        <v>624.78</v>
      </c>
      <c r="H16" s="33">
        <f t="shared" si="0"/>
        <v>27.78</v>
      </c>
      <c r="I16" s="33">
        <f t="shared" si="0"/>
        <v>0.38639999999999997</v>
      </c>
      <c r="J16" s="33">
        <f t="shared" si="0"/>
        <v>5.3119999999999994</v>
      </c>
      <c r="K16" s="33">
        <f t="shared" si="0"/>
        <v>242.30599999999998</v>
      </c>
      <c r="L16" s="33">
        <f t="shared" si="0"/>
        <v>424.02800000000002</v>
      </c>
      <c r="M16" s="33">
        <f t="shared" si="0"/>
        <v>3.9179999999999997</v>
      </c>
    </row>
    <row r="17" spans="1:13" ht="18.75" x14ac:dyDescent="0.25">
      <c r="A17" s="6"/>
      <c r="B17" s="34" t="s">
        <v>29</v>
      </c>
      <c r="C17" s="4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25">
      <c r="A18" s="6">
        <v>62</v>
      </c>
      <c r="B18" s="24" t="s">
        <v>44</v>
      </c>
      <c r="C18" s="25">
        <v>60</v>
      </c>
      <c r="D18" s="6">
        <f>12.3*C18/1000</f>
        <v>0.73799999999999999</v>
      </c>
      <c r="E18" s="6">
        <f>0.9*C18/1000</f>
        <v>5.3999999999999999E-2</v>
      </c>
      <c r="F18" s="6">
        <f>114.8*C18/1000</f>
        <v>6.8879999999999999</v>
      </c>
      <c r="G18" s="6">
        <f>817*C18/1000</f>
        <v>49.02</v>
      </c>
      <c r="H18" s="6">
        <f>0</f>
        <v>0</v>
      </c>
      <c r="I18" s="6">
        <f>0.6*C18/1000</f>
        <v>3.5999999999999997E-2</v>
      </c>
      <c r="J18" s="6">
        <f>33.6*C18/1000</f>
        <v>2.016</v>
      </c>
      <c r="K18" s="6">
        <f>257.6*C18/1000</f>
        <v>15.456000000000001</v>
      </c>
      <c r="L18" s="6">
        <f>527.7*C18/1000</f>
        <v>31.662000000000003</v>
      </c>
      <c r="M18" s="6">
        <f>6.6*C18/1000</f>
        <v>0.39600000000000002</v>
      </c>
    </row>
    <row r="19" spans="1:13" x14ac:dyDescent="0.25">
      <c r="A19" s="6">
        <v>104</v>
      </c>
      <c r="B19" s="24" t="s">
        <v>49</v>
      </c>
      <c r="C19" s="25">
        <v>200</v>
      </c>
      <c r="D19" s="6">
        <f>8.8*C19/1000</f>
        <v>1.7600000000000002</v>
      </c>
      <c r="E19" s="6">
        <f>11.1*C19/1000</f>
        <v>2.2200000000000002</v>
      </c>
      <c r="F19" s="6">
        <f>61.6*C19/1000</f>
        <v>12.32</v>
      </c>
      <c r="G19" s="6">
        <f>424*C19/1000</f>
        <v>84.8</v>
      </c>
      <c r="H19" s="6">
        <f>0</f>
        <v>0</v>
      </c>
      <c r="I19" s="6">
        <f>0.5*C19/1000</f>
        <v>0.1</v>
      </c>
      <c r="J19" s="6">
        <f>44.3*C19/1000</f>
        <v>8.86</v>
      </c>
      <c r="K19" s="6">
        <f>118.8*C19/1000</f>
        <v>23.76</v>
      </c>
      <c r="L19" s="6">
        <f>288.9*C19/1000</f>
        <v>57.779999999999994</v>
      </c>
      <c r="M19" s="6">
        <f>4.6*C19/1000</f>
        <v>0.91999999999999993</v>
      </c>
    </row>
    <row r="20" spans="1:13" x14ac:dyDescent="0.25">
      <c r="A20" s="41">
        <v>204</v>
      </c>
      <c r="B20" s="24" t="s">
        <v>50</v>
      </c>
      <c r="C20" s="25">
        <v>200</v>
      </c>
      <c r="D20" s="20">
        <f>67.7*C20/1000</f>
        <v>13.54</v>
      </c>
      <c r="E20" s="20">
        <f>79.7*C20/1000</f>
        <v>15.94</v>
      </c>
      <c r="F20" s="20">
        <f>170.6*C20/1000</f>
        <v>34.119999999999997</v>
      </c>
      <c r="G20" s="20">
        <f>1123*C20/1000</f>
        <v>224.6</v>
      </c>
      <c r="H20" s="20">
        <f>576*C20/1000</f>
        <v>115.2</v>
      </c>
      <c r="I20" s="20">
        <f>0.4*C20/1000</f>
        <v>0.08</v>
      </c>
      <c r="J20" s="20">
        <f>1.1*C20/1000</f>
        <v>0.22000000000000003</v>
      </c>
      <c r="K20" s="20">
        <f>1476*C20/1000</f>
        <v>295.2</v>
      </c>
      <c r="L20" s="20">
        <f>1010*C20/1000</f>
        <v>202</v>
      </c>
      <c r="M20" s="20">
        <f>6.2*C20/1000</f>
        <v>1.24</v>
      </c>
    </row>
    <row r="21" spans="1:13" x14ac:dyDescent="0.25">
      <c r="A21" s="6">
        <v>379</v>
      </c>
      <c r="B21" s="24" t="s">
        <v>75</v>
      </c>
      <c r="C21" s="25">
        <v>200</v>
      </c>
      <c r="D21" s="26">
        <f>15.8*C21/1000</f>
        <v>3.16</v>
      </c>
      <c r="E21" s="26">
        <f>13.4*C21/1000</f>
        <v>2.68</v>
      </c>
      <c r="F21" s="26">
        <f>79.7*C21/1000</f>
        <v>15.94</v>
      </c>
      <c r="G21" s="26">
        <f>503*C21/1000</f>
        <v>100.6</v>
      </c>
      <c r="H21" s="26">
        <f>100*C21/1000</f>
        <v>20</v>
      </c>
      <c r="I21" s="26">
        <f>0.22*C21/1000</f>
        <v>4.3999999999999997E-2</v>
      </c>
      <c r="J21" s="26">
        <f>6.5*C21/1000</f>
        <v>1.3</v>
      </c>
      <c r="K21" s="26">
        <f>628.9*C21/1000</f>
        <v>125.78</v>
      </c>
      <c r="L21" s="26">
        <f>450*C21/1000</f>
        <v>90</v>
      </c>
      <c r="M21" s="26">
        <f>0.7*C21/1000</f>
        <v>0.14000000000000001</v>
      </c>
    </row>
    <row r="22" spans="1:13" x14ac:dyDescent="0.25">
      <c r="A22" s="28" t="s">
        <v>27</v>
      </c>
      <c r="B22" s="24" t="s">
        <v>3</v>
      </c>
      <c r="C22" s="25">
        <v>40</v>
      </c>
      <c r="D22" s="6">
        <f>107*C22/1000</f>
        <v>4.28</v>
      </c>
      <c r="E22" s="6">
        <f>45*C22/1000</f>
        <v>1.8</v>
      </c>
      <c r="F22" s="6">
        <f>435*C22/1000</f>
        <v>17.399999999999999</v>
      </c>
      <c r="G22" s="6">
        <f>2740*C22/1000</f>
        <v>109.6</v>
      </c>
      <c r="H22" s="6">
        <f>0</f>
        <v>0</v>
      </c>
      <c r="I22" s="6">
        <f>4.1*C22/1000</f>
        <v>0.16400000000000001</v>
      </c>
      <c r="J22" s="6">
        <f>2*C22/1000</f>
        <v>0.08</v>
      </c>
      <c r="K22" s="6">
        <f>1250*C22/1000</f>
        <v>50</v>
      </c>
      <c r="L22" s="6">
        <f>1290*C22/1000</f>
        <v>51.6</v>
      </c>
      <c r="M22" s="6">
        <f>36*C22/1000</f>
        <v>1.44</v>
      </c>
    </row>
    <row r="23" spans="1:13" x14ac:dyDescent="0.25">
      <c r="A23" s="29" t="s">
        <v>31</v>
      </c>
      <c r="B23" s="24" t="s">
        <v>0</v>
      </c>
      <c r="C23" s="25">
        <v>20</v>
      </c>
      <c r="D23" s="26">
        <f>85*C23/1000</f>
        <v>1.7</v>
      </c>
      <c r="E23" s="26">
        <f>33*C23/1000</f>
        <v>0.66</v>
      </c>
      <c r="F23" s="26">
        <f>425*C23/1000</f>
        <v>8.5</v>
      </c>
      <c r="G23" s="26">
        <f>2590*C23/1000</f>
        <v>51.8</v>
      </c>
      <c r="H23" s="30">
        <f>0</f>
        <v>0</v>
      </c>
      <c r="I23" s="26">
        <f>4.3*C23/1000</f>
        <v>8.5999999999999993E-2</v>
      </c>
      <c r="J23" s="26">
        <f>4*C23/1000</f>
        <v>0.08</v>
      </c>
      <c r="K23" s="26">
        <f>730*C23/1000</f>
        <v>14.6</v>
      </c>
      <c r="L23" s="26">
        <f>1250*C23/1000</f>
        <v>25</v>
      </c>
      <c r="M23" s="26">
        <f>28.3*C23/1000</f>
        <v>0.56599999999999995</v>
      </c>
    </row>
    <row r="24" spans="1:13" x14ac:dyDescent="0.25">
      <c r="A24" s="6"/>
      <c r="B24" s="24"/>
      <c r="C24" s="25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x14ac:dyDescent="0.25">
      <c r="A25" s="41"/>
      <c r="B25" s="31" t="s">
        <v>28</v>
      </c>
      <c r="C25" s="40">
        <f>SUM(C18:C24)</f>
        <v>720</v>
      </c>
      <c r="D25" s="33">
        <f t="shared" ref="D25:M25" si="1">SUM(D18:D24)</f>
        <v>25.178000000000001</v>
      </c>
      <c r="E25" s="33">
        <f t="shared" si="1"/>
        <v>23.353999999999999</v>
      </c>
      <c r="F25" s="33">
        <f t="shared" si="1"/>
        <v>95.168000000000006</v>
      </c>
      <c r="G25" s="33">
        <f t="shared" si="1"/>
        <v>620.41999999999996</v>
      </c>
      <c r="H25" s="33">
        <f t="shared" si="1"/>
        <v>135.19999999999999</v>
      </c>
      <c r="I25" s="33">
        <f t="shared" si="1"/>
        <v>0.51</v>
      </c>
      <c r="J25" s="33">
        <f t="shared" si="1"/>
        <v>12.556000000000001</v>
      </c>
      <c r="K25" s="33">
        <f t="shared" si="1"/>
        <v>524.79600000000005</v>
      </c>
      <c r="L25" s="33">
        <f t="shared" si="1"/>
        <v>458.04200000000003</v>
      </c>
      <c r="M25" s="33">
        <f t="shared" si="1"/>
        <v>4.702</v>
      </c>
    </row>
    <row r="26" spans="1:13" ht="18.75" x14ac:dyDescent="0.25">
      <c r="A26" s="41"/>
      <c r="B26" s="35" t="s">
        <v>32</v>
      </c>
      <c r="C26" s="42">
        <f t="shared" ref="C26:M26" si="2">C16+C25</f>
        <v>1240</v>
      </c>
      <c r="D26" s="37">
        <f t="shared" si="2"/>
        <v>48.954000000000001</v>
      </c>
      <c r="E26" s="37">
        <f t="shared" si="2"/>
        <v>40.393999999999998</v>
      </c>
      <c r="F26" s="37">
        <f t="shared" si="2"/>
        <v>184.71800000000002</v>
      </c>
      <c r="G26" s="37">
        <f t="shared" si="2"/>
        <v>1245.1999999999998</v>
      </c>
      <c r="H26" s="37">
        <f t="shared" si="2"/>
        <v>162.97999999999999</v>
      </c>
      <c r="I26" s="37">
        <f t="shared" si="2"/>
        <v>0.89639999999999997</v>
      </c>
      <c r="J26" s="37">
        <f t="shared" si="2"/>
        <v>17.868000000000002</v>
      </c>
      <c r="K26" s="37">
        <f t="shared" si="2"/>
        <v>767.10200000000009</v>
      </c>
      <c r="L26" s="37">
        <f t="shared" si="2"/>
        <v>882.07</v>
      </c>
      <c r="M26" s="37">
        <f t="shared" si="2"/>
        <v>8.6199999999999992</v>
      </c>
    </row>
    <row r="27" spans="1:13" ht="18" customHeight="1" x14ac:dyDescent="0.25">
      <c r="A27" s="38"/>
      <c r="B27" s="5" t="s">
        <v>64</v>
      </c>
      <c r="C27" s="6">
        <v>1200</v>
      </c>
      <c r="D27" s="7">
        <v>45</v>
      </c>
      <c r="E27" s="7">
        <v>46</v>
      </c>
      <c r="F27" s="7">
        <v>192</v>
      </c>
      <c r="G27" s="7">
        <v>1360</v>
      </c>
      <c r="H27" s="7">
        <v>450</v>
      </c>
      <c r="I27" s="7">
        <v>0.7</v>
      </c>
      <c r="J27" s="7">
        <v>35</v>
      </c>
      <c r="K27" s="7">
        <v>600</v>
      </c>
      <c r="L27" s="7">
        <v>600</v>
      </c>
      <c r="M27" s="7">
        <v>9</v>
      </c>
    </row>
    <row r="28" spans="1:13" ht="18" customHeight="1" x14ac:dyDescent="0.25">
      <c r="A28" s="39"/>
      <c r="B28" s="8"/>
      <c r="C28" s="9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13" ht="18" customHeight="1" x14ac:dyDescent="0.25">
      <c r="A29" s="39"/>
      <c r="B29" s="8"/>
      <c r="C29" s="9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13" ht="36.6" customHeight="1" x14ac:dyDescent="0.25">
      <c r="A30" s="39"/>
      <c r="B30" s="8"/>
      <c r="C30" s="9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ht="16.149999999999999" hidden="1" customHeight="1" x14ac:dyDescent="0.25">
      <c r="B31" s="21"/>
      <c r="C31" s="21"/>
      <c r="D31" s="14"/>
      <c r="E31" s="14"/>
      <c r="F31" s="14"/>
      <c r="G31" s="14"/>
      <c r="H31" s="14"/>
      <c r="I31" s="14"/>
      <c r="J31" s="14"/>
      <c r="K31" s="14"/>
      <c r="L31" s="14"/>
      <c r="M31" s="14"/>
    </row>
  </sheetData>
  <mergeCells count="11">
    <mergeCell ref="C6:C8"/>
    <mergeCell ref="A3:B3"/>
    <mergeCell ref="A4:B4"/>
    <mergeCell ref="A5:B5"/>
    <mergeCell ref="A6:A8"/>
    <mergeCell ref="B6:B8"/>
    <mergeCell ref="D6:F6"/>
    <mergeCell ref="G6:G8"/>
    <mergeCell ref="H6:J7"/>
    <mergeCell ref="K6:M7"/>
    <mergeCell ref="D7:F7"/>
  </mergeCells>
  <pageMargins left="0.7" right="0.7" top="0.75" bottom="0.75" header="0.3" footer="0.3"/>
  <pageSetup paperSize="9" scale="87" fitToWidth="0" orientation="landscape" r:id="rId1"/>
  <rowBreaks count="1" manualBreakCount="1">
    <brk id="30" max="12" man="1"/>
  </rowBreaks>
  <colBreaks count="1" manualBreakCount="1">
    <brk id="19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9"/>
  <sheetViews>
    <sheetView tabSelected="1" showWhiteSpace="0" view="pageBreakPreview" zoomScale="80" zoomScaleNormal="70" zoomScaleSheetLayoutView="80" zoomScalePageLayoutView="70" workbookViewId="0">
      <selection activeCell="C15" sqref="C15"/>
    </sheetView>
  </sheetViews>
  <sheetFormatPr defaultColWidth="9.140625" defaultRowHeight="15" x14ac:dyDescent="0.25"/>
  <cols>
    <col min="1" max="1" width="9.140625" style="1"/>
    <col min="2" max="2" width="27.140625" style="1" customWidth="1"/>
    <col min="3" max="3" width="8.7109375" style="1" customWidth="1"/>
    <col min="4" max="4" width="7.28515625" style="1" customWidth="1"/>
    <col min="5" max="5" width="7.7109375" style="1" customWidth="1"/>
    <col min="6" max="6" width="9.28515625" style="1" customWidth="1"/>
    <col min="7" max="8" width="9.5703125" style="1" customWidth="1"/>
    <col min="9" max="9" width="7.5703125" style="1" customWidth="1"/>
    <col min="10" max="10" width="6.7109375" style="1" customWidth="1"/>
    <col min="11" max="11" width="8.5703125" style="1" customWidth="1"/>
    <col min="12" max="13" width="9.28515625" style="1" customWidth="1"/>
    <col min="14" max="16384" width="9.140625" style="1"/>
  </cols>
  <sheetData>
    <row r="1" spans="1:13" ht="19.899999999999999" customHeight="1" x14ac:dyDescent="0.25">
      <c r="A1" s="43"/>
      <c r="B1" s="8"/>
      <c r="C1" s="13"/>
      <c r="D1" s="10"/>
      <c r="E1" s="10"/>
      <c r="F1" s="10"/>
      <c r="G1" s="10"/>
      <c r="H1" s="10"/>
      <c r="I1" s="11"/>
      <c r="J1" s="10"/>
      <c r="K1" s="10"/>
      <c r="L1" s="10"/>
      <c r="M1" s="10"/>
    </row>
    <row r="2" spans="1:13" x14ac:dyDescent="0.25">
      <c r="A2" s="71" t="s">
        <v>84</v>
      </c>
      <c r="B2" s="71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x14ac:dyDescent="0.25">
      <c r="A3" s="71" t="s">
        <v>37</v>
      </c>
      <c r="B3" s="71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5.75" thickBot="1" x14ac:dyDescent="0.3">
      <c r="A4" s="73" t="s">
        <v>62</v>
      </c>
      <c r="B4" s="7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x14ac:dyDescent="0.25">
      <c r="A5" s="75" t="s">
        <v>10</v>
      </c>
      <c r="B5" s="75" t="s">
        <v>11</v>
      </c>
      <c r="C5" s="75" t="s">
        <v>12</v>
      </c>
      <c r="D5" s="65" t="s">
        <v>13</v>
      </c>
      <c r="E5" s="66"/>
      <c r="F5" s="67"/>
      <c r="G5" s="80" t="s">
        <v>14</v>
      </c>
      <c r="H5" s="65" t="s">
        <v>15</v>
      </c>
      <c r="I5" s="66"/>
      <c r="J5" s="67"/>
      <c r="K5" s="65" t="s">
        <v>16</v>
      </c>
      <c r="L5" s="66"/>
      <c r="M5" s="67"/>
    </row>
    <row r="6" spans="1:13" ht="15.75" thickBot="1" x14ac:dyDescent="0.3">
      <c r="A6" s="76"/>
      <c r="B6" s="78"/>
      <c r="C6" s="78"/>
      <c r="D6" s="68" t="s">
        <v>17</v>
      </c>
      <c r="E6" s="69"/>
      <c r="F6" s="70"/>
      <c r="G6" s="81"/>
      <c r="H6" s="68"/>
      <c r="I6" s="69"/>
      <c r="J6" s="70"/>
      <c r="K6" s="68"/>
      <c r="L6" s="69"/>
      <c r="M6" s="70"/>
    </row>
    <row r="7" spans="1:13" ht="17.25" thickBot="1" x14ac:dyDescent="0.3">
      <c r="A7" s="77"/>
      <c r="B7" s="79"/>
      <c r="C7" s="79"/>
      <c r="D7" s="15" t="s">
        <v>18</v>
      </c>
      <c r="E7" s="15" t="s">
        <v>19</v>
      </c>
      <c r="F7" s="15" t="s">
        <v>20</v>
      </c>
      <c r="G7" s="82"/>
      <c r="H7" s="15" t="s">
        <v>21</v>
      </c>
      <c r="I7" s="15" t="s">
        <v>40</v>
      </c>
      <c r="J7" s="15" t="s">
        <v>23</v>
      </c>
      <c r="K7" s="15" t="s">
        <v>24</v>
      </c>
      <c r="L7" s="15" t="s">
        <v>39</v>
      </c>
      <c r="M7" s="15" t="s">
        <v>25</v>
      </c>
    </row>
    <row r="8" spans="1:13" ht="18.75" x14ac:dyDescent="0.25">
      <c r="A8" s="2"/>
      <c r="B8" s="27" t="s">
        <v>26</v>
      </c>
      <c r="C8" s="3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x14ac:dyDescent="0.25">
      <c r="A9" s="6">
        <v>174</v>
      </c>
      <c r="B9" s="44" t="s">
        <v>78</v>
      </c>
      <c r="C9" s="25">
        <v>200</v>
      </c>
      <c r="D9" s="6">
        <v>7.5</v>
      </c>
      <c r="E9" s="6">
        <v>13.6</v>
      </c>
      <c r="F9" s="6">
        <v>53.8</v>
      </c>
      <c r="G9" s="6">
        <v>367.5</v>
      </c>
      <c r="H9" s="6">
        <v>68.5</v>
      </c>
      <c r="I9" s="6">
        <v>0.1</v>
      </c>
      <c r="J9" s="6">
        <v>1.2</v>
      </c>
      <c r="K9" s="6">
        <v>163.4</v>
      </c>
      <c r="L9" s="6">
        <v>196.8</v>
      </c>
      <c r="M9" s="6">
        <v>0.8</v>
      </c>
    </row>
    <row r="10" spans="1:13" x14ac:dyDescent="0.25">
      <c r="A10" s="6">
        <v>386</v>
      </c>
      <c r="B10" s="24" t="s">
        <v>66</v>
      </c>
      <c r="C10" s="25">
        <v>200</v>
      </c>
      <c r="D10" s="6">
        <v>5.8</v>
      </c>
      <c r="E10" s="6">
        <v>5</v>
      </c>
      <c r="F10" s="6">
        <v>8</v>
      </c>
      <c r="G10" s="6">
        <v>100</v>
      </c>
      <c r="H10" s="6">
        <v>40</v>
      </c>
      <c r="I10" s="6">
        <v>0.08</v>
      </c>
      <c r="J10" s="6">
        <v>1.4</v>
      </c>
      <c r="K10" s="6">
        <v>240</v>
      </c>
      <c r="L10" s="6">
        <v>180</v>
      </c>
      <c r="M10" s="6">
        <v>0.2</v>
      </c>
    </row>
    <row r="11" spans="1:13" x14ac:dyDescent="0.25">
      <c r="A11" s="28" t="s">
        <v>27</v>
      </c>
      <c r="B11" s="24" t="s">
        <v>3</v>
      </c>
      <c r="C11" s="25">
        <v>40</v>
      </c>
      <c r="D11" s="6">
        <f>107*C11/1000</f>
        <v>4.28</v>
      </c>
      <c r="E11" s="6">
        <f>45*C11/1000</f>
        <v>1.8</v>
      </c>
      <c r="F11" s="6">
        <f>435*C11/1000</f>
        <v>17.399999999999999</v>
      </c>
      <c r="G11" s="6">
        <f>2740*C11/1000</f>
        <v>109.6</v>
      </c>
      <c r="H11" s="6">
        <f>0</f>
        <v>0</v>
      </c>
      <c r="I11" s="6">
        <f>4.1*C11/1000</f>
        <v>0.16400000000000001</v>
      </c>
      <c r="J11" s="6">
        <f>2*C11/1000</f>
        <v>0.08</v>
      </c>
      <c r="K11" s="6">
        <f>1250*C11/1000</f>
        <v>50</v>
      </c>
      <c r="L11" s="6">
        <f>1290*C11/1000</f>
        <v>51.6</v>
      </c>
      <c r="M11" s="6">
        <f>36*C11/1000</f>
        <v>1.44</v>
      </c>
    </row>
    <row r="12" spans="1:13" x14ac:dyDescent="0.25">
      <c r="A12" s="29" t="s">
        <v>31</v>
      </c>
      <c r="B12" s="24" t="s">
        <v>0</v>
      </c>
      <c r="C12" s="25">
        <v>20</v>
      </c>
      <c r="D12" s="26">
        <f>85*C12/1000</f>
        <v>1.7</v>
      </c>
      <c r="E12" s="26">
        <f>33*C12/1000</f>
        <v>0.66</v>
      </c>
      <c r="F12" s="26">
        <f>425*C12/1000</f>
        <v>8.5</v>
      </c>
      <c r="G12" s="26">
        <f>2590*C12/1000</f>
        <v>51.8</v>
      </c>
      <c r="H12" s="30">
        <f>0</f>
        <v>0</v>
      </c>
      <c r="I12" s="26">
        <f>4.3*C12/1000</f>
        <v>8.5999999999999993E-2</v>
      </c>
      <c r="J12" s="26">
        <f>4*C12/1000</f>
        <v>0.08</v>
      </c>
      <c r="K12" s="26">
        <f>730*C12/1000</f>
        <v>14.6</v>
      </c>
      <c r="L12" s="26">
        <f>1250*C12/1000</f>
        <v>25</v>
      </c>
      <c r="M12" s="26">
        <f>28.3*C12/1000</f>
        <v>0.56599999999999995</v>
      </c>
    </row>
    <row r="13" spans="1:13" x14ac:dyDescent="0.25">
      <c r="A13" s="6">
        <v>209</v>
      </c>
      <c r="B13" s="24" t="s">
        <v>52</v>
      </c>
      <c r="C13" s="25">
        <v>45</v>
      </c>
      <c r="D13" s="6">
        <f>126*C13/1000</f>
        <v>5.67</v>
      </c>
      <c r="E13" s="6">
        <f>106*C13/1000</f>
        <v>4.7699999999999996</v>
      </c>
      <c r="F13" s="6">
        <f>11*C13/1000</f>
        <v>0.495</v>
      </c>
      <c r="G13" s="6">
        <f>1550*C13/1000</f>
        <v>69.75</v>
      </c>
      <c r="H13" s="6">
        <f>1490*C13/1000</f>
        <v>67.05</v>
      </c>
      <c r="I13" s="6">
        <f>0.6*C13/1000</f>
        <v>2.7E-2</v>
      </c>
      <c r="J13" s="6">
        <f>0*C13/1000</f>
        <v>0</v>
      </c>
      <c r="K13" s="6">
        <f>500*C13/1000</f>
        <v>22.5</v>
      </c>
      <c r="L13" s="6">
        <f>1720*C13/1000</f>
        <v>77.400000000000006</v>
      </c>
      <c r="M13" s="6">
        <f>11.9*C13/1000</f>
        <v>0.53549999999999998</v>
      </c>
    </row>
    <row r="14" spans="1:13" x14ac:dyDescent="0.25">
      <c r="A14" s="6"/>
      <c r="B14" s="31" t="s">
        <v>28</v>
      </c>
      <c r="C14" s="40">
        <f t="shared" ref="C14:M14" si="0">SUM(C9:C13)</f>
        <v>505</v>
      </c>
      <c r="D14" s="33">
        <f t="shared" si="0"/>
        <v>24.950000000000003</v>
      </c>
      <c r="E14" s="33">
        <f t="shared" si="0"/>
        <v>25.830000000000002</v>
      </c>
      <c r="F14" s="33">
        <f t="shared" si="0"/>
        <v>88.194999999999993</v>
      </c>
      <c r="G14" s="33">
        <f t="shared" si="0"/>
        <v>698.65</v>
      </c>
      <c r="H14" s="33">
        <f t="shared" si="0"/>
        <v>175.55</v>
      </c>
      <c r="I14" s="33">
        <f t="shared" si="0"/>
        <v>0.45699999999999996</v>
      </c>
      <c r="J14" s="33">
        <f t="shared" si="0"/>
        <v>2.76</v>
      </c>
      <c r="K14" s="33">
        <f t="shared" si="0"/>
        <v>490.5</v>
      </c>
      <c r="L14" s="33">
        <f t="shared" si="0"/>
        <v>530.80000000000007</v>
      </c>
      <c r="M14" s="33">
        <f t="shared" si="0"/>
        <v>3.5414999999999996</v>
      </c>
    </row>
    <row r="15" spans="1:13" ht="18.75" x14ac:dyDescent="0.25">
      <c r="A15" s="6"/>
      <c r="B15" s="34" t="s">
        <v>29</v>
      </c>
      <c r="C15" s="4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x14ac:dyDescent="0.25">
      <c r="A16" s="28">
        <v>57</v>
      </c>
      <c r="B16" s="24" t="s">
        <v>72</v>
      </c>
      <c r="C16" s="25">
        <v>60</v>
      </c>
      <c r="D16" s="6">
        <f t="shared" ref="D16" si="1">6.4*C16/1000</f>
        <v>0.38400000000000001</v>
      </c>
      <c r="E16" s="6">
        <f t="shared" ref="E16" si="2">19.4*C16/1000</f>
        <v>1.1639999999999999</v>
      </c>
      <c r="F16" s="6">
        <f t="shared" ref="F16" si="3">34.3*C16/1000</f>
        <v>2.0579999999999998</v>
      </c>
      <c r="G16" s="6">
        <f t="shared" ref="G16" si="4">365*C16/1000</f>
        <v>21.9</v>
      </c>
      <c r="H16" s="6">
        <f>0</f>
        <v>0</v>
      </c>
      <c r="I16" s="6">
        <f t="shared" ref="I16" si="5">0.1*C16/1000</f>
        <v>6.0000000000000001E-3</v>
      </c>
      <c r="J16" s="6">
        <f t="shared" ref="J16" si="6">43.7*C16/1000</f>
        <v>2.6219999999999999</v>
      </c>
      <c r="K16" s="6">
        <f t="shared" ref="K16" si="7">210.1*C16/1000</f>
        <v>12.606</v>
      </c>
      <c r="L16" s="6">
        <f t="shared" ref="L16" si="8">184.4*C16/1000</f>
        <v>11.064</v>
      </c>
      <c r="M16" s="6">
        <f t="shared" ref="M16" si="9">4.4*C16/1000</f>
        <v>0.26400000000000001</v>
      </c>
    </row>
    <row r="17" spans="1:13" x14ac:dyDescent="0.25">
      <c r="A17" s="6">
        <v>96</v>
      </c>
      <c r="B17" s="24" t="s">
        <v>7</v>
      </c>
      <c r="C17" s="25">
        <v>200</v>
      </c>
      <c r="D17" s="6">
        <f>8.1*C17/1000</f>
        <v>1.62</v>
      </c>
      <c r="E17" s="6">
        <f>20.4*C17/1000</f>
        <v>4.0799999999999992</v>
      </c>
      <c r="F17" s="6">
        <f>47.9*C17/1000</f>
        <v>9.58</v>
      </c>
      <c r="G17" s="6">
        <f>429*C17/1000</f>
        <v>85.8</v>
      </c>
      <c r="H17" s="6">
        <f>0</f>
        <v>0</v>
      </c>
      <c r="I17" s="6">
        <f>0.4*C17/1000</f>
        <v>0.08</v>
      </c>
      <c r="J17" s="6">
        <f>33.5*C17/1000</f>
        <v>6.7</v>
      </c>
      <c r="K17" s="6">
        <f>116.6*C17/1000</f>
        <v>23.32</v>
      </c>
      <c r="L17" s="6">
        <f>226.9*C17/1000</f>
        <v>45.38</v>
      </c>
      <c r="M17" s="6">
        <f>3.7*C17/1000</f>
        <v>0.74</v>
      </c>
    </row>
    <row r="18" spans="1:13" x14ac:dyDescent="0.25">
      <c r="A18" s="6">
        <v>321</v>
      </c>
      <c r="B18" s="24" t="s">
        <v>45</v>
      </c>
      <c r="C18" s="25">
        <v>180</v>
      </c>
      <c r="D18" s="6">
        <f>20.7*C18/1000</f>
        <v>3.726</v>
      </c>
      <c r="E18" s="6">
        <f>32.4*C18/1000</f>
        <v>5.8319999999999999</v>
      </c>
      <c r="F18" s="6">
        <f>94.3*C18/1000</f>
        <v>16.974</v>
      </c>
      <c r="G18" s="6">
        <f>751*C18/1000</f>
        <v>135.18</v>
      </c>
      <c r="H18" s="6">
        <v>0</v>
      </c>
      <c r="I18" s="6">
        <f>0.3*C18/1000</f>
        <v>5.3999999999999999E-2</v>
      </c>
      <c r="J18" s="6">
        <f>171.6*C18/1000</f>
        <v>30.888000000000002</v>
      </c>
      <c r="K18" s="6">
        <f>554.5*C18/1000</f>
        <v>99.81</v>
      </c>
      <c r="L18" s="6">
        <f>401.4*C18/1000</f>
        <v>72.251999999999995</v>
      </c>
      <c r="M18" s="6">
        <f>8.1*C18/1000</f>
        <v>1.458</v>
      </c>
    </row>
    <row r="19" spans="1:13" x14ac:dyDescent="0.25">
      <c r="A19" s="6">
        <v>229</v>
      </c>
      <c r="B19" s="24" t="s">
        <v>34</v>
      </c>
      <c r="C19" s="25">
        <v>100</v>
      </c>
      <c r="D19" s="6">
        <v>13.65</v>
      </c>
      <c r="E19" s="6">
        <v>6.93</v>
      </c>
      <c r="F19" s="6">
        <v>5.32</v>
      </c>
      <c r="G19" s="6">
        <v>147</v>
      </c>
      <c r="H19" s="6">
        <v>8.1479999999999997</v>
      </c>
      <c r="I19" s="6">
        <v>7.0000000000000007E-2</v>
      </c>
      <c r="J19" s="6">
        <v>5.2220000000000004</v>
      </c>
      <c r="K19" s="6">
        <v>54.698</v>
      </c>
      <c r="L19" s="6">
        <v>227.066</v>
      </c>
      <c r="M19" s="6">
        <v>1.19</v>
      </c>
    </row>
    <row r="20" spans="1:13" x14ac:dyDescent="0.25">
      <c r="A20" s="6">
        <v>376</v>
      </c>
      <c r="B20" s="24" t="s">
        <v>5</v>
      </c>
      <c r="C20" s="25">
        <v>200</v>
      </c>
      <c r="D20" s="6">
        <f>5*C20/1000</f>
        <v>1</v>
      </c>
      <c r="E20" s="6">
        <f>0</f>
        <v>0</v>
      </c>
      <c r="F20" s="6">
        <f>101*C20/1000</f>
        <v>20.2</v>
      </c>
      <c r="G20" s="6">
        <f>424*C20/1000</f>
        <v>84.8</v>
      </c>
      <c r="H20" s="6">
        <f>0</f>
        <v>0</v>
      </c>
      <c r="I20" s="6">
        <f>0.1*C20/1000</f>
        <v>0.02</v>
      </c>
      <c r="J20" s="6">
        <f>20*C20/1000</f>
        <v>4</v>
      </c>
      <c r="K20" s="6">
        <f>70*C20/1000</f>
        <v>14</v>
      </c>
      <c r="L20" s="6">
        <f>70*C20/1000</f>
        <v>14</v>
      </c>
      <c r="M20" s="6">
        <f>14*C20/1000</f>
        <v>2.8</v>
      </c>
    </row>
    <row r="21" spans="1:13" x14ac:dyDescent="0.25">
      <c r="A21" s="28" t="s">
        <v>27</v>
      </c>
      <c r="B21" s="24" t="s">
        <v>3</v>
      </c>
      <c r="C21" s="25">
        <v>40</v>
      </c>
      <c r="D21" s="6">
        <f>107*C21/1000</f>
        <v>4.28</v>
      </c>
      <c r="E21" s="6">
        <f>45*C21/1000</f>
        <v>1.8</v>
      </c>
      <c r="F21" s="6">
        <f>435*C21/1000</f>
        <v>17.399999999999999</v>
      </c>
      <c r="G21" s="6">
        <f>2740*C21/1000</f>
        <v>109.6</v>
      </c>
      <c r="H21" s="6">
        <f>0</f>
        <v>0</v>
      </c>
      <c r="I21" s="6">
        <f>4.1*C21/1000</f>
        <v>0.16400000000000001</v>
      </c>
      <c r="J21" s="6">
        <f>2*C21/1000</f>
        <v>0.08</v>
      </c>
      <c r="K21" s="6">
        <f>1250*C21/1000</f>
        <v>50</v>
      </c>
      <c r="L21" s="6">
        <f>1290*C21/1000</f>
        <v>51.6</v>
      </c>
      <c r="M21" s="6">
        <f>36*C21/1000</f>
        <v>1.44</v>
      </c>
    </row>
    <row r="22" spans="1:13" x14ac:dyDescent="0.25">
      <c r="A22" s="29" t="s">
        <v>31</v>
      </c>
      <c r="B22" s="24" t="s">
        <v>0</v>
      </c>
      <c r="C22" s="25">
        <v>20</v>
      </c>
      <c r="D22" s="26">
        <f>85*C22/1000</f>
        <v>1.7</v>
      </c>
      <c r="E22" s="26">
        <f>33*C22/1000</f>
        <v>0.66</v>
      </c>
      <c r="F22" s="26">
        <f>425*C22/1000</f>
        <v>8.5</v>
      </c>
      <c r="G22" s="26">
        <f>2590*C22/1000</f>
        <v>51.8</v>
      </c>
      <c r="H22" s="30">
        <f>0</f>
        <v>0</v>
      </c>
      <c r="I22" s="26">
        <f>4.3*C22/1000</f>
        <v>8.5999999999999993E-2</v>
      </c>
      <c r="J22" s="26">
        <f>4*C22/1000</f>
        <v>0.08</v>
      </c>
      <c r="K22" s="26">
        <f>730*C22/1000</f>
        <v>14.6</v>
      </c>
      <c r="L22" s="26">
        <f>1250*C22/1000</f>
        <v>25</v>
      </c>
      <c r="M22" s="26">
        <f>28.3*C22/1000</f>
        <v>0.56599999999999995</v>
      </c>
    </row>
    <row r="23" spans="1:13" x14ac:dyDescent="0.25">
      <c r="A23" s="57"/>
      <c r="B23" s="24"/>
      <c r="C23" s="25">
        <f t="shared" ref="C23:M23" si="10">SUM(C16:C22)</f>
        <v>800</v>
      </c>
      <c r="D23" s="55">
        <f t="shared" si="10"/>
        <v>26.360000000000003</v>
      </c>
      <c r="E23" s="55">
        <f t="shared" si="10"/>
        <v>20.466000000000001</v>
      </c>
      <c r="F23" s="55">
        <f t="shared" si="10"/>
        <v>80.032000000000011</v>
      </c>
      <c r="G23" s="55">
        <f t="shared" si="10"/>
        <v>636.07999999999993</v>
      </c>
      <c r="H23" s="49">
        <f t="shared" si="10"/>
        <v>8.1479999999999997</v>
      </c>
      <c r="I23" s="55">
        <f t="shared" si="10"/>
        <v>0.48</v>
      </c>
      <c r="J23" s="55">
        <f t="shared" si="10"/>
        <v>49.591999999999999</v>
      </c>
      <c r="K23" s="55">
        <f t="shared" si="10"/>
        <v>269.03399999999999</v>
      </c>
      <c r="L23" s="55">
        <f t="shared" si="10"/>
        <v>446.36200000000002</v>
      </c>
      <c r="M23" s="55">
        <f t="shared" si="10"/>
        <v>8.4580000000000002</v>
      </c>
    </row>
    <row r="24" spans="1:13" ht="18.75" x14ac:dyDescent="0.25">
      <c r="A24" s="41"/>
      <c r="B24" s="35" t="s">
        <v>32</v>
      </c>
      <c r="C24" s="42">
        <f>C23+C14</f>
        <v>1305</v>
      </c>
      <c r="D24" s="37">
        <f t="shared" ref="D24:M24" si="11">D14+D23</f>
        <v>51.31</v>
      </c>
      <c r="E24" s="37">
        <f t="shared" si="11"/>
        <v>46.296000000000006</v>
      </c>
      <c r="F24" s="37">
        <f t="shared" si="11"/>
        <v>168.227</v>
      </c>
      <c r="G24" s="37">
        <f t="shared" si="11"/>
        <v>1334.73</v>
      </c>
      <c r="H24" s="37">
        <f t="shared" si="11"/>
        <v>183.69800000000001</v>
      </c>
      <c r="I24" s="37">
        <f t="shared" si="11"/>
        <v>0.93699999999999994</v>
      </c>
      <c r="J24" s="37">
        <f t="shared" si="11"/>
        <v>52.351999999999997</v>
      </c>
      <c r="K24" s="37">
        <f t="shared" si="11"/>
        <v>759.53399999999999</v>
      </c>
      <c r="L24" s="37">
        <f t="shared" si="11"/>
        <v>977.16200000000003</v>
      </c>
      <c r="M24" s="37">
        <f t="shared" si="11"/>
        <v>11.999499999999999</v>
      </c>
    </row>
    <row r="25" spans="1:13" ht="18" customHeight="1" x14ac:dyDescent="0.25">
      <c r="A25" s="38"/>
      <c r="B25" s="5" t="s">
        <v>64</v>
      </c>
      <c r="C25" s="6">
        <v>1200</v>
      </c>
      <c r="D25" s="7">
        <v>45</v>
      </c>
      <c r="E25" s="7">
        <v>46</v>
      </c>
      <c r="F25" s="7">
        <v>192</v>
      </c>
      <c r="G25" s="7">
        <v>1360</v>
      </c>
      <c r="H25" s="7">
        <v>450</v>
      </c>
      <c r="I25" s="7">
        <v>0.7</v>
      </c>
      <c r="J25" s="7">
        <v>35</v>
      </c>
      <c r="K25" s="7">
        <v>600</v>
      </c>
      <c r="L25" s="7">
        <v>600</v>
      </c>
      <c r="M25" s="7">
        <v>9</v>
      </c>
    </row>
    <row r="26" spans="1:13" ht="11.45" customHeight="1" x14ac:dyDescent="0.25">
      <c r="A26" s="39"/>
      <c r="B26" s="8"/>
      <c r="C26" s="9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8" hidden="1" customHeight="1" x14ac:dyDescent="0.25">
      <c r="A27" s="39"/>
      <c r="B27" s="8"/>
      <c r="C27" s="9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3" ht="18" hidden="1" customHeight="1" x14ac:dyDescent="0.25">
      <c r="A28" s="39"/>
      <c r="B28" s="8"/>
      <c r="C28" s="9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13" ht="22.15" hidden="1" customHeight="1" x14ac:dyDescent="0.25">
      <c r="D29" s="14"/>
      <c r="E29" s="14"/>
      <c r="F29" s="14"/>
      <c r="G29" s="14"/>
      <c r="H29" s="14"/>
      <c r="I29" s="14"/>
      <c r="J29" s="14"/>
      <c r="K29" s="14"/>
      <c r="L29" s="14"/>
      <c r="M29" s="14"/>
    </row>
  </sheetData>
  <mergeCells count="11">
    <mergeCell ref="C5:C7"/>
    <mergeCell ref="A2:B2"/>
    <mergeCell ref="A3:B3"/>
    <mergeCell ref="A4:B4"/>
    <mergeCell ref="A5:A7"/>
    <mergeCell ref="B5:B7"/>
    <mergeCell ref="D5:F5"/>
    <mergeCell ref="G5:G7"/>
    <mergeCell ref="H5:J6"/>
    <mergeCell ref="K5:M6"/>
    <mergeCell ref="D6:F6"/>
  </mergeCells>
  <pageMargins left="0.7" right="0.7" top="0.75" bottom="0.75" header="0.3" footer="0.3"/>
  <pageSetup paperSize="9" scale="87" fitToWidth="0" orientation="landscape" r:id="rId1"/>
  <rowBreaks count="1" manualBreakCount="1">
    <brk id="26" max="12" man="1"/>
  </rowBreaks>
  <colBreaks count="1" manualBreakCount="1">
    <brk id="1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1"/>
  <sheetViews>
    <sheetView showWhiteSpace="0" view="pageBreakPreview" topLeftCell="A4" zoomScale="80" zoomScaleNormal="70" zoomScaleSheetLayoutView="80" zoomScalePageLayoutView="70" workbookViewId="0">
      <selection activeCell="E24" sqref="E24"/>
    </sheetView>
  </sheetViews>
  <sheetFormatPr defaultColWidth="9.140625" defaultRowHeight="15" x14ac:dyDescent="0.25"/>
  <cols>
    <col min="1" max="1" width="9.140625" style="1"/>
    <col min="2" max="2" width="27.140625" style="1" customWidth="1"/>
    <col min="3" max="3" width="8.7109375" style="1" customWidth="1"/>
    <col min="4" max="4" width="7.28515625" style="1" customWidth="1"/>
    <col min="5" max="5" width="7.7109375" style="1" customWidth="1"/>
    <col min="6" max="6" width="9.28515625" style="1" customWidth="1"/>
    <col min="7" max="8" width="9.5703125" style="1" customWidth="1"/>
    <col min="9" max="9" width="7.5703125" style="1" customWidth="1"/>
    <col min="10" max="10" width="6.7109375" style="1" customWidth="1"/>
    <col min="11" max="11" width="8.5703125" style="1" customWidth="1"/>
    <col min="12" max="13" width="9.28515625" style="1" customWidth="1"/>
    <col min="14" max="16384" width="9.140625" style="1"/>
  </cols>
  <sheetData>
    <row r="1" spans="1:13" ht="18" hidden="1" customHeight="1" x14ac:dyDescent="0.25">
      <c r="A1" s="39"/>
      <c r="B1" s="8"/>
      <c r="C1" s="9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8" hidden="1" customHeight="1" x14ac:dyDescent="0.25">
      <c r="A2" s="39"/>
      <c r="B2" s="8"/>
      <c r="C2" s="9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22.15" hidden="1" customHeight="1" x14ac:dyDescent="0.25"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x14ac:dyDescent="0.25">
      <c r="A4" s="71" t="s">
        <v>56</v>
      </c>
      <c r="B4" s="72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x14ac:dyDescent="0.25">
      <c r="A5" s="71" t="s">
        <v>37</v>
      </c>
      <c r="B5" s="72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ht="15.75" thickBot="1" x14ac:dyDescent="0.3">
      <c r="A6" s="73" t="s">
        <v>61</v>
      </c>
      <c r="B6" s="7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x14ac:dyDescent="0.25">
      <c r="A7" s="75" t="s">
        <v>10</v>
      </c>
      <c r="B7" s="75" t="s">
        <v>11</v>
      </c>
      <c r="C7" s="75" t="s">
        <v>12</v>
      </c>
      <c r="D7" s="65" t="s">
        <v>13</v>
      </c>
      <c r="E7" s="66"/>
      <c r="F7" s="67"/>
      <c r="G7" s="80" t="s">
        <v>14</v>
      </c>
      <c r="H7" s="65" t="s">
        <v>15</v>
      </c>
      <c r="I7" s="66"/>
      <c r="J7" s="67"/>
      <c r="K7" s="65" t="s">
        <v>16</v>
      </c>
      <c r="L7" s="66"/>
      <c r="M7" s="67"/>
    </row>
    <row r="8" spans="1:13" ht="15.75" thickBot="1" x14ac:dyDescent="0.3">
      <c r="A8" s="76"/>
      <c r="B8" s="78"/>
      <c r="C8" s="78"/>
      <c r="D8" s="68" t="s">
        <v>17</v>
      </c>
      <c r="E8" s="69"/>
      <c r="F8" s="70"/>
      <c r="G8" s="81"/>
      <c r="H8" s="68"/>
      <c r="I8" s="69"/>
      <c r="J8" s="70"/>
      <c r="K8" s="68"/>
      <c r="L8" s="69"/>
      <c r="M8" s="70"/>
    </row>
    <row r="9" spans="1:13" ht="17.25" thickBot="1" x14ac:dyDescent="0.3">
      <c r="A9" s="77"/>
      <c r="B9" s="79"/>
      <c r="C9" s="79"/>
      <c r="D9" s="15" t="s">
        <v>18</v>
      </c>
      <c r="E9" s="15" t="s">
        <v>19</v>
      </c>
      <c r="F9" s="15" t="s">
        <v>20</v>
      </c>
      <c r="G9" s="82"/>
      <c r="H9" s="15" t="s">
        <v>21</v>
      </c>
      <c r="I9" s="15" t="s">
        <v>40</v>
      </c>
      <c r="J9" s="15" t="s">
        <v>23</v>
      </c>
      <c r="K9" s="15" t="s">
        <v>24</v>
      </c>
      <c r="L9" s="15" t="s">
        <v>39</v>
      </c>
      <c r="M9" s="15" t="s">
        <v>25</v>
      </c>
    </row>
    <row r="10" spans="1:13" ht="18.75" x14ac:dyDescent="0.25">
      <c r="A10" s="2"/>
      <c r="B10" s="27" t="s">
        <v>26</v>
      </c>
      <c r="C10" s="3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 ht="30" x14ac:dyDescent="0.25">
      <c r="A11" s="6">
        <v>219</v>
      </c>
      <c r="B11" s="45" t="s">
        <v>58</v>
      </c>
      <c r="C11" s="25">
        <v>155</v>
      </c>
      <c r="D11" s="6">
        <f>148.3*C11/1000</f>
        <v>22.986499999999999</v>
      </c>
      <c r="E11" s="6">
        <f>70.4*C11/1000</f>
        <v>10.912000000000001</v>
      </c>
      <c r="F11" s="6">
        <f>237.4*C11/1000</f>
        <v>36.796999999999997</v>
      </c>
      <c r="G11" s="6">
        <f>2180*C11/1000</f>
        <v>337.9</v>
      </c>
      <c r="H11" s="6">
        <f>501*C11/1000</f>
        <v>77.655000000000001</v>
      </c>
      <c r="I11" s="6">
        <f>0.4*C11/1000</f>
        <v>6.2E-2</v>
      </c>
      <c r="J11" s="6">
        <f>1.9*C11/1000</f>
        <v>0.29449999999999998</v>
      </c>
      <c r="K11" s="6">
        <f>974.1*C11/1000</f>
        <v>150.9855</v>
      </c>
      <c r="L11" s="6">
        <f>1400*C11/1000</f>
        <v>217</v>
      </c>
      <c r="M11" s="6">
        <f>4*C11/1000</f>
        <v>0.62</v>
      </c>
    </row>
    <row r="12" spans="1:13" x14ac:dyDescent="0.25">
      <c r="A12" s="6">
        <v>376</v>
      </c>
      <c r="B12" s="24" t="s">
        <v>70</v>
      </c>
      <c r="C12" s="25">
        <v>207</v>
      </c>
      <c r="D12" s="6">
        <f>0.35*C12/1000</f>
        <v>7.2449999999999987E-2</v>
      </c>
      <c r="E12" s="6">
        <f>0.1*C12/1000</f>
        <v>2.0700000000000003E-2</v>
      </c>
      <c r="F12" s="6">
        <f>75*C12/1000</f>
        <v>15.525</v>
      </c>
      <c r="G12" s="6">
        <f>300*C12/1000</f>
        <v>62.1</v>
      </c>
      <c r="H12" s="6">
        <f>0*C12/1000</f>
        <v>0</v>
      </c>
      <c r="I12" s="6">
        <f>0</f>
        <v>0</v>
      </c>
      <c r="J12" s="6">
        <f>0.2*C12/1000</f>
        <v>4.1400000000000006E-2</v>
      </c>
      <c r="K12" s="6">
        <f>55.5*C12/1000</f>
        <v>11.4885</v>
      </c>
      <c r="L12" s="6">
        <f>14*C12/1000</f>
        <v>2.8980000000000001</v>
      </c>
      <c r="M12" s="6">
        <f>1.4*C12/1000</f>
        <v>0.28979999999999995</v>
      </c>
    </row>
    <row r="13" spans="1:13" x14ac:dyDescent="0.25">
      <c r="A13" s="6" t="s">
        <v>27</v>
      </c>
      <c r="B13" s="24" t="s">
        <v>3</v>
      </c>
      <c r="C13" s="25">
        <v>40</v>
      </c>
      <c r="D13" s="6">
        <f>107*C13/1000</f>
        <v>4.28</v>
      </c>
      <c r="E13" s="6">
        <f>45*C13/1000</f>
        <v>1.8</v>
      </c>
      <c r="F13" s="6">
        <f>435*C13/1000</f>
        <v>17.399999999999999</v>
      </c>
      <c r="G13" s="6">
        <f>2740*C13/1000</f>
        <v>109.6</v>
      </c>
      <c r="H13" s="6">
        <f>0</f>
        <v>0</v>
      </c>
      <c r="I13" s="6">
        <f>4.1*C13/1000</f>
        <v>0.16400000000000001</v>
      </c>
      <c r="J13" s="6">
        <f>2*C13/1000</f>
        <v>0.08</v>
      </c>
      <c r="K13" s="6">
        <f>1250*C13/1000</f>
        <v>50</v>
      </c>
      <c r="L13" s="6">
        <f>1290*C13/1000</f>
        <v>51.6</v>
      </c>
      <c r="M13" s="6">
        <f>36*C13/1000</f>
        <v>1.44</v>
      </c>
    </row>
    <row r="14" spans="1:13" x14ac:dyDescent="0.25">
      <c r="A14" s="28">
        <v>338</v>
      </c>
      <c r="B14" s="24" t="s">
        <v>46</v>
      </c>
      <c r="C14" s="25">
        <v>100</v>
      </c>
      <c r="D14" s="6">
        <f>4*C14/1000</f>
        <v>0.4</v>
      </c>
      <c r="E14" s="6">
        <f>4*C14/1000</f>
        <v>0.4</v>
      </c>
      <c r="F14" s="6">
        <f>98*C14/1000</f>
        <v>9.8000000000000007</v>
      </c>
      <c r="G14" s="6">
        <f>470*C14/1000</f>
        <v>47</v>
      </c>
      <c r="H14" s="6">
        <f>0</f>
        <v>0</v>
      </c>
      <c r="I14" s="6">
        <f>0.3*C14/1000</f>
        <v>0.03</v>
      </c>
      <c r="J14" s="6">
        <f>100*C14/1000</f>
        <v>10</v>
      </c>
      <c r="K14" s="6">
        <f>160*C14/1000</f>
        <v>16</v>
      </c>
      <c r="L14" s="6">
        <f>110*C14/1000</f>
        <v>11</v>
      </c>
      <c r="M14" s="6">
        <f>22*C14/1000</f>
        <v>2.2000000000000002</v>
      </c>
    </row>
    <row r="15" spans="1:13" x14ac:dyDescent="0.25">
      <c r="A15" s="29" t="s">
        <v>31</v>
      </c>
      <c r="B15" s="24" t="s">
        <v>0</v>
      </c>
      <c r="C15" s="25">
        <v>20</v>
      </c>
      <c r="D15" s="26">
        <f>85*C15/1000</f>
        <v>1.7</v>
      </c>
      <c r="E15" s="26">
        <f>33*C15/1000</f>
        <v>0.66</v>
      </c>
      <c r="F15" s="26">
        <f>425*C15/1000</f>
        <v>8.5</v>
      </c>
      <c r="G15" s="26">
        <f>2590*C15/1000</f>
        <v>51.8</v>
      </c>
      <c r="H15" s="30">
        <f>0</f>
        <v>0</v>
      </c>
      <c r="I15" s="26">
        <f>4.3*C15/1000</f>
        <v>8.5999999999999993E-2</v>
      </c>
      <c r="J15" s="26">
        <f>4*C15/1000</f>
        <v>0.08</v>
      </c>
      <c r="K15" s="26">
        <f>730*C15/1000</f>
        <v>14.6</v>
      </c>
      <c r="L15" s="26">
        <f>1250*C15/1000</f>
        <v>25</v>
      </c>
      <c r="M15" s="26">
        <f>28.3*C15/1000</f>
        <v>0.56599999999999995</v>
      </c>
    </row>
    <row r="16" spans="1:13" x14ac:dyDescent="0.25">
      <c r="A16" s="6"/>
      <c r="B16" s="31" t="s">
        <v>28</v>
      </c>
      <c r="C16" s="40">
        <f>SUM(C11:C15)</f>
        <v>522</v>
      </c>
      <c r="D16" s="33">
        <f t="shared" ref="D16:M16" si="0">SUM(D11:D15)</f>
        <v>29.438949999999998</v>
      </c>
      <c r="E16" s="33">
        <f t="shared" si="0"/>
        <v>13.792700000000002</v>
      </c>
      <c r="F16" s="33">
        <f t="shared" si="0"/>
        <v>88.021999999999991</v>
      </c>
      <c r="G16" s="33">
        <f t="shared" si="0"/>
        <v>608.4</v>
      </c>
      <c r="H16" s="33">
        <f t="shared" si="0"/>
        <v>77.655000000000001</v>
      </c>
      <c r="I16" s="33">
        <f t="shared" si="0"/>
        <v>0.34199999999999997</v>
      </c>
      <c r="J16" s="33">
        <f t="shared" si="0"/>
        <v>10.495900000000001</v>
      </c>
      <c r="K16" s="33">
        <f t="shared" si="0"/>
        <v>243.07399999999998</v>
      </c>
      <c r="L16" s="33">
        <f t="shared" si="0"/>
        <v>307.49799999999999</v>
      </c>
      <c r="M16" s="33">
        <f t="shared" si="0"/>
        <v>5.1158000000000001</v>
      </c>
    </row>
    <row r="17" spans="1:13" ht="16.5" customHeight="1" x14ac:dyDescent="0.25">
      <c r="A17" s="6"/>
      <c r="B17" s="34" t="s">
        <v>29</v>
      </c>
      <c r="C17" s="4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25">
      <c r="A18" s="28"/>
      <c r="B18" s="24"/>
      <c r="C18" s="25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x14ac:dyDescent="0.25">
      <c r="A19" s="6">
        <v>102</v>
      </c>
      <c r="B19" s="24" t="s">
        <v>38</v>
      </c>
      <c r="C19" s="25">
        <v>200</v>
      </c>
      <c r="D19" s="6">
        <f>22*C19/1000</f>
        <v>4.4000000000000004</v>
      </c>
      <c r="E19" s="6">
        <f>21.1*C19/1000</f>
        <v>4.22</v>
      </c>
      <c r="F19" s="6">
        <f>66.1*C19/1000</f>
        <v>13.219999999999999</v>
      </c>
      <c r="G19" s="6">
        <f>593*C19/1000</f>
        <v>118.6</v>
      </c>
      <c r="H19" s="6">
        <f>0</f>
        <v>0</v>
      </c>
      <c r="I19" s="6">
        <f>0.9*C19/1000</f>
        <v>0.18</v>
      </c>
      <c r="J19" s="6">
        <f>23.3*C19/1000</f>
        <v>4.66</v>
      </c>
      <c r="K19" s="6">
        <f>170.7*C19/1000</f>
        <v>34.14</v>
      </c>
      <c r="L19" s="6">
        <f>352.4*C19/1000</f>
        <v>70.48</v>
      </c>
      <c r="M19" s="6">
        <f>8.2*C19/1000</f>
        <v>1.6399999999999997</v>
      </c>
    </row>
    <row r="20" spans="1:13" x14ac:dyDescent="0.25">
      <c r="A20" s="6">
        <v>291</v>
      </c>
      <c r="B20" s="24" t="s">
        <v>81</v>
      </c>
      <c r="C20" s="25">
        <v>200</v>
      </c>
      <c r="D20" s="6">
        <f>90.1*C20/1000</f>
        <v>18.02</v>
      </c>
      <c r="E20" s="6">
        <f>44.7*C20/1000</f>
        <v>8.94</v>
      </c>
      <c r="F20" s="6">
        <f>182.3*C20/1000</f>
        <v>36.46</v>
      </c>
      <c r="G20" s="6">
        <f>1493.3*C20/1000</f>
        <v>298.66000000000003</v>
      </c>
      <c r="H20" s="6">
        <f>140*C20/1000</f>
        <v>28</v>
      </c>
      <c r="I20" s="6">
        <f>0.7*C20/1000</f>
        <v>0.14000000000000001</v>
      </c>
      <c r="J20" s="6">
        <f>32.7*C20/1000</f>
        <v>6.5400000000000009</v>
      </c>
      <c r="K20" s="6">
        <f>180.5*C20/1000</f>
        <v>36.1</v>
      </c>
      <c r="L20" s="6">
        <f>946.7*C20/1000</f>
        <v>189.34</v>
      </c>
      <c r="M20" s="6">
        <f>9.3*C20/1000</f>
        <v>1.8600000000000003</v>
      </c>
    </row>
    <row r="21" spans="1:13" x14ac:dyDescent="0.25">
      <c r="A21" s="6">
        <v>379</v>
      </c>
      <c r="B21" s="24" t="s">
        <v>41</v>
      </c>
      <c r="C21" s="25">
        <v>200</v>
      </c>
      <c r="D21" s="26">
        <f>15.8*C21/1000</f>
        <v>3.16</v>
      </c>
      <c r="E21" s="26">
        <f>13.4*C21/1000</f>
        <v>2.68</v>
      </c>
      <c r="F21" s="26">
        <f>79.7*C21/1000</f>
        <v>15.94</v>
      </c>
      <c r="G21" s="26">
        <f>503*C21/1000</f>
        <v>100.6</v>
      </c>
      <c r="H21" s="26">
        <f>100*C21/1000</f>
        <v>20</v>
      </c>
      <c r="I21" s="26">
        <f>0.22*C21/1000</f>
        <v>4.3999999999999997E-2</v>
      </c>
      <c r="J21" s="26">
        <f>6.5*C21/1000</f>
        <v>1.3</v>
      </c>
      <c r="K21" s="26">
        <f>628.9*C21/1000</f>
        <v>125.78</v>
      </c>
      <c r="L21" s="26">
        <f>450*C21/1000</f>
        <v>90</v>
      </c>
      <c r="M21" s="26">
        <f>0.7*C21/1000</f>
        <v>0.14000000000000001</v>
      </c>
    </row>
    <row r="22" spans="1:13" x14ac:dyDescent="0.25">
      <c r="A22" s="28" t="s">
        <v>27</v>
      </c>
      <c r="B22" s="24" t="s">
        <v>3</v>
      </c>
      <c r="C22" s="25">
        <v>40</v>
      </c>
      <c r="D22" s="6">
        <f>107*C22/1000</f>
        <v>4.28</v>
      </c>
      <c r="E22" s="6">
        <f>45*C22/1000</f>
        <v>1.8</v>
      </c>
      <c r="F22" s="6">
        <f>435*C22/1000</f>
        <v>17.399999999999999</v>
      </c>
      <c r="G22" s="6">
        <f>2740*C22/1000</f>
        <v>109.6</v>
      </c>
      <c r="H22" s="6">
        <f>0</f>
        <v>0</v>
      </c>
      <c r="I22" s="6">
        <f>4.1*C22/1000</f>
        <v>0.16400000000000001</v>
      </c>
      <c r="J22" s="6">
        <f>2*C22/1000</f>
        <v>0.08</v>
      </c>
      <c r="K22" s="6">
        <f>1250*C22/1000</f>
        <v>50</v>
      </c>
      <c r="L22" s="6">
        <f>1290*C22/1000</f>
        <v>51.6</v>
      </c>
      <c r="M22" s="6">
        <f>36*C22/1000</f>
        <v>1.44</v>
      </c>
    </row>
    <row r="23" spans="1:13" x14ac:dyDescent="0.25">
      <c r="A23" s="29" t="s">
        <v>31</v>
      </c>
      <c r="B23" s="24" t="s">
        <v>0</v>
      </c>
      <c r="C23" s="25">
        <v>20</v>
      </c>
      <c r="D23" s="26">
        <f>85*C23/1000</f>
        <v>1.7</v>
      </c>
      <c r="E23" s="26">
        <f>33*C23/1000</f>
        <v>0.66</v>
      </c>
      <c r="F23" s="26">
        <f>425*C23/1000</f>
        <v>8.5</v>
      </c>
      <c r="G23" s="26">
        <f>2590*C23/1000</f>
        <v>51.8</v>
      </c>
      <c r="H23" s="30">
        <f>0</f>
        <v>0</v>
      </c>
      <c r="I23" s="26">
        <f>4.3*C23/1000</f>
        <v>8.5999999999999993E-2</v>
      </c>
      <c r="J23" s="26">
        <f>4*C23/1000</f>
        <v>0.08</v>
      </c>
      <c r="K23" s="26">
        <f>730*C23/1000</f>
        <v>14.6</v>
      </c>
      <c r="L23" s="26">
        <f>1250*C23/1000</f>
        <v>25</v>
      </c>
      <c r="M23" s="26">
        <f>28.3*C23/1000</f>
        <v>0.56599999999999995</v>
      </c>
    </row>
    <row r="24" spans="1:13" x14ac:dyDescent="0.25">
      <c r="A24" s="28">
        <v>338</v>
      </c>
      <c r="B24" s="24" t="s">
        <v>46</v>
      </c>
      <c r="C24" s="25">
        <v>150</v>
      </c>
      <c r="D24" s="6">
        <f>4*C24/1000</f>
        <v>0.6</v>
      </c>
      <c r="E24" s="6">
        <f>4*C24/1000</f>
        <v>0.6</v>
      </c>
      <c r="F24" s="6">
        <f>98*C24/1000</f>
        <v>14.7</v>
      </c>
      <c r="G24" s="6">
        <f>470*C24/1000</f>
        <v>70.5</v>
      </c>
      <c r="H24" s="6">
        <f>0</f>
        <v>0</v>
      </c>
      <c r="I24" s="6">
        <f>0.3*C24/1000</f>
        <v>4.4999999999999998E-2</v>
      </c>
      <c r="J24" s="6">
        <f>100*C24/1000</f>
        <v>15</v>
      </c>
      <c r="K24" s="6">
        <f>160*C24/1000</f>
        <v>24</v>
      </c>
      <c r="L24" s="6">
        <f>110*C24/1000</f>
        <v>16.5</v>
      </c>
      <c r="M24" s="6">
        <f>22*C24/1000</f>
        <v>3.3</v>
      </c>
    </row>
    <row r="25" spans="1:13" x14ac:dyDescent="0.25">
      <c r="A25" s="41"/>
      <c r="B25" s="31" t="s">
        <v>28</v>
      </c>
      <c r="C25" s="40">
        <f t="shared" ref="C25:M25" si="1">SUM(C19:C24)</f>
        <v>810</v>
      </c>
      <c r="D25" s="33">
        <f t="shared" si="1"/>
        <v>32.160000000000004</v>
      </c>
      <c r="E25" s="33">
        <f t="shared" si="1"/>
        <v>18.900000000000002</v>
      </c>
      <c r="F25" s="33">
        <f t="shared" si="1"/>
        <v>106.22000000000001</v>
      </c>
      <c r="G25" s="33">
        <f t="shared" si="1"/>
        <v>749.76</v>
      </c>
      <c r="H25" s="33">
        <f t="shared" si="1"/>
        <v>48</v>
      </c>
      <c r="I25" s="33">
        <f t="shared" si="1"/>
        <v>0.65900000000000003</v>
      </c>
      <c r="J25" s="33">
        <f t="shared" si="1"/>
        <v>27.660000000000004</v>
      </c>
      <c r="K25" s="33">
        <f t="shared" si="1"/>
        <v>284.62</v>
      </c>
      <c r="L25" s="33">
        <f t="shared" si="1"/>
        <v>442.92</v>
      </c>
      <c r="M25" s="33">
        <f t="shared" si="1"/>
        <v>8.9459999999999997</v>
      </c>
    </row>
    <row r="26" spans="1:13" ht="18.75" x14ac:dyDescent="0.25">
      <c r="A26" s="41"/>
      <c r="B26" s="35" t="s">
        <v>32</v>
      </c>
      <c r="C26" s="42">
        <f t="shared" ref="C26:M26" si="2">C16+C25</f>
        <v>1332</v>
      </c>
      <c r="D26" s="37">
        <f t="shared" si="2"/>
        <v>61.598950000000002</v>
      </c>
      <c r="E26" s="37">
        <f t="shared" si="2"/>
        <v>32.692700000000002</v>
      </c>
      <c r="F26" s="37">
        <f t="shared" si="2"/>
        <v>194.24200000000002</v>
      </c>
      <c r="G26" s="37">
        <f t="shared" si="2"/>
        <v>1358.1599999999999</v>
      </c>
      <c r="H26" s="37">
        <f t="shared" si="2"/>
        <v>125.655</v>
      </c>
      <c r="I26" s="37">
        <f t="shared" si="2"/>
        <v>1.0009999999999999</v>
      </c>
      <c r="J26" s="37">
        <f t="shared" si="2"/>
        <v>38.155900000000003</v>
      </c>
      <c r="K26" s="37">
        <f t="shared" si="2"/>
        <v>527.69399999999996</v>
      </c>
      <c r="L26" s="37">
        <f t="shared" si="2"/>
        <v>750.41800000000001</v>
      </c>
      <c r="M26" s="37">
        <f t="shared" si="2"/>
        <v>14.0618</v>
      </c>
    </row>
    <row r="27" spans="1:13" ht="25.15" customHeight="1" x14ac:dyDescent="0.25">
      <c r="A27" s="38"/>
      <c r="B27" s="5" t="s">
        <v>64</v>
      </c>
      <c r="C27" s="6">
        <v>1200</v>
      </c>
      <c r="D27" s="7">
        <v>45</v>
      </c>
      <c r="E27" s="7">
        <v>46</v>
      </c>
      <c r="F27" s="7">
        <v>192</v>
      </c>
      <c r="G27" s="7">
        <v>1360</v>
      </c>
      <c r="H27" s="7">
        <v>450</v>
      </c>
      <c r="I27" s="7">
        <v>0.7</v>
      </c>
      <c r="J27" s="7">
        <v>35</v>
      </c>
      <c r="K27" s="7">
        <v>600</v>
      </c>
      <c r="L27" s="7">
        <v>600</v>
      </c>
      <c r="M27" s="7">
        <v>9</v>
      </c>
    </row>
    <row r="28" spans="1:13" ht="18.75" customHeight="1" x14ac:dyDescent="0.25">
      <c r="A28" s="39"/>
      <c r="B28" s="8"/>
      <c r="C28" s="9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13" ht="18.75" customHeight="1" x14ac:dyDescent="0.25">
      <c r="A29" s="39"/>
      <c r="B29" s="8"/>
      <c r="C29" s="9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13" ht="18.600000000000001" customHeight="1" x14ac:dyDescent="0.25">
      <c r="A30" s="39"/>
      <c r="B30" s="8"/>
      <c r="C30" s="9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ht="402" hidden="1" customHeight="1" x14ac:dyDescent="0.25">
      <c r="A31" s="39"/>
      <c r="B31" s="8"/>
      <c r="C31" s="9"/>
      <c r="D31" s="11"/>
      <c r="E31" s="11"/>
      <c r="F31" s="11"/>
      <c r="G31" s="11"/>
      <c r="H31" s="11"/>
      <c r="I31" s="11"/>
      <c r="J31" s="11"/>
      <c r="K31" s="11"/>
      <c r="L31" s="11"/>
      <c r="M31" s="11"/>
    </row>
  </sheetData>
  <mergeCells count="11">
    <mergeCell ref="C7:C9"/>
    <mergeCell ref="A4:B4"/>
    <mergeCell ref="A5:B5"/>
    <mergeCell ref="A6:B6"/>
    <mergeCell ref="A7:A9"/>
    <mergeCell ref="B7:B9"/>
    <mergeCell ref="D7:F7"/>
    <mergeCell ref="G7:G9"/>
    <mergeCell ref="H7:J8"/>
    <mergeCell ref="K7:M8"/>
    <mergeCell ref="D8:F8"/>
  </mergeCells>
  <pageMargins left="0.7" right="0.7" top="0.75" bottom="0.75" header="0.3" footer="0.3"/>
  <pageSetup paperSize="9" scale="87" fitToWidth="0" orientation="landscape" r:id="rId1"/>
  <rowBreaks count="1" manualBreakCount="1">
    <brk id="30" max="12" man="1"/>
  </rowBreaks>
  <colBreaks count="1" manualBreakCount="1">
    <brk id="19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31"/>
  <sheetViews>
    <sheetView showWhiteSpace="0" view="pageBreakPreview" topLeftCell="A2" zoomScale="80" zoomScaleNormal="70" zoomScaleSheetLayoutView="80" zoomScalePageLayoutView="70" workbookViewId="0">
      <selection activeCell="C17" sqref="C17"/>
    </sheetView>
  </sheetViews>
  <sheetFormatPr defaultColWidth="9.140625" defaultRowHeight="15" x14ac:dyDescent="0.25"/>
  <cols>
    <col min="1" max="1" width="9.140625" style="1"/>
    <col min="2" max="2" width="27.140625" style="1" customWidth="1"/>
    <col min="3" max="3" width="8.7109375" style="1" customWidth="1"/>
    <col min="4" max="4" width="7.28515625" style="1" customWidth="1"/>
    <col min="5" max="5" width="7.7109375" style="1" customWidth="1"/>
    <col min="6" max="6" width="9.28515625" style="1" customWidth="1"/>
    <col min="7" max="8" width="9.5703125" style="1" customWidth="1"/>
    <col min="9" max="9" width="7.5703125" style="1" customWidth="1"/>
    <col min="10" max="10" width="6.7109375" style="1" customWidth="1"/>
    <col min="11" max="11" width="8.5703125" style="1" customWidth="1"/>
    <col min="12" max="13" width="9.28515625" style="1" customWidth="1"/>
    <col min="14" max="16384" width="9.140625" style="1"/>
  </cols>
  <sheetData>
    <row r="1" spans="1:20" ht="16.149999999999999" hidden="1" customHeight="1" x14ac:dyDescent="0.25">
      <c r="B1" s="21"/>
      <c r="C1" s="21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0" ht="18.75" x14ac:dyDescent="0.25">
      <c r="A2" s="71" t="s">
        <v>36</v>
      </c>
      <c r="B2" s="72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20" x14ac:dyDescent="0.25">
      <c r="A3" s="71" t="s">
        <v>37</v>
      </c>
      <c r="B3" s="72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20" ht="15.75" thickBot="1" x14ac:dyDescent="0.3">
      <c r="A4" s="73" t="s">
        <v>62</v>
      </c>
      <c r="B4" s="7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20" x14ac:dyDescent="0.25">
      <c r="A5" s="75" t="s">
        <v>10</v>
      </c>
      <c r="B5" s="75" t="s">
        <v>11</v>
      </c>
      <c r="C5" s="75" t="s">
        <v>12</v>
      </c>
      <c r="D5" s="65" t="s">
        <v>13</v>
      </c>
      <c r="E5" s="66"/>
      <c r="F5" s="67"/>
      <c r="G5" s="80" t="s">
        <v>14</v>
      </c>
      <c r="H5" s="65" t="s">
        <v>15</v>
      </c>
      <c r="I5" s="66"/>
      <c r="J5" s="67"/>
      <c r="K5" s="65" t="s">
        <v>16</v>
      </c>
      <c r="L5" s="66"/>
      <c r="M5" s="67"/>
    </row>
    <row r="6" spans="1:20" ht="15.75" thickBot="1" x14ac:dyDescent="0.3">
      <c r="A6" s="76"/>
      <c r="B6" s="78"/>
      <c r="C6" s="78"/>
      <c r="D6" s="68" t="s">
        <v>17</v>
      </c>
      <c r="E6" s="69"/>
      <c r="F6" s="70"/>
      <c r="G6" s="81"/>
      <c r="H6" s="68"/>
      <c r="I6" s="69"/>
      <c r="J6" s="70"/>
      <c r="K6" s="68"/>
      <c r="L6" s="69"/>
      <c r="M6" s="70"/>
      <c r="T6" s="14"/>
    </row>
    <row r="7" spans="1:20" ht="16.149999999999999" customHeight="1" thickBot="1" x14ac:dyDescent="0.3">
      <c r="A7" s="77"/>
      <c r="B7" s="79"/>
      <c r="C7" s="79"/>
      <c r="D7" s="15" t="s">
        <v>18</v>
      </c>
      <c r="E7" s="15" t="s">
        <v>19</v>
      </c>
      <c r="F7" s="15" t="s">
        <v>20</v>
      </c>
      <c r="G7" s="82"/>
      <c r="H7" s="15" t="s">
        <v>21</v>
      </c>
      <c r="I7" s="15" t="s">
        <v>40</v>
      </c>
      <c r="J7" s="15" t="s">
        <v>23</v>
      </c>
      <c r="K7" s="15" t="s">
        <v>24</v>
      </c>
      <c r="L7" s="15" t="s">
        <v>39</v>
      </c>
      <c r="M7" s="15" t="s">
        <v>25</v>
      </c>
    </row>
    <row r="8" spans="1:20" ht="16.5" customHeight="1" x14ac:dyDescent="0.25">
      <c r="A8" s="2"/>
      <c r="B8" s="27" t="s">
        <v>26</v>
      </c>
      <c r="C8" s="3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20" ht="30" x14ac:dyDescent="0.25">
      <c r="A9" s="6">
        <v>173</v>
      </c>
      <c r="B9" s="45" t="s">
        <v>59</v>
      </c>
      <c r="C9" s="25">
        <v>200</v>
      </c>
      <c r="D9" s="6">
        <f>16.9*C9/1000</f>
        <v>3.3799999999999994</v>
      </c>
      <c r="E9" s="6">
        <f>109.9*C9/1000</f>
        <v>21.98</v>
      </c>
      <c r="F9" s="6">
        <f>81.9*C9/1000</f>
        <v>16.380000000000003</v>
      </c>
      <c r="G9" s="6">
        <f>1352.4*C9/1000</f>
        <v>270.48</v>
      </c>
      <c r="H9" s="6">
        <f>438.1*C9/1000</f>
        <v>87.62</v>
      </c>
      <c r="I9" s="6">
        <f>0.6*C9/1000</f>
        <v>0.12</v>
      </c>
      <c r="J9" s="6">
        <f>119.1*C9/1000</f>
        <v>23.82</v>
      </c>
      <c r="K9" s="6">
        <f>353.9*C9/1000</f>
        <v>70.78</v>
      </c>
      <c r="L9" s="6">
        <f>428.6*C9/1000</f>
        <v>85.72</v>
      </c>
      <c r="M9" s="6">
        <f>5.7*C9/1000</f>
        <v>1.1399999999999999</v>
      </c>
    </row>
    <row r="10" spans="1:20" x14ac:dyDescent="0.25">
      <c r="A10" s="6">
        <v>338</v>
      </c>
      <c r="B10" s="24" t="s">
        <v>46</v>
      </c>
      <c r="C10" s="25">
        <v>100</v>
      </c>
      <c r="D10" s="6">
        <f>4*C10/1000</f>
        <v>0.4</v>
      </c>
      <c r="E10" s="6">
        <f>4*C10/1000</f>
        <v>0.4</v>
      </c>
      <c r="F10" s="6">
        <f>98*C10/1000</f>
        <v>9.8000000000000007</v>
      </c>
      <c r="G10" s="6">
        <f>470*C10/1000</f>
        <v>47</v>
      </c>
      <c r="H10" s="6">
        <f>0</f>
        <v>0</v>
      </c>
      <c r="I10" s="6">
        <f>0.3*C10/1000</f>
        <v>0.03</v>
      </c>
      <c r="J10" s="6">
        <f>100*C10/1000</f>
        <v>10</v>
      </c>
      <c r="K10" s="6">
        <f>160*C10/1000</f>
        <v>16</v>
      </c>
      <c r="L10" s="6">
        <f>110*C10/1000</f>
        <v>11</v>
      </c>
      <c r="M10" s="6">
        <f>22*C10/1000</f>
        <v>2.2000000000000002</v>
      </c>
    </row>
    <row r="11" spans="1:20" x14ac:dyDescent="0.25">
      <c r="A11" s="6">
        <v>386</v>
      </c>
      <c r="B11" s="24" t="s">
        <v>66</v>
      </c>
      <c r="C11" s="25">
        <v>180</v>
      </c>
      <c r="D11" s="6">
        <v>5.8</v>
      </c>
      <c r="E11" s="6">
        <v>5</v>
      </c>
      <c r="F11" s="6">
        <v>8</v>
      </c>
      <c r="G11" s="6">
        <v>100</v>
      </c>
      <c r="H11" s="6">
        <v>40</v>
      </c>
      <c r="I11" s="6">
        <v>0.08</v>
      </c>
      <c r="J11" s="6">
        <v>1.4</v>
      </c>
      <c r="K11" s="6">
        <v>240</v>
      </c>
      <c r="L11" s="6">
        <v>180</v>
      </c>
      <c r="M11" s="6">
        <v>0.2</v>
      </c>
    </row>
    <row r="12" spans="1:20" x14ac:dyDescent="0.25">
      <c r="A12" s="6">
        <v>15</v>
      </c>
      <c r="B12" s="24" t="s">
        <v>1</v>
      </c>
      <c r="C12" s="25">
        <v>15</v>
      </c>
      <c r="D12" s="6">
        <f>232*C12/1000</f>
        <v>3.48</v>
      </c>
      <c r="E12" s="6">
        <f>295*C12/1000</f>
        <v>4.4249999999999998</v>
      </c>
      <c r="F12" s="6">
        <f>0</f>
        <v>0</v>
      </c>
      <c r="G12" s="6">
        <f>3600*C12/1000</f>
        <v>54</v>
      </c>
      <c r="H12" s="6">
        <f>2600*C12/1000</f>
        <v>39</v>
      </c>
      <c r="I12" s="6">
        <f>0.3*C12/1000</f>
        <v>4.4999999999999997E-3</v>
      </c>
      <c r="J12" s="6">
        <f>7*C12/1000</f>
        <v>0.105</v>
      </c>
      <c r="K12" s="6">
        <f>8800*C12/1000</f>
        <v>132</v>
      </c>
      <c r="L12" s="6">
        <f>5000*C12/1000</f>
        <v>75</v>
      </c>
      <c r="M12" s="6">
        <f>10*C12/1000</f>
        <v>0.15</v>
      </c>
    </row>
    <row r="13" spans="1:20" x14ac:dyDescent="0.25">
      <c r="A13" s="28" t="s">
        <v>27</v>
      </c>
      <c r="B13" s="24" t="s">
        <v>3</v>
      </c>
      <c r="C13" s="25">
        <v>40</v>
      </c>
      <c r="D13" s="6">
        <f>107*C13/1000</f>
        <v>4.28</v>
      </c>
      <c r="E13" s="6">
        <f>45*C13/1000</f>
        <v>1.8</v>
      </c>
      <c r="F13" s="6">
        <f>435*C13/1000</f>
        <v>17.399999999999999</v>
      </c>
      <c r="G13" s="6">
        <f>2740*C13/1000</f>
        <v>109.6</v>
      </c>
      <c r="H13" s="6">
        <f>0</f>
        <v>0</v>
      </c>
      <c r="I13" s="6">
        <f>4.1*C13/1000</f>
        <v>0.16400000000000001</v>
      </c>
      <c r="J13" s="6">
        <f>2*C13/1000</f>
        <v>0.08</v>
      </c>
      <c r="K13" s="6">
        <f>1250*C13/1000</f>
        <v>50</v>
      </c>
      <c r="L13" s="6">
        <f>1290*C13/1000</f>
        <v>51.6</v>
      </c>
      <c r="M13" s="6">
        <f>36*C13/1000</f>
        <v>1.44</v>
      </c>
    </row>
    <row r="14" spans="1:20" x14ac:dyDescent="0.25">
      <c r="A14" s="29" t="s">
        <v>31</v>
      </c>
      <c r="B14" s="24" t="s">
        <v>0</v>
      </c>
      <c r="C14" s="25">
        <v>20</v>
      </c>
      <c r="D14" s="26">
        <f>85*C14/1000</f>
        <v>1.7</v>
      </c>
      <c r="E14" s="26">
        <f>33*C14/1000</f>
        <v>0.66</v>
      </c>
      <c r="F14" s="26">
        <f>425*C14/1000</f>
        <v>8.5</v>
      </c>
      <c r="G14" s="26">
        <f>2590*C14/1000</f>
        <v>51.8</v>
      </c>
      <c r="H14" s="30">
        <f>0</f>
        <v>0</v>
      </c>
      <c r="I14" s="26">
        <f>4.3*C14/1000</f>
        <v>8.5999999999999993E-2</v>
      </c>
      <c r="J14" s="26">
        <f>4*C14/1000</f>
        <v>0.08</v>
      </c>
      <c r="K14" s="26">
        <f>730*C14/1000</f>
        <v>14.6</v>
      </c>
      <c r="L14" s="26">
        <f>1250*C14/1000</f>
        <v>25</v>
      </c>
      <c r="M14" s="26">
        <f>28.3*C14/1000</f>
        <v>0.56599999999999995</v>
      </c>
    </row>
    <row r="15" spans="1:20" x14ac:dyDescent="0.25">
      <c r="A15" s="6"/>
      <c r="B15" s="31" t="s">
        <v>28</v>
      </c>
      <c r="C15" s="40">
        <f>SUM(C9:C14)</f>
        <v>555</v>
      </c>
      <c r="D15" s="33">
        <f t="shared" ref="D15:M15" si="0">SUM(D9:D14)</f>
        <v>19.04</v>
      </c>
      <c r="E15" s="33">
        <f t="shared" si="0"/>
        <v>34.264999999999993</v>
      </c>
      <c r="F15" s="33">
        <f t="shared" si="0"/>
        <v>60.080000000000005</v>
      </c>
      <c r="G15" s="33">
        <f t="shared" si="0"/>
        <v>632.88</v>
      </c>
      <c r="H15" s="33">
        <f t="shared" si="0"/>
        <v>166.62</v>
      </c>
      <c r="I15" s="33">
        <f t="shared" si="0"/>
        <v>0.48449999999999993</v>
      </c>
      <c r="J15" s="33">
        <f t="shared" si="0"/>
        <v>35.484999999999992</v>
      </c>
      <c r="K15" s="33">
        <f t="shared" si="0"/>
        <v>523.38</v>
      </c>
      <c r="L15" s="33">
        <f t="shared" si="0"/>
        <v>428.32000000000005</v>
      </c>
      <c r="M15" s="33">
        <f t="shared" si="0"/>
        <v>5.6959999999999997</v>
      </c>
    </row>
    <row r="16" spans="1:20" ht="18.75" x14ac:dyDescent="0.25">
      <c r="A16" s="6"/>
      <c r="B16" s="34" t="s">
        <v>29</v>
      </c>
      <c r="C16" s="4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x14ac:dyDescent="0.25">
      <c r="A17" s="6">
        <v>81</v>
      </c>
      <c r="B17" s="24" t="s">
        <v>33</v>
      </c>
      <c r="C17" s="25">
        <v>200</v>
      </c>
      <c r="D17" s="6">
        <f>6.4*C17/1000</f>
        <v>1.28</v>
      </c>
      <c r="E17" s="6">
        <f>19.4*C17/1000</f>
        <v>3.8799999999999994</v>
      </c>
      <c r="F17" s="6">
        <f>34.3*C17/1000</f>
        <v>6.8599999999999994</v>
      </c>
      <c r="G17" s="6">
        <f>365*C17/1000</f>
        <v>73</v>
      </c>
      <c r="H17" s="6">
        <f>0</f>
        <v>0</v>
      </c>
      <c r="I17" s="6">
        <f>0.1*C17/1000</f>
        <v>0.02</v>
      </c>
      <c r="J17" s="6">
        <f>43.7*C17/1000</f>
        <v>8.74</v>
      </c>
      <c r="K17" s="6">
        <f>210.1*C17/1000</f>
        <v>42.02</v>
      </c>
      <c r="L17" s="6">
        <f>184.4*C17/1000</f>
        <v>36.880000000000003</v>
      </c>
      <c r="M17" s="6">
        <f>4.4*C17/1000</f>
        <v>0.88000000000000012</v>
      </c>
    </row>
    <row r="18" spans="1:13" x14ac:dyDescent="0.25">
      <c r="A18" s="6">
        <v>310</v>
      </c>
      <c r="B18" s="24" t="s">
        <v>51</v>
      </c>
      <c r="C18" s="25">
        <v>200</v>
      </c>
      <c r="D18" s="6">
        <f>19.1*C18/1000</f>
        <v>3.8200000000000003</v>
      </c>
      <c r="E18" s="6">
        <f>28.8*C18/1000</f>
        <v>5.76</v>
      </c>
      <c r="F18" s="6">
        <f>153.4*C18/1000</f>
        <v>30.68</v>
      </c>
      <c r="G18" s="6">
        <f>949*C18/1000</f>
        <v>189.8</v>
      </c>
      <c r="H18" s="6">
        <f>0</f>
        <v>0</v>
      </c>
      <c r="I18" s="6">
        <f>1*C18/1000</f>
        <v>0.2</v>
      </c>
      <c r="J18" s="6">
        <f>140*C18/1000</f>
        <v>28</v>
      </c>
      <c r="K18" s="6">
        <f>97.6*C18/1000</f>
        <v>19.52</v>
      </c>
      <c r="L18" s="6">
        <f>531.5*C18/1000</f>
        <v>106.3</v>
      </c>
      <c r="M18" s="6">
        <f>7.7*C18/1000</f>
        <v>1.54</v>
      </c>
    </row>
    <row r="19" spans="1:13" x14ac:dyDescent="0.25">
      <c r="A19" s="6">
        <v>234</v>
      </c>
      <c r="B19" s="24" t="s">
        <v>85</v>
      </c>
      <c r="C19" s="25">
        <v>100</v>
      </c>
      <c r="D19" s="6">
        <v>9.8000000000000007</v>
      </c>
      <c r="E19" s="6">
        <v>5</v>
      </c>
      <c r="F19" s="6">
        <v>3.8</v>
      </c>
      <c r="G19" s="6">
        <v>105</v>
      </c>
      <c r="H19" s="6">
        <v>5.8</v>
      </c>
      <c r="I19" s="6">
        <v>0.1</v>
      </c>
      <c r="J19" s="6">
        <v>3.7</v>
      </c>
      <c r="K19" s="6">
        <v>39.1</v>
      </c>
      <c r="L19" s="6">
        <v>162.19999999999999</v>
      </c>
      <c r="M19" s="6">
        <v>0.9</v>
      </c>
    </row>
    <row r="20" spans="1:13" x14ac:dyDescent="0.25">
      <c r="A20" s="6">
        <v>379</v>
      </c>
      <c r="B20" s="24" t="s">
        <v>70</v>
      </c>
      <c r="C20" s="25">
        <v>207</v>
      </c>
      <c r="D20" s="26">
        <f>15.8*C20/1000</f>
        <v>3.2706000000000004</v>
      </c>
      <c r="E20" s="26">
        <f>13.4*C20/1000</f>
        <v>2.7738</v>
      </c>
      <c r="F20" s="26">
        <f>79.7*C20/1000</f>
        <v>16.497900000000001</v>
      </c>
      <c r="G20" s="26">
        <f>503*C20/1000</f>
        <v>104.121</v>
      </c>
      <c r="H20" s="26">
        <f>100*C20/1000</f>
        <v>20.7</v>
      </c>
      <c r="I20" s="26">
        <f>0.22*C20/1000</f>
        <v>4.5539999999999997E-2</v>
      </c>
      <c r="J20" s="26">
        <f>6.5*C20/1000</f>
        <v>1.3454999999999999</v>
      </c>
      <c r="K20" s="26">
        <f>628.9*C20/1000</f>
        <v>130.1823</v>
      </c>
      <c r="L20" s="26">
        <f>450*C20/1000</f>
        <v>93.15</v>
      </c>
      <c r="M20" s="26">
        <f>0.7*C20/1000</f>
        <v>0.14489999999999997</v>
      </c>
    </row>
    <row r="21" spans="1:13" x14ac:dyDescent="0.25">
      <c r="A21" s="28" t="s">
        <v>27</v>
      </c>
      <c r="B21" s="24" t="s">
        <v>3</v>
      </c>
      <c r="C21" s="25">
        <v>40</v>
      </c>
      <c r="D21" s="6">
        <f>107*C21/1000</f>
        <v>4.28</v>
      </c>
      <c r="E21" s="6">
        <f>45*C21/1000</f>
        <v>1.8</v>
      </c>
      <c r="F21" s="6">
        <f>435*C21/1000</f>
        <v>17.399999999999999</v>
      </c>
      <c r="G21" s="6">
        <f>2740*C21/1000</f>
        <v>109.6</v>
      </c>
      <c r="H21" s="6">
        <f>0</f>
        <v>0</v>
      </c>
      <c r="I21" s="6">
        <f>4.1*C21/1000</f>
        <v>0.16400000000000001</v>
      </c>
      <c r="J21" s="6">
        <f>2*C21/1000</f>
        <v>0.08</v>
      </c>
      <c r="K21" s="6">
        <f>1250*C21/1000</f>
        <v>50</v>
      </c>
      <c r="L21" s="6">
        <f>1290*C21/1000</f>
        <v>51.6</v>
      </c>
      <c r="M21" s="6">
        <f>36*C21/1000</f>
        <v>1.44</v>
      </c>
    </row>
    <row r="22" spans="1:13" x14ac:dyDescent="0.25">
      <c r="A22" s="29" t="s">
        <v>31</v>
      </c>
      <c r="B22" s="24" t="s">
        <v>0</v>
      </c>
      <c r="C22" s="25">
        <v>20</v>
      </c>
      <c r="D22" s="26">
        <f>85*C22/1000</f>
        <v>1.7</v>
      </c>
      <c r="E22" s="26">
        <f>33*C22/1000</f>
        <v>0.66</v>
      </c>
      <c r="F22" s="26">
        <f>425*C22/1000</f>
        <v>8.5</v>
      </c>
      <c r="G22" s="26">
        <f>2590*C22/1000</f>
        <v>51.8</v>
      </c>
      <c r="H22" s="30">
        <f>0</f>
        <v>0</v>
      </c>
      <c r="I22" s="26">
        <f>4.3*C22/1000</f>
        <v>8.5999999999999993E-2</v>
      </c>
      <c r="J22" s="26">
        <f>4*C22/1000</f>
        <v>0.08</v>
      </c>
      <c r="K22" s="26">
        <f>730*C22/1000</f>
        <v>14.6</v>
      </c>
      <c r="L22" s="26">
        <f>1250*C22/1000</f>
        <v>25</v>
      </c>
      <c r="M22" s="26">
        <f>28.3*C22/1000</f>
        <v>0.56599999999999995</v>
      </c>
    </row>
    <row r="23" spans="1:13" x14ac:dyDescent="0.25">
      <c r="A23" s="6">
        <v>338</v>
      </c>
      <c r="B23" s="24" t="s">
        <v>46</v>
      </c>
      <c r="C23" s="25">
        <v>100</v>
      </c>
      <c r="D23" s="6">
        <f>129*C23/1000</f>
        <v>12.9</v>
      </c>
      <c r="E23" s="6">
        <f>334.2*C23/1000</f>
        <v>33.42</v>
      </c>
      <c r="F23" s="6">
        <f>132.2*C23/1000</f>
        <v>13.219999999999999</v>
      </c>
      <c r="G23" s="6">
        <f>4080*C23/1000</f>
        <v>408</v>
      </c>
      <c r="H23" s="6">
        <f>400*C23/1000</f>
        <v>40</v>
      </c>
      <c r="I23" s="6">
        <f>3.6*C23/1000</f>
        <v>0.36</v>
      </c>
      <c r="J23" s="6">
        <f>42.8*C23/1000</f>
        <v>4.28</v>
      </c>
      <c r="K23" s="6">
        <f>115*C23/1000</f>
        <v>11.5</v>
      </c>
      <c r="L23" s="6">
        <f>1541.6*C23/1000</f>
        <v>154.16</v>
      </c>
      <c r="M23" s="6">
        <f>32*C23/1000</f>
        <v>3.2</v>
      </c>
    </row>
    <row r="24" spans="1:13" x14ac:dyDescent="0.25">
      <c r="A24" s="6"/>
      <c r="B24" s="24"/>
      <c r="C24" s="25">
        <f>SUM(C17:C23)</f>
        <v>867</v>
      </c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s="63" customFormat="1" ht="12.75" x14ac:dyDescent="0.25">
      <c r="A25" s="59"/>
      <c r="B25" s="60" t="s">
        <v>32</v>
      </c>
      <c r="C25" s="61">
        <v>1482</v>
      </c>
      <c r="D25" s="62">
        <f t="shared" ref="D25:M25" si="1">D15+D24</f>
        <v>19.04</v>
      </c>
      <c r="E25" s="62">
        <f t="shared" si="1"/>
        <v>34.264999999999993</v>
      </c>
      <c r="F25" s="62">
        <f t="shared" si="1"/>
        <v>60.080000000000005</v>
      </c>
      <c r="G25" s="62">
        <f t="shared" si="1"/>
        <v>632.88</v>
      </c>
      <c r="H25" s="62">
        <f t="shared" si="1"/>
        <v>166.62</v>
      </c>
      <c r="I25" s="62">
        <f t="shared" si="1"/>
        <v>0.48449999999999993</v>
      </c>
      <c r="J25" s="62">
        <f t="shared" si="1"/>
        <v>35.484999999999992</v>
      </c>
      <c r="K25" s="62">
        <f t="shared" si="1"/>
        <v>523.38</v>
      </c>
      <c r="L25" s="62">
        <f t="shared" si="1"/>
        <v>428.32000000000005</v>
      </c>
      <c r="M25" s="62">
        <f t="shared" si="1"/>
        <v>5.6959999999999997</v>
      </c>
    </row>
    <row r="26" spans="1:13" ht="18" customHeight="1" x14ac:dyDescent="0.25">
      <c r="A26" s="38"/>
      <c r="B26" s="5" t="s">
        <v>64</v>
      </c>
      <c r="C26" s="6">
        <v>1200</v>
      </c>
      <c r="D26" s="7">
        <v>45</v>
      </c>
      <c r="E26" s="7">
        <v>46</v>
      </c>
      <c r="F26" s="7">
        <v>192</v>
      </c>
      <c r="G26" s="7">
        <v>1360</v>
      </c>
      <c r="H26" s="7">
        <v>450</v>
      </c>
      <c r="I26" s="7">
        <v>0.7</v>
      </c>
      <c r="J26" s="7">
        <v>35</v>
      </c>
      <c r="K26" s="7">
        <v>600</v>
      </c>
      <c r="L26" s="7">
        <v>600</v>
      </c>
      <c r="M26" s="7">
        <v>9</v>
      </c>
    </row>
    <row r="28" spans="1:13" ht="11.45" customHeight="1" x14ac:dyDescent="0.25"/>
    <row r="29" spans="1:13" hidden="1" x14ac:dyDescent="0.25"/>
    <row r="30" spans="1:13" hidden="1" x14ac:dyDescent="0.25"/>
    <row r="31" spans="1:13" ht="73.150000000000006" hidden="1" customHeight="1" x14ac:dyDescent="0.25">
      <c r="A31" s="46"/>
      <c r="B31" s="46"/>
      <c r="C31" s="46"/>
      <c r="D31" s="47"/>
      <c r="E31" s="47"/>
      <c r="F31" s="47"/>
      <c r="G31" s="47"/>
      <c r="H31" s="47"/>
      <c r="I31" s="47"/>
      <c r="J31" s="48" t="s">
        <v>43</v>
      </c>
      <c r="K31" s="48"/>
      <c r="L31" s="48"/>
      <c r="M31" s="48"/>
    </row>
  </sheetData>
  <mergeCells count="11">
    <mergeCell ref="A2:B2"/>
    <mergeCell ref="A3:B3"/>
    <mergeCell ref="A4:B4"/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scale="87" fitToWidth="0" orientation="landscape" r:id="rId1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1 пон</vt:lpstr>
      <vt:lpstr>1 вт.(2)</vt:lpstr>
      <vt:lpstr>1 ср. </vt:lpstr>
      <vt:lpstr>1 чет1 </vt:lpstr>
      <vt:lpstr>1 пят</vt:lpstr>
      <vt:lpstr>2пон.  </vt:lpstr>
      <vt:lpstr>2 втор (2)</vt:lpstr>
      <vt:lpstr>2 сред. </vt:lpstr>
      <vt:lpstr>2 чет.</vt:lpstr>
      <vt:lpstr>2 пят</vt:lpstr>
      <vt:lpstr>'1 вт.(2)'!Область_печати</vt:lpstr>
      <vt:lpstr>'1 пон'!Область_печати</vt:lpstr>
      <vt:lpstr>'1 пят'!Область_печати</vt:lpstr>
      <vt:lpstr>'1 ср. '!Область_печати</vt:lpstr>
      <vt:lpstr>'1 чет1 '!Область_печати</vt:lpstr>
      <vt:lpstr>'2 втор (2)'!Область_печати</vt:lpstr>
      <vt:lpstr>'2 пят'!Область_печати</vt:lpstr>
      <vt:lpstr>'2 сред. '!Область_печати</vt:lpstr>
      <vt:lpstr>'2 чет.'!Область_печати</vt:lpstr>
      <vt:lpstr>'2пон. 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2026-10-08T07:50:22Z</dcterms:modified>
</cp:coreProperties>
</file>