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10"/>
  </bookViews>
  <sheets>
    <sheet name="1пон" sheetId="14" r:id="rId1"/>
    <sheet name="1вт" sheetId="17" r:id="rId2"/>
    <sheet name="1среда" sheetId="15" r:id="rId3"/>
    <sheet name="1 чет2" sheetId="19" r:id="rId4"/>
    <sheet name="1 пят" sheetId="18" r:id="rId5"/>
    <sheet name="2 пон" sheetId="20" r:id="rId6"/>
    <sheet name="2 вт" sheetId="23" r:id="rId7"/>
    <sheet name="2 среда" sheetId="21" r:id="rId8"/>
    <sheet name="2 чет" sheetId="24" r:id="rId9"/>
    <sheet name="2 пят" sheetId="25" r:id="rId10"/>
    <sheet name="Лист9" sheetId="22" r:id="rId11"/>
  </sheets>
  <calcPr calcId="152511"/>
</workbook>
</file>

<file path=xl/calcChain.xml><?xml version="1.0" encoding="utf-8"?>
<calcChain xmlns="http://schemas.openxmlformats.org/spreadsheetml/2006/main">
  <c r="M8" i="18" l="1"/>
  <c r="L8" i="18"/>
  <c r="K8" i="18"/>
  <c r="J8" i="18"/>
  <c r="I8" i="18"/>
  <c r="H8" i="18"/>
  <c r="G8" i="18"/>
  <c r="F8" i="18"/>
  <c r="E8" i="18"/>
  <c r="D8" i="18"/>
  <c r="M12" i="14" l="1"/>
  <c r="L12" i="14"/>
  <c r="K12" i="14"/>
  <c r="J12" i="14"/>
  <c r="I12" i="14"/>
  <c r="H12" i="14"/>
  <c r="G12" i="14"/>
  <c r="F12" i="14"/>
  <c r="E12" i="14"/>
  <c r="D12" i="14"/>
  <c r="M12" i="15" l="1"/>
  <c r="L12" i="15"/>
  <c r="K12" i="15"/>
  <c r="J12" i="15"/>
  <c r="I12" i="15"/>
  <c r="H12" i="15"/>
  <c r="G12" i="15"/>
  <c r="F12" i="15"/>
  <c r="E12" i="15"/>
  <c r="D12" i="15"/>
  <c r="M13" i="17"/>
  <c r="L13" i="17"/>
  <c r="K13" i="17"/>
  <c r="J13" i="17"/>
  <c r="I13" i="17"/>
  <c r="H13" i="17"/>
  <c r="G13" i="17"/>
  <c r="F13" i="17"/>
  <c r="E13" i="17"/>
  <c r="D13" i="17"/>
  <c r="C27" i="25" l="1"/>
  <c r="C17" i="25"/>
  <c r="C24" i="24"/>
  <c r="C16" i="24"/>
  <c r="C25" i="23"/>
  <c r="M15" i="23"/>
  <c r="L15" i="23"/>
  <c r="K15" i="23"/>
  <c r="J15" i="23"/>
  <c r="I15" i="23"/>
  <c r="H15" i="23"/>
  <c r="G15" i="23"/>
  <c r="F15" i="23"/>
  <c r="E15" i="23"/>
  <c r="D15" i="23"/>
  <c r="C16" i="23"/>
  <c r="C17" i="21"/>
  <c r="C26" i="21"/>
  <c r="C27" i="20"/>
  <c r="C17" i="20"/>
  <c r="C26" i="18"/>
  <c r="C15" i="18"/>
  <c r="C28" i="19"/>
  <c r="C20" i="19"/>
  <c r="C26" i="15"/>
  <c r="C16" i="15"/>
  <c r="C27" i="17"/>
  <c r="C17" i="17"/>
  <c r="C27" i="14"/>
  <c r="C17" i="14"/>
  <c r="M20" i="24" l="1"/>
  <c r="L20" i="24"/>
  <c r="K20" i="24"/>
  <c r="J20" i="24"/>
  <c r="I20" i="24"/>
  <c r="H20" i="24"/>
  <c r="G20" i="24"/>
  <c r="F20" i="24"/>
  <c r="E20" i="24"/>
  <c r="D20" i="24"/>
  <c r="M17" i="18"/>
  <c r="L17" i="18"/>
  <c r="K17" i="18"/>
  <c r="J17" i="18"/>
  <c r="I17" i="18"/>
  <c r="H17" i="18"/>
  <c r="G17" i="18"/>
  <c r="F17" i="18"/>
  <c r="E17" i="18"/>
  <c r="D17" i="18"/>
  <c r="M25" i="17"/>
  <c r="L25" i="17"/>
  <c r="K25" i="17"/>
  <c r="J25" i="17"/>
  <c r="I25" i="17"/>
  <c r="H25" i="17"/>
  <c r="G25" i="17"/>
  <c r="F25" i="17"/>
  <c r="E25" i="17"/>
  <c r="D25" i="17"/>
  <c r="M14" i="14"/>
  <c r="L14" i="14"/>
  <c r="K14" i="14"/>
  <c r="J14" i="14"/>
  <c r="I14" i="14"/>
  <c r="H14" i="14"/>
  <c r="G14" i="14"/>
  <c r="F14" i="14"/>
  <c r="E14" i="14"/>
  <c r="D14" i="14"/>
  <c r="M18" i="18" l="1"/>
  <c r="L18" i="18"/>
  <c r="K18" i="18"/>
  <c r="J18" i="18"/>
  <c r="I18" i="18"/>
  <c r="H18" i="18"/>
  <c r="G18" i="18"/>
  <c r="F18" i="18"/>
  <c r="E18" i="18"/>
  <c r="D18" i="18"/>
  <c r="M22" i="19"/>
  <c r="L22" i="19"/>
  <c r="K22" i="19"/>
  <c r="J22" i="19"/>
  <c r="I22" i="19"/>
  <c r="H22" i="19"/>
  <c r="G22" i="19"/>
  <c r="F22" i="19"/>
  <c r="E22" i="19"/>
  <c r="D22" i="19"/>
  <c r="M20" i="17" l="1"/>
  <c r="L20" i="17"/>
  <c r="K20" i="17"/>
  <c r="J20" i="17"/>
  <c r="I20" i="17"/>
  <c r="H20" i="17"/>
  <c r="G20" i="17"/>
  <c r="F20" i="17"/>
  <c r="E20" i="17"/>
  <c r="D20" i="17"/>
  <c r="M14" i="17" l="1"/>
  <c r="L14" i="17"/>
  <c r="K14" i="17"/>
  <c r="J14" i="17"/>
  <c r="I14" i="17"/>
  <c r="H14" i="17"/>
  <c r="G14" i="17"/>
  <c r="F14" i="17"/>
  <c r="E14" i="17"/>
  <c r="D14" i="17"/>
  <c r="M12" i="24" l="1"/>
  <c r="L12" i="24"/>
  <c r="K12" i="24"/>
  <c r="J12" i="24"/>
  <c r="I12" i="24"/>
  <c r="H12" i="24"/>
  <c r="G12" i="24"/>
  <c r="F12" i="24"/>
  <c r="E12" i="24"/>
  <c r="D12" i="24"/>
  <c r="M25" i="21"/>
  <c r="L25" i="21"/>
  <c r="K25" i="21"/>
  <c r="J25" i="21"/>
  <c r="I25" i="21"/>
  <c r="H25" i="21"/>
  <c r="G25" i="21"/>
  <c r="F25" i="21"/>
  <c r="E25" i="21"/>
  <c r="D25" i="21"/>
  <c r="M27" i="19"/>
  <c r="L27" i="19"/>
  <c r="K27" i="19"/>
  <c r="J27" i="19"/>
  <c r="I27" i="19"/>
  <c r="H27" i="19"/>
  <c r="G27" i="19"/>
  <c r="F27" i="19"/>
  <c r="E27" i="19"/>
  <c r="D27" i="19"/>
  <c r="M16" i="19"/>
  <c r="L16" i="19"/>
  <c r="K16" i="19"/>
  <c r="J16" i="19"/>
  <c r="I16" i="19"/>
  <c r="H16" i="19"/>
  <c r="G16" i="19"/>
  <c r="F16" i="19"/>
  <c r="E16" i="19"/>
  <c r="D16" i="19"/>
  <c r="M22" i="20" l="1"/>
  <c r="L22" i="20"/>
  <c r="K22" i="20"/>
  <c r="J22" i="20"/>
  <c r="I22" i="20"/>
  <c r="H22" i="20"/>
  <c r="G22" i="20"/>
  <c r="F22" i="20"/>
  <c r="E22" i="20"/>
  <c r="D22" i="20"/>
  <c r="M26" i="20" l="1"/>
  <c r="L26" i="20"/>
  <c r="K26" i="20"/>
  <c r="J26" i="20"/>
  <c r="I26" i="20"/>
  <c r="H26" i="20"/>
  <c r="G26" i="20"/>
  <c r="F26" i="20"/>
  <c r="E26" i="20"/>
  <c r="D26" i="20"/>
  <c r="M22" i="15"/>
  <c r="L22" i="15"/>
  <c r="K22" i="15"/>
  <c r="J22" i="15"/>
  <c r="I22" i="15"/>
  <c r="H22" i="15"/>
  <c r="G22" i="15"/>
  <c r="F22" i="15"/>
  <c r="E22" i="15"/>
  <c r="D22" i="15"/>
  <c r="M23" i="14"/>
  <c r="L23" i="14"/>
  <c r="K23" i="14"/>
  <c r="J23" i="14"/>
  <c r="H23" i="14"/>
  <c r="G23" i="14"/>
  <c r="F23" i="14"/>
  <c r="E23" i="14"/>
  <c r="D23" i="14"/>
  <c r="M20" i="21" l="1"/>
  <c r="L20" i="21"/>
  <c r="K20" i="21"/>
  <c r="J20" i="21"/>
  <c r="I20" i="21"/>
  <c r="H20" i="21"/>
  <c r="G20" i="21"/>
  <c r="F20" i="21"/>
  <c r="E20" i="21"/>
  <c r="D20" i="21"/>
  <c r="M10" i="18"/>
  <c r="L10" i="18"/>
  <c r="K10" i="18"/>
  <c r="J10" i="18"/>
  <c r="I10" i="18"/>
  <c r="H10" i="18"/>
  <c r="G10" i="18"/>
  <c r="F10" i="18"/>
  <c r="E10" i="18"/>
  <c r="D10" i="18"/>
  <c r="M21" i="15"/>
  <c r="L21" i="15"/>
  <c r="K21" i="15"/>
  <c r="J21" i="15"/>
  <c r="I21" i="15"/>
  <c r="H21" i="15"/>
  <c r="G21" i="15"/>
  <c r="F21" i="15"/>
  <c r="E21" i="15"/>
  <c r="D21" i="15"/>
  <c r="M15" i="20" l="1"/>
  <c r="L15" i="20"/>
  <c r="K15" i="20"/>
  <c r="J15" i="20"/>
  <c r="I15" i="20"/>
  <c r="H15" i="20"/>
  <c r="G15" i="20"/>
  <c r="F15" i="20"/>
  <c r="E15" i="20"/>
  <c r="D15" i="20"/>
  <c r="M24" i="25" l="1"/>
  <c r="L24" i="25"/>
  <c r="K24" i="25"/>
  <c r="J24" i="25"/>
  <c r="I24" i="25"/>
  <c r="H24" i="25"/>
  <c r="G24" i="25"/>
  <c r="F24" i="25"/>
  <c r="E24" i="25"/>
  <c r="D24" i="25"/>
  <c r="M23" i="25"/>
  <c r="L23" i="25"/>
  <c r="K23" i="25"/>
  <c r="J23" i="25"/>
  <c r="I23" i="25"/>
  <c r="H23" i="25"/>
  <c r="G23" i="25"/>
  <c r="F23" i="25"/>
  <c r="E23" i="25"/>
  <c r="D23" i="25"/>
  <c r="M22" i="25"/>
  <c r="L22" i="25"/>
  <c r="K22" i="25"/>
  <c r="J22" i="25"/>
  <c r="I22" i="25"/>
  <c r="H22" i="25"/>
  <c r="G22" i="25"/>
  <c r="F22" i="25"/>
  <c r="E22" i="25"/>
  <c r="D22" i="25"/>
  <c r="M20" i="25"/>
  <c r="L20" i="25"/>
  <c r="K20" i="25"/>
  <c r="J20" i="25"/>
  <c r="I20" i="25"/>
  <c r="H20" i="25"/>
  <c r="G20" i="25"/>
  <c r="F20" i="25"/>
  <c r="E20" i="25"/>
  <c r="D20" i="25"/>
  <c r="M19" i="25"/>
  <c r="L19" i="25"/>
  <c r="K19" i="25"/>
  <c r="K27" i="25" s="1"/>
  <c r="J19" i="25"/>
  <c r="J27" i="25" s="1"/>
  <c r="I19" i="25"/>
  <c r="I27" i="25" s="1"/>
  <c r="H19" i="25"/>
  <c r="G19" i="25"/>
  <c r="G27" i="25" s="1"/>
  <c r="F19" i="25"/>
  <c r="F27" i="25" s="1"/>
  <c r="E19" i="25"/>
  <c r="E27" i="25" s="1"/>
  <c r="D19" i="25"/>
  <c r="M15" i="25"/>
  <c r="L15" i="25"/>
  <c r="K15" i="25"/>
  <c r="J15" i="25"/>
  <c r="I15" i="25"/>
  <c r="H15" i="25"/>
  <c r="G15" i="25"/>
  <c r="F15" i="25"/>
  <c r="E15" i="25"/>
  <c r="D15" i="25"/>
  <c r="M14" i="25"/>
  <c r="L14" i="25"/>
  <c r="K14" i="25"/>
  <c r="J14" i="25"/>
  <c r="I14" i="25"/>
  <c r="H14" i="25"/>
  <c r="G14" i="25"/>
  <c r="F14" i="25"/>
  <c r="E14" i="25"/>
  <c r="D14" i="25"/>
  <c r="M13" i="25"/>
  <c r="L13" i="25"/>
  <c r="K13" i="25"/>
  <c r="J13" i="25"/>
  <c r="I13" i="25"/>
  <c r="H13" i="25"/>
  <c r="G13" i="25"/>
  <c r="F13" i="25"/>
  <c r="E13" i="25"/>
  <c r="D13" i="25"/>
  <c r="M11" i="25"/>
  <c r="L11" i="25"/>
  <c r="K11" i="25"/>
  <c r="J11" i="25"/>
  <c r="I11" i="25"/>
  <c r="H11" i="25"/>
  <c r="G11" i="25"/>
  <c r="F11" i="25"/>
  <c r="E11" i="25"/>
  <c r="D11" i="25"/>
  <c r="M10" i="25"/>
  <c r="M17" i="25" s="1"/>
  <c r="L10" i="25"/>
  <c r="L17" i="25" s="1"/>
  <c r="K10" i="25"/>
  <c r="K17" i="25" s="1"/>
  <c r="J10" i="25"/>
  <c r="I10" i="25"/>
  <c r="I17" i="25" s="1"/>
  <c r="H10" i="25"/>
  <c r="H17" i="25" s="1"/>
  <c r="G10" i="25"/>
  <c r="G17" i="25" s="1"/>
  <c r="F10" i="25"/>
  <c r="E10" i="25"/>
  <c r="E17" i="25" s="1"/>
  <c r="D10" i="25"/>
  <c r="D17" i="25" s="1"/>
  <c r="M22" i="24"/>
  <c r="L22" i="24"/>
  <c r="K22" i="24"/>
  <c r="J22" i="24"/>
  <c r="I22" i="24"/>
  <c r="H22" i="24"/>
  <c r="G22" i="24"/>
  <c r="F22" i="24"/>
  <c r="E22" i="24"/>
  <c r="D22" i="24"/>
  <c r="M21" i="24"/>
  <c r="L21" i="24"/>
  <c r="K21" i="24"/>
  <c r="J21" i="24"/>
  <c r="I21" i="24"/>
  <c r="H21" i="24"/>
  <c r="G21" i="24"/>
  <c r="F21" i="24"/>
  <c r="E21" i="24"/>
  <c r="D21" i="24"/>
  <c r="M19" i="24"/>
  <c r="L19" i="24"/>
  <c r="K19" i="24"/>
  <c r="J19" i="24"/>
  <c r="I19" i="24"/>
  <c r="H19" i="24"/>
  <c r="G19" i="24"/>
  <c r="F19" i="24"/>
  <c r="E19" i="24"/>
  <c r="D19" i="24"/>
  <c r="M18" i="24"/>
  <c r="L18" i="24"/>
  <c r="L24" i="24" s="1"/>
  <c r="K18" i="24"/>
  <c r="K24" i="24" s="1"/>
  <c r="J18" i="24"/>
  <c r="I18" i="24"/>
  <c r="H18" i="24"/>
  <c r="H24" i="24" s="1"/>
  <c r="G18" i="24"/>
  <c r="F18" i="24"/>
  <c r="E18" i="24"/>
  <c r="D18" i="24"/>
  <c r="D24" i="24" s="1"/>
  <c r="M24" i="24"/>
  <c r="J24" i="24"/>
  <c r="I24" i="24"/>
  <c r="G24" i="24"/>
  <c r="F24" i="24"/>
  <c r="E24" i="24"/>
  <c r="M14" i="24"/>
  <c r="L14" i="24"/>
  <c r="K14" i="24"/>
  <c r="J14" i="24"/>
  <c r="I14" i="24"/>
  <c r="H14" i="24"/>
  <c r="G14" i="24"/>
  <c r="F14" i="24"/>
  <c r="E14" i="24"/>
  <c r="D14" i="24"/>
  <c r="M13" i="24"/>
  <c r="L13" i="24"/>
  <c r="K13" i="24"/>
  <c r="J13" i="24"/>
  <c r="I13" i="24"/>
  <c r="H13" i="24"/>
  <c r="G13" i="24"/>
  <c r="F13" i="24"/>
  <c r="E13" i="24"/>
  <c r="D13" i="24"/>
  <c r="M11" i="24"/>
  <c r="L11" i="24"/>
  <c r="K11" i="24"/>
  <c r="J11" i="24"/>
  <c r="I11" i="24"/>
  <c r="H11" i="24"/>
  <c r="G11" i="24"/>
  <c r="F11" i="24"/>
  <c r="E11" i="24"/>
  <c r="D11" i="24"/>
  <c r="M10" i="24"/>
  <c r="M16" i="24" s="1"/>
  <c r="M25" i="24" s="1"/>
  <c r="L10" i="24"/>
  <c r="K10" i="24"/>
  <c r="J10" i="24"/>
  <c r="J16" i="24" s="1"/>
  <c r="I10" i="24"/>
  <c r="I16" i="24" s="1"/>
  <c r="I25" i="24" s="1"/>
  <c r="H10" i="24"/>
  <c r="G10" i="24"/>
  <c r="F10" i="24"/>
  <c r="F16" i="24" s="1"/>
  <c r="E10" i="24"/>
  <c r="E16" i="24" s="1"/>
  <c r="E25" i="24" s="1"/>
  <c r="D10" i="24"/>
  <c r="M23" i="23"/>
  <c r="L23" i="23"/>
  <c r="K23" i="23"/>
  <c r="J23" i="23"/>
  <c r="I23" i="23"/>
  <c r="H23" i="23"/>
  <c r="G23" i="23"/>
  <c r="F23" i="23"/>
  <c r="E23" i="23"/>
  <c r="D23" i="23"/>
  <c r="M22" i="23"/>
  <c r="L22" i="23"/>
  <c r="K22" i="23"/>
  <c r="J22" i="23"/>
  <c r="I22" i="23"/>
  <c r="H22" i="23"/>
  <c r="G22" i="23"/>
  <c r="F22" i="23"/>
  <c r="E22" i="23"/>
  <c r="D22" i="23"/>
  <c r="M21" i="23"/>
  <c r="L21" i="23"/>
  <c r="K21" i="23"/>
  <c r="J21" i="23"/>
  <c r="I21" i="23"/>
  <c r="H21" i="23"/>
  <c r="G21" i="23"/>
  <c r="F21" i="23"/>
  <c r="E21" i="23"/>
  <c r="D21" i="23"/>
  <c r="M20" i="23"/>
  <c r="L20" i="23"/>
  <c r="K20" i="23"/>
  <c r="J20" i="23"/>
  <c r="I20" i="23"/>
  <c r="H20" i="23"/>
  <c r="G20" i="23"/>
  <c r="F20" i="23"/>
  <c r="E20" i="23"/>
  <c r="D20" i="23"/>
  <c r="M19" i="23"/>
  <c r="L19" i="23"/>
  <c r="L25" i="23" s="1"/>
  <c r="K19" i="23"/>
  <c r="K25" i="23" s="1"/>
  <c r="J19" i="23"/>
  <c r="I19" i="23"/>
  <c r="I25" i="23" s="1"/>
  <c r="H19" i="23"/>
  <c r="H25" i="23" s="1"/>
  <c r="G19" i="23"/>
  <c r="G25" i="23" s="1"/>
  <c r="F19" i="23"/>
  <c r="E19" i="23"/>
  <c r="E25" i="23" s="1"/>
  <c r="D19" i="23"/>
  <c r="D25" i="23" s="1"/>
  <c r="M14" i="23"/>
  <c r="L14" i="23"/>
  <c r="K14" i="23"/>
  <c r="J14" i="23"/>
  <c r="I14" i="23"/>
  <c r="H14" i="23"/>
  <c r="G14" i="23"/>
  <c r="F14" i="23"/>
  <c r="E14" i="23"/>
  <c r="D14" i="23"/>
  <c r="M13" i="23"/>
  <c r="L13" i="23"/>
  <c r="K13" i="23"/>
  <c r="J13" i="23"/>
  <c r="I13" i="23"/>
  <c r="H13" i="23"/>
  <c r="G13" i="23"/>
  <c r="F13" i="23"/>
  <c r="E13" i="23"/>
  <c r="D13" i="23"/>
  <c r="M12" i="23"/>
  <c r="L12" i="23"/>
  <c r="K12" i="23"/>
  <c r="J12" i="23"/>
  <c r="I12" i="23"/>
  <c r="H12" i="23"/>
  <c r="G12" i="23"/>
  <c r="F12" i="23"/>
  <c r="E12" i="23"/>
  <c r="D12" i="23"/>
  <c r="M11" i="23"/>
  <c r="M16" i="23" s="1"/>
  <c r="L11" i="23"/>
  <c r="L16" i="23" s="1"/>
  <c r="K11" i="23"/>
  <c r="J11" i="23"/>
  <c r="I11" i="23"/>
  <c r="I16" i="23" s="1"/>
  <c r="H11" i="23"/>
  <c r="H16" i="23" s="1"/>
  <c r="G11" i="23"/>
  <c r="F11" i="23"/>
  <c r="E11" i="23"/>
  <c r="E16" i="23" s="1"/>
  <c r="D11" i="23"/>
  <c r="D16" i="23" s="1"/>
  <c r="M24" i="21"/>
  <c r="L24" i="21"/>
  <c r="K24" i="21"/>
  <c r="J24" i="21"/>
  <c r="I24" i="21"/>
  <c r="H24" i="21"/>
  <c r="G24" i="21"/>
  <c r="F24" i="21"/>
  <c r="E24" i="21"/>
  <c r="D24" i="21"/>
  <c r="M23" i="21"/>
  <c r="L23" i="21"/>
  <c r="K23" i="21"/>
  <c r="J23" i="21"/>
  <c r="I23" i="21"/>
  <c r="H23" i="21"/>
  <c r="G23" i="21"/>
  <c r="F23" i="21"/>
  <c r="E23" i="21"/>
  <c r="D23" i="21"/>
  <c r="M22" i="21"/>
  <c r="L22" i="21"/>
  <c r="K22" i="21"/>
  <c r="J22" i="21"/>
  <c r="I22" i="21"/>
  <c r="H22" i="21"/>
  <c r="G22" i="21"/>
  <c r="F22" i="21"/>
  <c r="E22" i="21"/>
  <c r="D22" i="21"/>
  <c r="M19" i="21"/>
  <c r="M26" i="21" s="1"/>
  <c r="L19" i="21"/>
  <c r="L26" i="21" s="1"/>
  <c r="K19" i="21"/>
  <c r="J19" i="21"/>
  <c r="I19" i="21"/>
  <c r="I26" i="21" s="1"/>
  <c r="H19" i="21"/>
  <c r="H26" i="21" s="1"/>
  <c r="G19" i="21"/>
  <c r="F19" i="21"/>
  <c r="E19" i="21"/>
  <c r="E26" i="21" s="1"/>
  <c r="D19" i="21"/>
  <c r="D26" i="21" s="1"/>
  <c r="M14" i="21"/>
  <c r="L14" i="21"/>
  <c r="K14" i="21"/>
  <c r="J14" i="21"/>
  <c r="I14" i="21"/>
  <c r="H14" i="21"/>
  <c r="G14" i="21"/>
  <c r="F14" i="21"/>
  <c r="E14" i="21"/>
  <c r="D14" i="21"/>
  <c r="M13" i="21"/>
  <c r="L13" i="21"/>
  <c r="K13" i="21"/>
  <c r="J13" i="21"/>
  <c r="I13" i="21"/>
  <c r="H13" i="21"/>
  <c r="G13" i="21"/>
  <c r="F13" i="21"/>
  <c r="E13" i="21"/>
  <c r="D13" i="21"/>
  <c r="M11" i="21"/>
  <c r="L11" i="21"/>
  <c r="K11" i="21"/>
  <c r="K17" i="21" s="1"/>
  <c r="J11" i="21"/>
  <c r="J17" i="21" s="1"/>
  <c r="I11" i="21"/>
  <c r="H11" i="21"/>
  <c r="G11" i="21"/>
  <c r="G17" i="21" s="1"/>
  <c r="F11" i="21"/>
  <c r="F17" i="21" s="1"/>
  <c r="E11" i="21"/>
  <c r="D11" i="21"/>
  <c r="M25" i="20"/>
  <c r="L25" i="20"/>
  <c r="K25" i="20"/>
  <c r="J25" i="20"/>
  <c r="I25" i="20"/>
  <c r="H25" i="20"/>
  <c r="G25" i="20"/>
  <c r="F25" i="20"/>
  <c r="E25" i="20"/>
  <c r="D25" i="20"/>
  <c r="M24" i="20"/>
  <c r="L24" i="20"/>
  <c r="K24" i="20"/>
  <c r="J24" i="20"/>
  <c r="I24" i="20"/>
  <c r="H24" i="20"/>
  <c r="G24" i="20"/>
  <c r="F24" i="20"/>
  <c r="E24" i="20"/>
  <c r="D24" i="20"/>
  <c r="M23" i="20"/>
  <c r="L23" i="20"/>
  <c r="K23" i="20"/>
  <c r="J23" i="20"/>
  <c r="I23" i="20"/>
  <c r="H23" i="20"/>
  <c r="G23" i="20"/>
  <c r="F23" i="20"/>
  <c r="E23" i="20"/>
  <c r="D23" i="20"/>
  <c r="M21" i="20"/>
  <c r="L21" i="20"/>
  <c r="K21" i="20"/>
  <c r="J21" i="20"/>
  <c r="I21" i="20"/>
  <c r="G21" i="20"/>
  <c r="F21" i="20"/>
  <c r="E21" i="20"/>
  <c r="D21" i="20"/>
  <c r="M20" i="20"/>
  <c r="L20" i="20"/>
  <c r="K20" i="20"/>
  <c r="J20" i="20"/>
  <c r="I20" i="20"/>
  <c r="H20" i="20"/>
  <c r="G20" i="20"/>
  <c r="F20" i="20"/>
  <c r="E20" i="20"/>
  <c r="D20" i="20"/>
  <c r="C28" i="20"/>
  <c r="M14" i="20"/>
  <c r="L14" i="20"/>
  <c r="K14" i="20"/>
  <c r="J14" i="20"/>
  <c r="I14" i="20"/>
  <c r="H14" i="20"/>
  <c r="G14" i="20"/>
  <c r="F14" i="20"/>
  <c r="E14" i="20"/>
  <c r="D14" i="20"/>
  <c r="M13" i="20"/>
  <c r="L13" i="20"/>
  <c r="K13" i="20"/>
  <c r="J13" i="20"/>
  <c r="I13" i="20"/>
  <c r="H13" i="20"/>
  <c r="G13" i="20"/>
  <c r="F13" i="20"/>
  <c r="E13" i="20"/>
  <c r="D13" i="20"/>
  <c r="M12" i="20"/>
  <c r="L12" i="20"/>
  <c r="K12" i="20"/>
  <c r="K17" i="20" s="1"/>
  <c r="J12" i="20"/>
  <c r="J17" i="20" s="1"/>
  <c r="I12" i="20"/>
  <c r="H12" i="20"/>
  <c r="G12" i="20"/>
  <c r="G17" i="20" s="1"/>
  <c r="F12" i="20"/>
  <c r="F17" i="20" s="1"/>
  <c r="E12" i="20"/>
  <c r="D12" i="20"/>
  <c r="M17" i="20"/>
  <c r="L17" i="20"/>
  <c r="I17" i="20"/>
  <c r="H17" i="20"/>
  <c r="E17" i="20"/>
  <c r="D17" i="20"/>
  <c r="M26" i="19"/>
  <c r="L26" i="19"/>
  <c r="K26" i="19"/>
  <c r="J26" i="19"/>
  <c r="I26" i="19"/>
  <c r="H26" i="19"/>
  <c r="G26" i="19"/>
  <c r="F26" i="19"/>
  <c r="E26" i="19"/>
  <c r="D26" i="19"/>
  <c r="M25" i="19"/>
  <c r="L25" i="19"/>
  <c r="K25" i="19"/>
  <c r="J25" i="19"/>
  <c r="I25" i="19"/>
  <c r="H25" i="19"/>
  <c r="G25" i="19"/>
  <c r="F25" i="19"/>
  <c r="E25" i="19"/>
  <c r="D25" i="19"/>
  <c r="M24" i="19"/>
  <c r="L24" i="19"/>
  <c r="K24" i="19"/>
  <c r="J24" i="19"/>
  <c r="I24" i="19"/>
  <c r="H24" i="19"/>
  <c r="G24" i="19"/>
  <c r="F24" i="19"/>
  <c r="E24" i="19"/>
  <c r="D24" i="19"/>
  <c r="M23" i="19"/>
  <c r="M28" i="19" s="1"/>
  <c r="L23" i="19"/>
  <c r="L28" i="19" s="1"/>
  <c r="K23" i="19"/>
  <c r="J23" i="19"/>
  <c r="I23" i="19"/>
  <c r="I28" i="19" s="1"/>
  <c r="H23" i="19"/>
  <c r="H28" i="19" s="1"/>
  <c r="G23" i="19"/>
  <c r="F23" i="19"/>
  <c r="E23" i="19"/>
  <c r="E28" i="19" s="1"/>
  <c r="D23" i="19"/>
  <c r="D28" i="19" s="1"/>
  <c r="K28" i="19"/>
  <c r="J28" i="19"/>
  <c r="G28" i="19"/>
  <c r="F28" i="19"/>
  <c r="M18" i="19"/>
  <c r="L18" i="19"/>
  <c r="K18" i="19"/>
  <c r="J18" i="19"/>
  <c r="I18" i="19"/>
  <c r="H18" i="19"/>
  <c r="G18" i="19"/>
  <c r="F18" i="19"/>
  <c r="E18" i="19"/>
  <c r="D18" i="19"/>
  <c r="M17" i="19"/>
  <c r="L17" i="19"/>
  <c r="K17" i="19"/>
  <c r="J17" i="19"/>
  <c r="I17" i="19"/>
  <c r="H17" i="19"/>
  <c r="G17" i="19"/>
  <c r="F17" i="19"/>
  <c r="E17" i="19"/>
  <c r="D17" i="19"/>
  <c r="M14" i="19"/>
  <c r="M20" i="19" s="1"/>
  <c r="L14" i="19"/>
  <c r="L20" i="19" s="1"/>
  <c r="K14" i="19"/>
  <c r="J14" i="19"/>
  <c r="I14" i="19"/>
  <c r="I20" i="19" s="1"/>
  <c r="G14" i="19"/>
  <c r="F14" i="19"/>
  <c r="E14" i="19"/>
  <c r="D14" i="19"/>
  <c r="M23" i="18"/>
  <c r="L23" i="18"/>
  <c r="K23" i="18"/>
  <c r="J23" i="18"/>
  <c r="I23" i="18"/>
  <c r="H23" i="18"/>
  <c r="G23" i="18"/>
  <c r="F23" i="18"/>
  <c r="E23" i="18"/>
  <c r="D23" i="18"/>
  <c r="M22" i="18"/>
  <c r="L22" i="18"/>
  <c r="K22" i="18"/>
  <c r="J22" i="18"/>
  <c r="I22" i="18"/>
  <c r="H22" i="18"/>
  <c r="G22" i="18"/>
  <c r="F22" i="18"/>
  <c r="E22" i="18"/>
  <c r="D22" i="18"/>
  <c r="M21" i="18"/>
  <c r="L21" i="18"/>
  <c r="K21" i="18"/>
  <c r="J21" i="18"/>
  <c r="I21" i="18"/>
  <c r="H21" i="18"/>
  <c r="G21" i="18"/>
  <c r="F21" i="18"/>
  <c r="E21" i="18"/>
  <c r="D21" i="18"/>
  <c r="M19" i="18"/>
  <c r="L19" i="18"/>
  <c r="L26" i="18" s="1"/>
  <c r="K19" i="18"/>
  <c r="K26" i="18" s="1"/>
  <c r="J19" i="18"/>
  <c r="I19" i="18"/>
  <c r="H19" i="18"/>
  <c r="H26" i="18" s="1"/>
  <c r="G19" i="18"/>
  <c r="G26" i="18" s="1"/>
  <c r="F19" i="18"/>
  <c r="E19" i="18"/>
  <c r="D19" i="18"/>
  <c r="D26" i="18" s="1"/>
  <c r="M26" i="18"/>
  <c r="J26" i="18"/>
  <c r="I26" i="18"/>
  <c r="F26" i="18"/>
  <c r="E26" i="18"/>
  <c r="M12" i="18"/>
  <c r="L12" i="18"/>
  <c r="K12" i="18"/>
  <c r="J12" i="18"/>
  <c r="I12" i="18"/>
  <c r="H12" i="18"/>
  <c r="G12" i="18"/>
  <c r="F12" i="18"/>
  <c r="E12" i="18"/>
  <c r="D12" i="18"/>
  <c r="M11" i="18"/>
  <c r="L11" i="18"/>
  <c r="K11" i="18"/>
  <c r="J11" i="18"/>
  <c r="I11" i="18"/>
  <c r="H11" i="18"/>
  <c r="G11" i="18"/>
  <c r="F11" i="18"/>
  <c r="E11" i="18"/>
  <c r="D11" i="18"/>
  <c r="M9" i="18"/>
  <c r="L9" i="18"/>
  <c r="L15" i="18" s="1"/>
  <c r="K9" i="18"/>
  <c r="K15" i="18" s="1"/>
  <c r="J9" i="18"/>
  <c r="I9" i="18"/>
  <c r="H9" i="18"/>
  <c r="H15" i="18" s="1"/>
  <c r="G9" i="18"/>
  <c r="G15" i="18" s="1"/>
  <c r="F9" i="18"/>
  <c r="E9" i="18"/>
  <c r="D9" i="18"/>
  <c r="D15" i="18" s="1"/>
  <c r="M24" i="17"/>
  <c r="L24" i="17"/>
  <c r="K24" i="17"/>
  <c r="J24" i="17"/>
  <c r="I24" i="17"/>
  <c r="H24" i="17"/>
  <c r="G24" i="17"/>
  <c r="F24" i="17"/>
  <c r="E24" i="17"/>
  <c r="D24" i="17"/>
  <c r="M23" i="17"/>
  <c r="L23" i="17"/>
  <c r="L27" i="17" s="1"/>
  <c r="K23" i="17"/>
  <c r="K27" i="17" s="1"/>
  <c r="J23" i="17"/>
  <c r="I23" i="17"/>
  <c r="H23" i="17"/>
  <c r="H27" i="17" s="1"/>
  <c r="G23" i="17"/>
  <c r="G27" i="17" s="1"/>
  <c r="F23" i="17"/>
  <c r="E23" i="17"/>
  <c r="D23" i="17"/>
  <c r="D27" i="17" s="1"/>
  <c r="M27" i="17"/>
  <c r="J27" i="17"/>
  <c r="I27" i="17"/>
  <c r="F27" i="17"/>
  <c r="E27" i="17"/>
  <c r="M16" i="17"/>
  <c r="L16" i="17"/>
  <c r="K16" i="17"/>
  <c r="J16" i="17"/>
  <c r="I16" i="17"/>
  <c r="H16" i="17"/>
  <c r="G16" i="17"/>
  <c r="F16" i="17"/>
  <c r="E16" i="17"/>
  <c r="D16" i="17"/>
  <c r="M15" i="17"/>
  <c r="L15" i="17"/>
  <c r="K15" i="17"/>
  <c r="J15" i="17"/>
  <c r="I15" i="17"/>
  <c r="H15" i="17"/>
  <c r="G15" i="17"/>
  <c r="F15" i="17"/>
  <c r="E15" i="17"/>
  <c r="D15" i="17"/>
  <c r="M12" i="17"/>
  <c r="L12" i="17"/>
  <c r="L17" i="17" s="1"/>
  <c r="K12" i="17"/>
  <c r="K17" i="17" s="1"/>
  <c r="J12" i="17"/>
  <c r="I12" i="17"/>
  <c r="H12" i="17"/>
  <c r="H17" i="17" s="1"/>
  <c r="G12" i="17"/>
  <c r="G17" i="17" s="1"/>
  <c r="F12" i="17"/>
  <c r="E12" i="17"/>
  <c r="D12" i="17"/>
  <c r="D17" i="17" s="1"/>
  <c r="M25" i="15"/>
  <c r="L25" i="15"/>
  <c r="K25" i="15"/>
  <c r="J25" i="15"/>
  <c r="I25" i="15"/>
  <c r="H25" i="15"/>
  <c r="G25" i="15"/>
  <c r="F25" i="15"/>
  <c r="E25" i="15"/>
  <c r="D25" i="15"/>
  <c r="M24" i="15"/>
  <c r="L24" i="15"/>
  <c r="K24" i="15"/>
  <c r="J24" i="15"/>
  <c r="I24" i="15"/>
  <c r="H24" i="15"/>
  <c r="G24" i="15"/>
  <c r="F24" i="15"/>
  <c r="E24" i="15"/>
  <c r="D24" i="15"/>
  <c r="M23" i="15"/>
  <c r="L23" i="15"/>
  <c r="K23" i="15"/>
  <c r="J23" i="15"/>
  <c r="I23" i="15"/>
  <c r="H23" i="15"/>
  <c r="G23" i="15"/>
  <c r="F23" i="15"/>
  <c r="E23" i="15"/>
  <c r="D23" i="15"/>
  <c r="M18" i="15"/>
  <c r="L18" i="15"/>
  <c r="L26" i="15" s="1"/>
  <c r="K18" i="15"/>
  <c r="K26" i="15" s="1"/>
  <c r="J18" i="15"/>
  <c r="I18" i="15"/>
  <c r="H18" i="15"/>
  <c r="H26" i="15" s="1"/>
  <c r="G18" i="15"/>
  <c r="G26" i="15" s="1"/>
  <c r="F18" i="15"/>
  <c r="E18" i="15"/>
  <c r="D18" i="15"/>
  <c r="D26" i="15" s="1"/>
  <c r="M14" i="15"/>
  <c r="L14" i="15"/>
  <c r="K14" i="15"/>
  <c r="J14" i="15"/>
  <c r="I14" i="15"/>
  <c r="H14" i="15"/>
  <c r="G14" i="15"/>
  <c r="F14" i="15"/>
  <c r="E14" i="15"/>
  <c r="D14" i="15"/>
  <c r="M13" i="15"/>
  <c r="L13" i="15"/>
  <c r="K13" i="15"/>
  <c r="J13" i="15"/>
  <c r="I13" i="15"/>
  <c r="H13" i="15"/>
  <c r="G13" i="15"/>
  <c r="F13" i="15"/>
  <c r="E13" i="15"/>
  <c r="D13" i="15"/>
  <c r="M11" i="15"/>
  <c r="L11" i="15"/>
  <c r="K11" i="15"/>
  <c r="J11" i="15"/>
  <c r="I11" i="15"/>
  <c r="H11" i="15"/>
  <c r="G11" i="15"/>
  <c r="F11" i="15"/>
  <c r="E11" i="15"/>
  <c r="D11" i="15"/>
  <c r="M10" i="15"/>
  <c r="L10" i="15"/>
  <c r="L16" i="15" s="1"/>
  <c r="K10" i="15"/>
  <c r="K16" i="15" s="1"/>
  <c r="J10" i="15"/>
  <c r="I10" i="15"/>
  <c r="H10" i="15"/>
  <c r="H16" i="15" s="1"/>
  <c r="G10" i="15"/>
  <c r="G16" i="15" s="1"/>
  <c r="F10" i="15"/>
  <c r="E10" i="15"/>
  <c r="D10" i="15"/>
  <c r="D16" i="15" s="1"/>
  <c r="M25" i="14"/>
  <c r="L25" i="14"/>
  <c r="K25" i="14"/>
  <c r="J25" i="14"/>
  <c r="I25" i="14"/>
  <c r="H25" i="14"/>
  <c r="G25" i="14"/>
  <c r="F25" i="14"/>
  <c r="E25" i="14"/>
  <c r="D25" i="14"/>
  <c r="M24" i="14"/>
  <c r="L24" i="14"/>
  <c r="K24" i="14"/>
  <c r="J24" i="14"/>
  <c r="I24" i="14"/>
  <c r="H24" i="14"/>
  <c r="G24" i="14"/>
  <c r="F24" i="14"/>
  <c r="E24" i="14"/>
  <c r="D24" i="14"/>
  <c r="M20" i="14"/>
  <c r="M27" i="14" s="1"/>
  <c r="L20" i="14"/>
  <c r="K20" i="14"/>
  <c r="J20" i="14"/>
  <c r="J27" i="14" s="1"/>
  <c r="I20" i="14"/>
  <c r="I27" i="14" s="1"/>
  <c r="H20" i="14"/>
  <c r="G20" i="14"/>
  <c r="F20" i="14"/>
  <c r="F27" i="14" s="1"/>
  <c r="E20" i="14"/>
  <c r="E27" i="14" s="1"/>
  <c r="D20" i="14"/>
  <c r="M16" i="14"/>
  <c r="L16" i="14"/>
  <c r="K16" i="14"/>
  <c r="J16" i="14"/>
  <c r="I16" i="14"/>
  <c r="H16" i="14"/>
  <c r="G16" i="14"/>
  <c r="F16" i="14"/>
  <c r="E16" i="14"/>
  <c r="D16" i="14"/>
  <c r="M15" i="14"/>
  <c r="M17" i="14" s="1"/>
  <c r="L15" i="14"/>
  <c r="K15" i="14"/>
  <c r="J15" i="14"/>
  <c r="J17" i="14" s="1"/>
  <c r="I15" i="14"/>
  <c r="I17" i="14" s="1"/>
  <c r="H15" i="14"/>
  <c r="G15" i="14"/>
  <c r="F15" i="14"/>
  <c r="F17" i="14" s="1"/>
  <c r="E15" i="14"/>
  <c r="E17" i="14" s="1"/>
  <c r="D15" i="14"/>
  <c r="L17" i="14"/>
  <c r="K17" i="14"/>
  <c r="H17" i="14"/>
  <c r="G17" i="14"/>
  <c r="D17" i="14"/>
  <c r="D20" i="19" l="1"/>
  <c r="D27" i="20"/>
  <c r="H27" i="20"/>
  <c r="H28" i="20" s="1"/>
  <c r="L27" i="20"/>
  <c r="M25" i="23"/>
  <c r="G16" i="24"/>
  <c r="G25" i="24" s="1"/>
  <c r="K16" i="24"/>
  <c r="K25" i="24" s="1"/>
  <c r="G27" i="14"/>
  <c r="K27" i="14"/>
  <c r="E16" i="15"/>
  <c r="I16" i="15"/>
  <c r="M16" i="15"/>
  <c r="M27" i="15" s="1"/>
  <c r="E26" i="15"/>
  <c r="I26" i="15"/>
  <c r="M26" i="15"/>
  <c r="E17" i="17"/>
  <c r="E28" i="17" s="1"/>
  <c r="I17" i="17"/>
  <c r="M17" i="17"/>
  <c r="E15" i="18"/>
  <c r="I15" i="18"/>
  <c r="I27" i="18" s="1"/>
  <c r="M15" i="18"/>
  <c r="J20" i="19"/>
  <c r="H20" i="19"/>
  <c r="D17" i="21"/>
  <c r="D27" i="21" s="1"/>
  <c r="H17" i="21"/>
  <c r="L17" i="21"/>
  <c r="F26" i="21"/>
  <c r="F27" i="21" s="1"/>
  <c r="J26" i="21"/>
  <c r="J27" i="21" s="1"/>
  <c r="F16" i="23"/>
  <c r="J16" i="23"/>
  <c r="F25" i="23"/>
  <c r="J25" i="23"/>
  <c r="D16" i="24"/>
  <c r="H16" i="24"/>
  <c r="L16" i="24"/>
  <c r="L25" i="24" s="1"/>
  <c r="F17" i="25"/>
  <c r="J17" i="25"/>
  <c r="D27" i="25"/>
  <c r="H27" i="25"/>
  <c r="H28" i="25" s="1"/>
  <c r="L27" i="25"/>
  <c r="L28" i="25" s="1"/>
  <c r="D27" i="14"/>
  <c r="H27" i="14"/>
  <c r="L27" i="14"/>
  <c r="F16" i="15"/>
  <c r="F27" i="15" s="1"/>
  <c r="J16" i="15"/>
  <c r="F26" i="15"/>
  <c r="J26" i="15"/>
  <c r="F17" i="17"/>
  <c r="J17" i="17"/>
  <c r="F15" i="18"/>
  <c r="J15" i="18"/>
  <c r="J27" i="18" s="1"/>
  <c r="K20" i="19"/>
  <c r="K29" i="19" s="1"/>
  <c r="F27" i="20"/>
  <c r="J27" i="20"/>
  <c r="E17" i="21"/>
  <c r="I17" i="21"/>
  <c r="I27" i="21" s="1"/>
  <c r="M17" i="21"/>
  <c r="G26" i="21"/>
  <c r="G27" i="21" s="1"/>
  <c r="K26" i="21"/>
  <c r="G16" i="23"/>
  <c r="G26" i="23" s="1"/>
  <c r="K16" i="23"/>
  <c r="M27" i="25"/>
  <c r="M28" i="25" s="1"/>
  <c r="F20" i="19"/>
  <c r="C29" i="19"/>
  <c r="C27" i="18"/>
  <c r="C28" i="14"/>
  <c r="E28" i="14"/>
  <c r="G28" i="14"/>
  <c r="K28" i="14"/>
  <c r="M28" i="14"/>
  <c r="F26" i="23"/>
  <c r="J26" i="23"/>
  <c r="C26" i="23"/>
  <c r="C27" i="21"/>
  <c r="I29" i="19"/>
  <c r="M29" i="19"/>
  <c r="I28" i="14"/>
  <c r="F28" i="17"/>
  <c r="J28" i="17"/>
  <c r="C28" i="17"/>
  <c r="D28" i="25"/>
  <c r="F28" i="25"/>
  <c r="J28" i="25"/>
  <c r="C28" i="25"/>
  <c r="E28" i="25"/>
  <c r="G28" i="25"/>
  <c r="I28" i="25"/>
  <c r="K28" i="25"/>
  <c r="D25" i="24"/>
  <c r="F25" i="24"/>
  <c r="H25" i="24"/>
  <c r="J25" i="24"/>
  <c r="C25" i="24"/>
  <c r="D26" i="23"/>
  <c r="H26" i="23"/>
  <c r="L26" i="23"/>
  <c r="E26" i="23"/>
  <c r="I26" i="23"/>
  <c r="M26" i="23"/>
  <c r="K26" i="23"/>
  <c r="E27" i="21"/>
  <c r="K27" i="21"/>
  <c r="M27" i="21"/>
  <c r="H27" i="21"/>
  <c r="L27" i="21"/>
  <c r="D28" i="20"/>
  <c r="F28" i="20"/>
  <c r="J28" i="20"/>
  <c r="L28" i="20"/>
  <c r="E27" i="20"/>
  <c r="E28" i="20" s="1"/>
  <c r="G27" i="20"/>
  <c r="G28" i="20" s="1"/>
  <c r="I27" i="20"/>
  <c r="I28" i="20" s="1"/>
  <c r="K27" i="20"/>
  <c r="K28" i="20" s="1"/>
  <c r="M27" i="20"/>
  <c r="M28" i="20" s="1"/>
  <c r="D29" i="19"/>
  <c r="F29" i="19"/>
  <c r="E20" i="19"/>
  <c r="E29" i="19" s="1"/>
  <c r="G20" i="19"/>
  <c r="G29" i="19" s="1"/>
  <c r="J29" i="19"/>
  <c r="L29" i="19"/>
  <c r="H29" i="19"/>
  <c r="D27" i="18"/>
  <c r="F27" i="18"/>
  <c r="H27" i="18"/>
  <c r="L27" i="18"/>
  <c r="G27" i="18"/>
  <c r="E27" i="18"/>
  <c r="K27" i="18"/>
  <c r="M27" i="18"/>
  <c r="G28" i="17"/>
  <c r="K28" i="17"/>
  <c r="I28" i="17"/>
  <c r="M28" i="17"/>
  <c r="D28" i="17"/>
  <c r="H28" i="17"/>
  <c r="L28" i="17"/>
  <c r="D27" i="15"/>
  <c r="H27" i="15"/>
  <c r="J27" i="15"/>
  <c r="L27" i="15"/>
  <c r="C27" i="15"/>
  <c r="E27" i="15"/>
  <c r="G27" i="15"/>
  <c r="I27" i="15"/>
  <c r="K27" i="15"/>
  <c r="D28" i="14"/>
  <c r="H28" i="14"/>
  <c r="F28" i="14"/>
  <c r="J28" i="14"/>
  <c r="L28" i="14"/>
</calcChain>
</file>

<file path=xl/sharedStrings.xml><?xml version="1.0" encoding="utf-8"?>
<sst xmlns="http://schemas.openxmlformats.org/spreadsheetml/2006/main" count="421" uniqueCount="92">
  <si>
    <t>Хлеб ржаной</t>
  </si>
  <si>
    <t>Сыр</t>
  </si>
  <si>
    <t>Кондитерские изделия</t>
  </si>
  <si>
    <t>Хлеб белый</t>
  </si>
  <si>
    <t>Компот из сухофруктов</t>
  </si>
  <si>
    <t>Рис отварной</t>
  </si>
  <si>
    <t>Рассольник Ленинградский</t>
  </si>
  <si>
    <t>Картофельное пюре</t>
  </si>
  <si>
    <r>
      <t>Неделя:</t>
    </r>
    <r>
      <rPr>
        <sz val="11"/>
        <color theme="1"/>
        <rFont val="Times New Roman"/>
        <family val="1"/>
        <charset val="204"/>
      </rPr>
      <t xml:space="preserve"> первая</t>
    </r>
  </si>
  <si>
    <t>№ рецептуры</t>
  </si>
  <si>
    <t>Прием пищи, наименование блюда</t>
  </si>
  <si>
    <t>Масса порции</t>
  </si>
  <si>
    <t>Пищевые</t>
  </si>
  <si>
    <t>Энергетическая ценность</t>
  </si>
  <si>
    <t>Витамины ( мг)</t>
  </si>
  <si>
    <t>Минеральные вещества (мг)</t>
  </si>
  <si>
    <t>вещества</t>
  </si>
  <si>
    <t>Б</t>
  </si>
  <si>
    <t>Ж</t>
  </si>
  <si>
    <t>У</t>
  </si>
  <si>
    <t>А</t>
  </si>
  <si>
    <r>
      <t>В</t>
    </r>
    <r>
      <rPr>
        <vertAlign val="subscript"/>
        <sz val="12"/>
        <color theme="1"/>
        <rFont val="Times New Roman"/>
        <family val="1"/>
        <charset val="204"/>
      </rPr>
      <t>1</t>
    </r>
  </si>
  <si>
    <t>С</t>
  </si>
  <si>
    <t>Са</t>
  </si>
  <si>
    <t>Fe</t>
  </si>
  <si>
    <t>Завтрак</t>
  </si>
  <si>
    <t>1\1</t>
  </si>
  <si>
    <t>итого</t>
  </si>
  <si>
    <t>Обед</t>
  </si>
  <si>
    <t>Щи из свежей капусты</t>
  </si>
  <si>
    <t>1\2</t>
  </si>
  <si>
    <t>ИТОГО за день</t>
  </si>
  <si>
    <t>Борщ</t>
  </si>
  <si>
    <t>Рыба тушеная с овощами</t>
  </si>
  <si>
    <t>Компот из свежих яблок</t>
  </si>
  <si>
    <r>
      <t xml:space="preserve">День: </t>
    </r>
    <r>
      <rPr>
        <b/>
        <sz val="14"/>
        <color theme="1"/>
        <rFont val="Times New Roman"/>
        <family val="1"/>
        <charset val="204"/>
      </rPr>
      <t>Четверг</t>
    </r>
  </si>
  <si>
    <t>Компот из св. яблок</t>
  </si>
  <si>
    <r>
      <t xml:space="preserve">День: </t>
    </r>
    <r>
      <rPr>
        <b/>
        <sz val="14"/>
        <color theme="1"/>
        <rFont val="Times New Roman"/>
        <family val="1"/>
        <charset val="204"/>
      </rPr>
      <t>Пятница</t>
    </r>
  </si>
  <si>
    <r>
      <t>Неделя:</t>
    </r>
    <r>
      <rPr>
        <sz val="11"/>
        <color theme="1"/>
        <rFont val="Times New Roman"/>
        <family val="1"/>
        <charset val="204"/>
      </rPr>
      <t xml:space="preserve"> вторая</t>
    </r>
  </si>
  <si>
    <t>Суп картофел с бобовыми</t>
  </si>
  <si>
    <t>P</t>
  </si>
  <si>
    <r>
      <t>В</t>
    </r>
    <r>
      <rPr>
        <vertAlign val="subscript"/>
        <sz val="11"/>
        <color theme="1"/>
        <rFont val="Times New Roman"/>
        <family val="1"/>
        <charset val="204"/>
      </rPr>
      <t>1</t>
    </r>
  </si>
  <si>
    <t>Кофейный напиток с молоком</t>
  </si>
  <si>
    <t>Какао с молоком</t>
  </si>
  <si>
    <t>Плов из птицы</t>
  </si>
  <si>
    <t>Салат из моркови с сахаром</t>
  </si>
  <si>
    <t>Макароны отварные</t>
  </si>
  <si>
    <t>Фрукты</t>
  </si>
  <si>
    <t>Печень говяжья по-строгановски</t>
  </si>
  <si>
    <t>Котлета рубленая (свин окорок)</t>
  </si>
  <si>
    <t>Рагу из свинины</t>
  </si>
  <si>
    <t>Суп картофел с фрикадельками</t>
  </si>
  <si>
    <t>Макароны отварные с сыром</t>
  </si>
  <si>
    <t>Картофель отварной</t>
  </si>
  <si>
    <t>Кисель из сока плодового</t>
  </si>
  <si>
    <t xml:space="preserve">Сок </t>
  </si>
  <si>
    <t>Яйцо вареное</t>
  </si>
  <si>
    <t>Запеканка из творога</t>
  </si>
  <si>
    <t>День: Понедельник</t>
  </si>
  <si>
    <t>День: Вторник</t>
  </si>
  <si>
    <t>День: Среда</t>
  </si>
  <si>
    <t>День: Четверг</t>
  </si>
  <si>
    <t>Плов</t>
  </si>
  <si>
    <t>Винегрет</t>
  </si>
  <si>
    <t>День:Понедельник</t>
  </si>
  <si>
    <t>Запеканка из творога со сгущеным молоком</t>
  </si>
  <si>
    <t>Каша молочная вязкая овсяная(геркулес)</t>
  </si>
  <si>
    <t>День: Пятница</t>
  </si>
  <si>
    <t xml:space="preserve">Норматив по САНПиН </t>
  </si>
  <si>
    <t>Суп картофельный с бобовыми</t>
  </si>
  <si>
    <t>Борщ с картофелем</t>
  </si>
  <si>
    <r>
      <t>Возрастная категория:</t>
    </r>
    <r>
      <rPr>
        <sz val="11"/>
        <color theme="1"/>
        <rFont val="Times New Roman"/>
        <family val="1"/>
        <charset val="204"/>
      </rPr>
      <t xml:space="preserve">  12-18 лет</t>
    </r>
  </si>
  <si>
    <r>
      <t>Возрастная категория:</t>
    </r>
    <r>
      <rPr>
        <sz val="11"/>
        <color theme="1"/>
        <rFont val="Times New Roman"/>
        <family val="1"/>
        <charset val="204"/>
      </rPr>
      <t xml:space="preserve">  12--18 лет</t>
    </r>
  </si>
  <si>
    <r>
      <t>Возрастная категория:</t>
    </r>
    <r>
      <rPr>
        <sz val="11"/>
        <color theme="1"/>
        <rFont val="Times New Roman"/>
        <family val="1"/>
        <charset val="204"/>
      </rPr>
      <t xml:space="preserve"> 12-18 лет</t>
    </r>
  </si>
  <si>
    <r>
      <t>Возрастная категория:</t>
    </r>
    <r>
      <rPr>
        <sz val="11"/>
        <color theme="1"/>
        <rFont val="Times New Roman"/>
        <family val="1"/>
        <charset val="204"/>
      </rPr>
      <t xml:space="preserve">  12-18лет</t>
    </r>
  </si>
  <si>
    <t>Кисломолочный напиток</t>
  </si>
  <si>
    <t>Каша гречневая рассыпчатая</t>
  </si>
  <si>
    <t>Гуляш</t>
  </si>
  <si>
    <t>Вареники ленивые с творогом и сметаной</t>
  </si>
  <si>
    <t>Молоко кипяченое</t>
  </si>
  <si>
    <t>Чай с сахаром и лимоном</t>
  </si>
  <si>
    <t>Каша рассыпчатая"Артек"</t>
  </si>
  <si>
    <t>Икра кабачковая(пром.пр-во)</t>
  </si>
  <si>
    <t xml:space="preserve">Чай с сахаром </t>
  </si>
  <si>
    <t>Салат из свеклы</t>
  </si>
  <si>
    <t>Салат из свеклы с яблоками</t>
  </si>
  <si>
    <t>Салат из свеклы отварной</t>
  </si>
  <si>
    <t>Жаркое по домашнему</t>
  </si>
  <si>
    <t xml:space="preserve">Салат из белокочанной капусты </t>
  </si>
  <si>
    <t>Суп картофельный с рыб.  консер.</t>
  </si>
  <si>
    <t>Котлета рыбная</t>
  </si>
  <si>
    <t>Каша вязкая молочная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</si>
</sst>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vertAlign val="subscript"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3" borderId="0" xfId="0" applyFill="1" applyAlignment="1">
      <alignment vertical="top"/>
    </xf>
    <xf numFmtId="0" fontId="4" fillId="3" borderId="1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7" fillId="3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164" fontId="8" fillId="3" borderId="1" xfId="0" applyNumberFormat="1" applyFont="1" applyFill="1" applyBorder="1" applyAlignment="1">
      <alignment horizontal="center" vertical="top" wrapText="1"/>
    </xf>
    <xf numFmtId="0" fontId="2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top" wrapText="1"/>
    </xf>
    <xf numFmtId="1" fontId="8" fillId="3" borderId="0" xfId="0" applyNumberFormat="1" applyFont="1" applyFill="1" applyBorder="1" applyAlignment="1">
      <alignment horizontal="center" vertical="top" wrapText="1"/>
    </xf>
    <xf numFmtId="164" fontId="8" fillId="3" borderId="0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center" wrapText="1"/>
    </xf>
    <xf numFmtId="0" fontId="0" fillId="3" borderId="0" xfId="0" applyFont="1" applyFill="1" applyAlignment="1">
      <alignment vertical="top"/>
    </xf>
    <xf numFmtId="0" fontId="1" fillId="3" borderId="1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left" wrapText="1"/>
    </xf>
    <xf numFmtId="0" fontId="7" fillId="0" borderId="0" xfId="0" applyFont="1"/>
    <xf numFmtId="49" fontId="7" fillId="0" borderId="0" xfId="0" applyNumberFormat="1" applyFont="1"/>
    <xf numFmtId="49" fontId="7" fillId="0" borderId="0" xfId="0" applyNumberFormat="1" applyFont="1" applyAlignment="1"/>
    <xf numFmtId="164" fontId="2" fillId="0" borderId="1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1" fillId="0" borderId="1" xfId="0" applyFont="1" applyFill="1" applyBorder="1" applyAlignment="1">
      <alignment wrapText="1"/>
    </xf>
    <xf numFmtId="49" fontId="1" fillId="0" borderId="0" xfId="0" applyNumberFormat="1" applyFont="1" applyAlignment="1"/>
    <xf numFmtId="0" fontId="2" fillId="2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164" fontId="1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164" fontId="1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center"/>
    </xf>
    <xf numFmtId="0" fontId="0" fillId="2" borderId="0" xfId="0" applyFill="1" applyAlignment="1"/>
    <xf numFmtId="0" fontId="2" fillId="2" borderId="3" xfId="0" applyFont="1" applyFill="1" applyBorder="1" applyAlignment="1">
      <alignment vertical="center"/>
    </xf>
    <xf numFmtId="0" fontId="0" fillId="2" borderId="3" xfId="0" applyFill="1" applyBorder="1" applyAlignment="1"/>
    <xf numFmtId="0" fontId="4" fillId="3" borderId="4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49" fontId="1" fillId="0" borderId="0" xfId="0" applyNumberFormat="1" applyFont="1" applyAlignment="1"/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="80" zoomScaleNormal="80" workbookViewId="0">
      <selection activeCell="Q26" sqref="Q26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10" style="1" customWidth="1"/>
    <col min="4" max="6" width="9.28515625" style="1" customWidth="1"/>
    <col min="7" max="7" width="9.5703125" style="1" customWidth="1"/>
    <col min="8" max="8" width="8.7109375" style="1" customWidth="1"/>
    <col min="9" max="9" width="10.42578125" style="1" customWidth="1"/>
    <col min="10" max="10" width="9.28515625" style="1" customWidth="1"/>
    <col min="11" max="11" width="8.5703125" style="1" customWidth="1"/>
    <col min="12" max="13" width="9.28515625" style="1" customWidth="1"/>
    <col min="14" max="16384" width="9.140625" style="1"/>
  </cols>
  <sheetData>
    <row r="1" spans="1:13" ht="15.75" x14ac:dyDescent="0.25">
      <c r="A1" s="26"/>
      <c r="B1" s="20"/>
      <c r="C1" s="27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spans="1:13" ht="15.75" x14ac:dyDescent="0.25">
      <c r="A2" s="26"/>
      <c r="B2" s="20"/>
      <c r="C2" s="27"/>
      <c r="D2" s="22"/>
      <c r="E2" s="22"/>
      <c r="F2" s="22"/>
      <c r="G2" s="22"/>
      <c r="H2" s="22"/>
      <c r="I2" s="23"/>
      <c r="J2" s="22"/>
      <c r="K2" s="22"/>
      <c r="L2" s="22"/>
      <c r="M2" s="22"/>
    </row>
    <row r="3" spans="1:13" ht="28.9" customHeight="1" x14ac:dyDescent="0.25">
      <c r="A3" s="26"/>
      <c r="B3" s="20"/>
      <c r="C3" s="27"/>
      <c r="D3" s="22"/>
      <c r="E3" s="22"/>
      <c r="F3" s="22"/>
      <c r="G3" s="22"/>
      <c r="H3" s="22"/>
      <c r="I3" s="23"/>
      <c r="J3" s="22"/>
      <c r="K3" s="22"/>
      <c r="L3" s="22"/>
      <c r="M3" s="22"/>
    </row>
    <row r="4" spans="1:13" x14ac:dyDescent="0.25">
      <c r="A4" s="70" t="s">
        <v>58</v>
      </c>
      <c r="B4" s="71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x14ac:dyDescent="0.25">
      <c r="A5" s="70" t="s">
        <v>8</v>
      </c>
      <c r="B5" s="71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5.75" thickBot="1" x14ac:dyDescent="0.3">
      <c r="A6" s="72" t="s">
        <v>73</v>
      </c>
      <c r="B6" s="73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x14ac:dyDescent="0.25">
      <c r="A7" s="74" t="s">
        <v>9</v>
      </c>
      <c r="B7" s="74" t="s">
        <v>10</v>
      </c>
      <c r="C7" s="74" t="s">
        <v>11</v>
      </c>
      <c r="D7" s="64" t="s">
        <v>12</v>
      </c>
      <c r="E7" s="65"/>
      <c r="F7" s="66"/>
      <c r="G7" s="79" t="s">
        <v>13</v>
      </c>
      <c r="H7" s="64" t="s">
        <v>14</v>
      </c>
      <c r="I7" s="65"/>
      <c r="J7" s="66"/>
      <c r="K7" s="64" t="s">
        <v>15</v>
      </c>
      <c r="L7" s="65"/>
      <c r="M7" s="66"/>
    </row>
    <row r="8" spans="1:13" ht="15.75" thickBot="1" x14ac:dyDescent="0.3">
      <c r="A8" s="75"/>
      <c r="B8" s="77"/>
      <c r="C8" s="77"/>
      <c r="D8" s="67" t="s">
        <v>16</v>
      </c>
      <c r="E8" s="68"/>
      <c r="F8" s="69"/>
      <c r="G8" s="80"/>
      <c r="H8" s="67"/>
      <c r="I8" s="68"/>
      <c r="J8" s="69"/>
      <c r="K8" s="67"/>
      <c r="L8" s="68"/>
      <c r="M8" s="69"/>
    </row>
    <row r="9" spans="1:13" ht="17.25" thickBot="1" x14ac:dyDescent="0.3">
      <c r="A9" s="76"/>
      <c r="B9" s="78"/>
      <c r="C9" s="78"/>
      <c r="D9" s="30" t="s">
        <v>17</v>
      </c>
      <c r="E9" s="30" t="s">
        <v>18</v>
      </c>
      <c r="F9" s="30" t="s">
        <v>19</v>
      </c>
      <c r="G9" s="81"/>
      <c r="H9" s="30" t="s">
        <v>20</v>
      </c>
      <c r="I9" s="30" t="s">
        <v>41</v>
      </c>
      <c r="J9" s="30" t="s">
        <v>22</v>
      </c>
      <c r="K9" s="30" t="s">
        <v>23</v>
      </c>
      <c r="L9" s="30" t="s">
        <v>40</v>
      </c>
      <c r="M9" s="30" t="s">
        <v>24</v>
      </c>
    </row>
    <row r="10" spans="1:13" ht="18.75" x14ac:dyDescent="0.25">
      <c r="A10" s="3"/>
      <c r="B10" s="4" t="s">
        <v>25</v>
      </c>
      <c r="C10" s="5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x14ac:dyDescent="0.25">
      <c r="A11" s="6">
        <v>57</v>
      </c>
      <c r="B11" s="7" t="s">
        <v>82</v>
      </c>
      <c r="C11" s="33">
        <v>100</v>
      </c>
      <c r="D11" s="17">
        <v>0.64</v>
      </c>
      <c r="E11" s="17">
        <v>1.94</v>
      </c>
      <c r="F11" s="17">
        <v>3.43</v>
      </c>
      <c r="G11" s="17">
        <v>36.5</v>
      </c>
      <c r="H11" s="17">
        <v>0</v>
      </c>
      <c r="I11" s="17">
        <v>0.01</v>
      </c>
      <c r="J11" s="17">
        <v>4.37</v>
      </c>
      <c r="K11" s="17">
        <v>21.01</v>
      </c>
      <c r="L11" s="17">
        <v>18.440000000000001</v>
      </c>
      <c r="M11" s="17">
        <v>0.44</v>
      </c>
    </row>
    <row r="12" spans="1:13" x14ac:dyDescent="0.25">
      <c r="A12" s="24">
        <v>309</v>
      </c>
      <c r="B12" s="7" t="s">
        <v>46</v>
      </c>
      <c r="C12" s="33">
        <v>200</v>
      </c>
      <c r="D12" s="17">
        <f>36.8*C12/1000</f>
        <v>7.3599999999999994</v>
      </c>
      <c r="E12" s="17">
        <f>30.1*C12/1000</f>
        <v>6.02</v>
      </c>
      <c r="F12" s="17">
        <f>176.3*C12/1000</f>
        <v>35.26</v>
      </c>
      <c r="G12" s="17">
        <f>1123*C12/1000</f>
        <v>224.6</v>
      </c>
      <c r="H12" s="17">
        <f>0</f>
        <v>0</v>
      </c>
      <c r="I12" s="17">
        <f>0.4*C12/1000</f>
        <v>0.08</v>
      </c>
      <c r="J12" s="17">
        <f>0</f>
        <v>0</v>
      </c>
      <c r="K12" s="17">
        <f>32.4*C12/1000</f>
        <v>6.48</v>
      </c>
      <c r="L12" s="17">
        <f>247.8*C12/1000</f>
        <v>49.56</v>
      </c>
      <c r="M12" s="17">
        <f>7.4*C12/1000</f>
        <v>1.48</v>
      </c>
    </row>
    <row r="13" spans="1:13" x14ac:dyDescent="0.25">
      <c r="A13" s="24">
        <v>229</v>
      </c>
      <c r="B13" s="7" t="s">
        <v>33</v>
      </c>
      <c r="C13" s="33">
        <v>110</v>
      </c>
      <c r="D13" s="17">
        <v>13.65</v>
      </c>
      <c r="E13" s="17">
        <v>6.93</v>
      </c>
      <c r="F13" s="17">
        <v>5.32</v>
      </c>
      <c r="G13" s="17">
        <v>147</v>
      </c>
      <c r="H13" s="17">
        <v>8.1479999999999997</v>
      </c>
      <c r="I13" s="17">
        <v>7.0000000000000007E-2</v>
      </c>
      <c r="J13" s="17">
        <v>5.2220000000000004</v>
      </c>
      <c r="K13" s="17">
        <v>54.698</v>
      </c>
      <c r="L13" s="17">
        <v>227.066</v>
      </c>
      <c r="M13" s="17">
        <v>1.19</v>
      </c>
    </row>
    <row r="14" spans="1:13" x14ac:dyDescent="0.25">
      <c r="A14" s="24">
        <v>376</v>
      </c>
      <c r="B14" s="7" t="s">
        <v>83</v>
      </c>
      <c r="C14" s="33">
        <v>200</v>
      </c>
      <c r="D14" s="17">
        <f>0.35*C14/1000</f>
        <v>7.0000000000000007E-2</v>
      </c>
      <c r="E14" s="17">
        <f>0.1*C14/1000</f>
        <v>0.02</v>
      </c>
      <c r="F14" s="17">
        <f>75*C14/1000</f>
        <v>15</v>
      </c>
      <c r="G14" s="17">
        <f>300*C14/1000</f>
        <v>60</v>
      </c>
      <c r="H14" s="17">
        <f>0*C14/1000</f>
        <v>0</v>
      </c>
      <c r="I14" s="17">
        <f>0</f>
        <v>0</v>
      </c>
      <c r="J14" s="17">
        <f>0.2*C14/1000</f>
        <v>0.04</v>
      </c>
      <c r="K14" s="17">
        <f>55.5*C14/1000</f>
        <v>11.1</v>
      </c>
      <c r="L14" s="17">
        <f>14*C14/1000</f>
        <v>2.8</v>
      </c>
      <c r="M14" s="17">
        <f>1.4*C14/1000</f>
        <v>0.28000000000000003</v>
      </c>
    </row>
    <row r="15" spans="1:13" x14ac:dyDescent="0.25">
      <c r="A15" s="6" t="s">
        <v>26</v>
      </c>
      <c r="B15" s="7" t="s">
        <v>3</v>
      </c>
      <c r="C15" s="33">
        <v>50</v>
      </c>
      <c r="D15" s="17">
        <f>107*C15/1000</f>
        <v>5.35</v>
      </c>
      <c r="E15" s="17">
        <f>45*C15/1000</f>
        <v>2.25</v>
      </c>
      <c r="F15" s="17">
        <f>435*C15/1000</f>
        <v>21.75</v>
      </c>
      <c r="G15" s="17">
        <f>2740*C15/1000</f>
        <v>137</v>
      </c>
      <c r="H15" s="17">
        <f>0</f>
        <v>0</v>
      </c>
      <c r="I15" s="17">
        <f>4.1*C15/1000</f>
        <v>0.20499999999999996</v>
      </c>
      <c r="J15" s="17">
        <f>2*C15/1000</f>
        <v>0.1</v>
      </c>
      <c r="K15" s="17">
        <f>1250*C15/1000</f>
        <v>62.5</v>
      </c>
      <c r="L15" s="17">
        <f>1290*C15/1000</f>
        <v>64.5</v>
      </c>
      <c r="M15" s="17">
        <f>36*C15/1000</f>
        <v>1.8</v>
      </c>
    </row>
    <row r="16" spans="1:13" x14ac:dyDescent="0.25">
      <c r="A16" s="12" t="s">
        <v>30</v>
      </c>
      <c r="B16" s="7" t="s">
        <v>0</v>
      </c>
      <c r="C16" s="33">
        <v>30</v>
      </c>
      <c r="D16" s="28">
        <f>85*C16/1000</f>
        <v>2.5499999999999998</v>
      </c>
      <c r="E16" s="28">
        <f>33*C16/1000</f>
        <v>0.99</v>
      </c>
      <c r="F16" s="28">
        <f>425*C16/1000</f>
        <v>12.75</v>
      </c>
      <c r="G16" s="28">
        <f>2590*C16/1000</f>
        <v>77.7</v>
      </c>
      <c r="H16" s="32">
        <f>0</f>
        <v>0</v>
      </c>
      <c r="I16" s="28">
        <f>4.3*C16/1000</f>
        <v>0.129</v>
      </c>
      <c r="J16" s="28">
        <f>4*C16/1000</f>
        <v>0.12</v>
      </c>
      <c r="K16" s="28">
        <f>730*C16/1000</f>
        <v>21.9</v>
      </c>
      <c r="L16" s="28">
        <f>1250*C16/1000</f>
        <v>37.5</v>
      </c>
      <c r="M16" s="28">
        <f>28.3*C16/1000</f>
        <v>0.84899999999999998</v>
      </c>
    </row>
    <row r="17" spans="1:13" x14ac:dyDescent="0.25">
      <c r="A17" s="24"/>
      <c r="B17" s="9" t="s">
        <v>27</v>
      </c>
      <c r="C17" s="50">
        <f>SUM(C11:C16)</f>
        <v>690</v>
      </c>
      <c r="D17" s="40">
        <f t="shared" ref="D17:M17" si="0">SUM(D11:D16)</f>
        <v>29.62</v>
      </c>
      <c r="E17" s="40">
        <f t="shared" si="0"/>
        <v>18.149999999999995</v>
      </c>
      <c r="F17" s="40">
        <f t="shared" si="0"/>
        <v>93.509999999999991</v>
      </c>
      <c r="G17" s="40">
        <f t="shared" si="0"/>
        <v>682.80000000000007</v>
      </c>
      <c r="H17" s="40">
        <f t="shared" si="0"/>
        <v>8.1479999999999997</v>
      </c>
      <c r="I17" s="40">
        <f t="shared" si="0"/>
        <v>0.49399999999999999</v>
      </c>
      <c r="J17" s="40">
        <f t="shared" si="0"/>
        <v>9.8519999999999985</v>
      </c>
      <c r="K17" s="40">
        <f t="shared" si="0"/>
        <v>177.68800000000002</v>
      </c>
      <c r="L17" s="40">
        <f t="shared" si="0"/>
        <v>399.86600000000004</v>
      </c>
      <c r="M17" s="40">
        <f t="shared" si="0"/>
        <v>6.0389999999999997</v>
      </c>
    </row>
    <row r="18" spans="1:13" ht="18.75" x14ac:dyDescent="0.25">
      <c r="A18" s="24"/>
      <c r="B18" s="11" t="s">
        <v>28</v>
      </c>
      <c r="C18" s="8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x14ac:dyDescent="0.25">
      <c r="A19" s="6"/>
      <c r="B19" s="7"/>
      <c r="C19" s="33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x14ac:dyDescent="0.25">
      <c r="A20" s="24">
        <v>82</v>
      </c>
      <c r="B20" s="7" t="s">
        <v>70</v>
      </c>
      <c r="C20" s="33">
        <v>250</v>
      </c>
      <c r="D20" s="17">
        <f>6.4*C20/1000</f>
        <v>1.6</v>
      </c>
      <c r="E20" s="17">
        <f>19.4*C20/1000</f>
        <v>4.8499999999999996</v>
      </c>
      <c r="F20" s="17">
        <f>34.3*C20/1000</f>
        <v>8.5749999999999993</v>
      </c>
      <c r="G20" s="17">
        <f>365*C20/1000</f>
        <v>91.25</v>
      </c>
      <c r="H20" s="17">
        <f>0</f>
        <v>0</v>
      </c>
      <c r="I20" s="17">
        <f>0.1*C20/1000</f>
        <v>2.5000000000000001E-2</v>
      </c>
      <c r="J20" s="17">
        <f>43.7*C20/1000</f>
        <v>10.925000000000001</v>
      </c>
      <c r="K20" s="17">
        <f>210.1*C20/1000</f>
        <v>52.524999999999999</v>
      </c>
      <c r="L20" s="17">
        <f>184.4*C20/1000</f>
        <v>46.1</v>
      </c>
      <c r="M20" s="17">
        <f>4.4*C20/1000</f>
        <v>1.1000000000000001</v>
      </c>
    </row>
    <row r="21" spans="1:13" x14ac:dyDescent="0.25">
      <c r="A21" s="24">
        <v>259</v>
      </c>
      <c r="B21" s="7" t="s">
        <v>87</v>
      </c>
      <c r="C21" s="33">
        <v>250</v>
      </c>
      <c r="D21" s="17">
        <v>17.600000000000001</v>
      </c>
      <c r="E21" s="17">
        <v>42.3</v>
      </c>
      <c r="F21" s="17">
        <v>23.7</v>
      </c>
      <c r="G21" s="17">
        <v>547.29999999999995</v>
      </c>
      <c r="H21" s="17">
        <v>0</v>
      </c>
      <c r="I21" s="17">
        <v>0.5</v>
      </c>
      <c r="J21" s="17">
        <v>9.6999999999999993</v>
      </c>
      <c r="K21" s="17">
        <v>41</v>
      </c>
      <c r="L21" s="17">
        <v>257</v>
      </c>
      <c r="M21" s="17">
        <v>4.3</v>
      </c>
    </row>
    <row r="22" spans="1:13" x14ac:dyDescent="0.25">
      <c r="A22" s="24">
        <v>46</v>
      </c>
      <c r="B22" s="7" t="s">
        <v>88</v>
      </c>
      <c r="C22" s="33">
        <v>100</v>
      </c>
      <c r="D22" s="45">
        <v>0.1</v>
      </c>
      <c r="E22" s="45">
        <v>5.0999999999999996</v>
      </c>
      <c r="F22" s="45">
        <v>11.2</v>
      </c>
      <c r="G22" s="45">
        <v>90.1</v>
      </c>
      <c r="H22" s="45">
        <v>0</v>
      </c>
      <c r="I22" s="45">
        <v>0</v>
      </c>
      <c r="J22" s="45">
        <v>16.899999999999999</v>
      </c>
      <c r="K22" s="45">
        <v>33.5</v>
      </c>
      <c r="L22" s="45">
        <v>29.4</v>
      </c>
      <c r="M22" s="45">
        <v>1</v>
      </c>
    </row>
    <row r="23" spans="1:13" x14ac:dyDescent="0.25">
      <c r="A23" s="24">
        <v>342</v>
      </c>
      <c r="B23" s="7" t="s">
        <v>36</v>
      </c>
      <c r="C23" s="33">
        <v>200</v>
      </c>
      <c r="D23" s="17">
        <f>0.8*C23/1000</f>
        <v>0.16</v>
      </c>
      <c r="E23" s="17">
        <f>0.8*C23/1000</f>
        <v>0.16</v>
      </c>
      <c r="F23" s="17">
        <f>139.4*C23/1000</f>
        <v>27.88</v>
      </c>
      <c r="G23" s="17">
        <f>573*C23/1000</f>
        <v>114.6</v>
      </c>
      <c r="H23" s="17">
        <f>0</f>
        <v>0</v>
      </c>
      <c r="I23" s="17">
        <v>1.4E-2</v>
      </c>
      <c r="J23" s="17">
        <f>5.5*C23/1000</f>
        <v>1.1000000000000001</v>
      </c>
      <c r="K23" s="17">
        <f>70.9*C23/1000</f>
        <v>14.180000000000001</v>
      </c>
      <c r="L23" s="17">
        <f>22*C23/1000</f>
        <v>4.4000000000000004</v>
      </c>
      <c r="M23" s="17">
        <f>4.8*C23/1000</f>
        <v>0.96</v>
      </c>
    </row>
    <row r="24" spans="1:13" x14ac:dyDescent="0.25">
      <c r="A24" s="6" t="s">
        <v>26</v>
      </c>
      <c r="B24" s="7" t="s">
        <v>3</v>
      </c>
      <c r="C24" s="33">
        <v>50</v>
      </c>
      <c r="D24" s="17">
        <f>107*C24/1000</f>
        <v>5.35</v>
      </c>
      <c r="E24" s="17">
        <f>45*C24/1000</f>
        <v>2.25</v>
      </c>
      <c r="F24" s="17">
        <f>435*C24/1000</f>
        <v>21.75</v>
      </c>
      <c r="G24" s="17">
        <f>2740*C24/1000</f>
        <v>137</v>
      </c>
      <c r="H24" s="17">
        <f>0</f>
        <v>0</v>
      </c>
      <c r="I24" s="17">
        <f>4.1*C24/1000</f>
        <v>0.20499999999999996</v>
      </c>
      <c r="J24" s="17">
        <f>2*C24/1000</f>
        <v>0.1</v>
      </c>
      <c r="K24" s="17">
        <f>1250*C24/1000</f>
        <v>62.5</v>
      </c>
      <c r="L24" s="17">
        <f>1290*C24/1000</f>
        <v>64.5</v>
      </c>
      <c r="M24" s="17">
        <f>36*C24/1000</f>
        <v>1.8</v>
      </c>
    </row>
    <row r="25" spans="1:13" x14ac:dyDescent="0.25">
      <c r="A25" s="12" t="s">
        <v>30</v>
      </c>
      <c r="B25" s="7" t="s">
        <v>0</v>
      </c>
      <c r="C25" s="33">
        <v>30</v>
      </c>
      <c r="D25" s="28">
        <f>85*C25/1000</f>
        <v>2.5499999999999998</v>
      </c>
      <c r="E25" s="28">
        <f>33*C25/1000</f>
        <v>0.99</v>
      </c>
      <c r="F25" s="28">
        <f>425*C25/1000</f>
        <v>12.75</v>
      </c>
      <c r="G25" s="28">
        <f>2590*C25/1000</f>
        <v>77.7</v>
      </c>
      <c r="H25" s="32">
        <f>0</f>
        <v>0</v>
      </c>
      <c r="I25" s="28">
        <f>4.3*C25/1000</f>
        <v>0.129</v>
      </c>
      <c r="J25" s="28">
        <f>4*C25/1000</f>
        <v>0.12</v>
      </c>
      <c r="K25" s="28">
        <f>730*C25/1000</f>
        <v>21.9</v>
      </c>
      <c r="L25" s="28">
        <f>1250*C25/1000</f>
        <v>37.5</v>
      </c>
      <c r="M25" s="28">
        <f>28.3*C25/1000</f>
        <v>0.84899999999999998</v>
      </c>
    </row>
    <row r="26" spans="1:13" x14ac:dyDescent="0.25">
      <c r="A26" s="24"/>
      <c r="B26" s="7"/>
      <c r="C26" s="33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x14ac:dyDescent="0.25">
      <c r="A27" s="25"/>
      <c r="B27" s="9" t="s">
        <v>27</v>
      </c>
      <c r="C27" s="10">
        <f>SUM(C19:C26)</f>
        <v>880</v>
      </c>
      <c r="D27" s="40">
        <f t="shared" ref="D27:M27" si="1">SUM(D19:D26)</f>
        <v>27.360000000000003</v>
      </c>
      <c r="E27" s="40">
        <f t="shared" si="1"/>
        <v>55.65</v>
      </c>
      <c r="F27" s="40">
        <f t="shared" si="1"/>
        <v>105.85499999999999</v>
      </c>
      <c r="G27" s="40">
        <f t="shared" si="1"/>
        <v>1057.95</v>
      </c>
      <c r="H27" s="40">
        <f t="shared" si="1"/>
        <v>0</v>
      </c>
      <c r="I27" s="40">
        <f t="shared" si="1"/>
        <v>0.873</v>
      </c>
      <c r="J27" s="40">
        <f t="shared" si="1"/>
        <v>38.844999999999999</v>
      </c>
      <c r="K27" s="40">
        <f t="shared" si="1"/>
        <v>225.60500000000002</v>
      </c>
      <c r="L27" s="40">
        <f t="shared" si="1"/>
        <v>438.9</v>
      </c>
      <c r="M27" s="40">
        <f t="shared" si="1"/>
        <v>10.009</v>
      </c>
    </row>
    <row r="28" spans="1:13" ht="18.75" x14ac:dyDescent="0.25">
      <c r="A28" s="25"/>
      <c r="B28" s="14" t="s">
        <v>31</v>
      </c>
      <c r="C28" s="13">
        <f t="shared" ref="C28:M28" si="2">C17+C27</f>
        <v>1570</v>
      </c>
      <c r="D28" s="41">
        <f t="shared" si="2"/>
        <v>56.980000000000004</v>
      </c>
      <c r="E28" s="41">
        <f t="shared" si="2"/>
        <v>73.8</v>
      </c>
      <c r="F28" s="41">
        <f t="shared" si="2"/>
        <v>199.36499999999998</v>
      </c>
      <c r="G28" s="41">
        <f t="shared" si="2"/>
        <v>1740.75</v>
      </c>
      <c r="H28" s="41">
        <f t="shared" si="2"/>
        <v>8.1479999999999997</v>
      </c>
      <c r="I28" s="41">
        <f t="shared" si="2"/>
        <v>1.367</v>
      </c>
      <c r="J28" s="41">
        <f t="shared" si="2"/>
        <v>48.696999999999996</v>
      </c>
      <c r="K28" s="41">
        <f t="shared" si="2"/>
        <v>403.29300000000001</v>
      </c>
      <c r="L28" s="41">
        <f t="shared" si="2"/>
        <v>838.76600000000008</v>
      </c>
      <c r="M28" s="41">
        <f t="shared" si="2"/>
        <v>16.048000000000002</v>
      </c>
    </row>
    <row r="29" spans="1:13" ht="17.25" customHeight="1" x14ac:dyDescent="0.25">
      <c r="A29" s="15"/>
      <c r="B29" s="16" t="s">
        <v>68</v>
      </c>
      <c r="C29" s="17">
        <v>1350</v>
      </c>
      <c r="D29" s="18">
        <v>45</v>
      </c>
      <c r="E29" s="18">
        <v>46</v>
      </c>
      <c r="F29" s="18">
        <v>192</v>
      </c>
      <c r="G29" s="18">
        <v>1360</v>
      </c>
      <c r="H29" s="18">
        <v>450</v>
      </c>
      <c r="I29" s="18">
        <v>0.7</v>
      </c>
      <c r="J29" s="18">
        <v>35</v>
      </c>
      <c r="K29" s="18">
        <v>600</v>
      </c>
      <c r="L29" s="18">
        <v>600</v>
      </c>
      <c r="M29" s="18">
        <v>9</v>
      </c>
    </row>
    <row r="30" spans="1:13" ht="17.25" customHeight="1" x14ac:dyDescent="0.25">
      <c r="A30" s="19"/>
      <c r="B30" s="20"/>
      <c r="C30" s="21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3" ht="17.25" customHeight="1" x14ac:dyDescent="0.25">
      <c r="A31" s="19"/>
      <c r="B31" s="20"/>
      <c r="C31" s="21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pans="1:13" ht="17.25" customHeight="1" x14ac:dyDescent="0.25">
      <c r="A32" s="19"/>
      <c r="B32" s="20"/>
      <c r="C32" s="21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3" ht="18" customHeight="1" x14ac:dyDescent="0.25">
      <c r="A33" s="19"/>
      <c r="B33" s="20"/>
      <c r="C33" s="21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1:13" ht="18" customHeight="1" x14ac:dyDescent="0.25">
      <c r="A34" s="19"/>
      <c r="B34" s="20"/>
      <c r="C34" s="21"/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1:13" ht="18" customHeight="1" x14ac:dyDescent="0.25">
      <c r="A35" s="19"/>
      <c r="B35" s="20"/>
      <c r="C35" s="21"/>
      <c r="D35" s="23"/>
      <c r="E35" s="23"/>
      <c r="F35" s="23"/>
      <c r="G35" s="23"/>
      <c r="H35" s="23"/>
      <c r="I35" s="23"/>
      <c r="J35" s="23"/>
      <c r="K35" s="23"/>
      <c r="L35" s="23"/>
      <c r="M35" s="23"/>
    </row>
  </sheetData>
  <mergeCells count="11">
    <mergeCell ref="H7:J8"/>
    <mergeCell ref="K7:M8"/>
    <mergeCell ref="D8:F8"/>
    <mergeCell ref="A4:B4"/>
    <mergeCell ref="A5:B5"/>
    <mergeCell ref="A6:B6"/>
    <mergeCell ref="A7:A9"/>
    <mergeCell ref="B7:B9"/>
    <mergeCell ref="C7:C9"/>
    <mergeCell ref="D7:F7"/>
    <mergeCell ref="G7:G9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="80" zoomScaleNormal="80" workbookViewId="0">
      <selection activeCell="W20" sqref="W20"/>
    </sheetView>
  </sheetViews>
  <sheetFormatPr defaultColWidth="8.85546875" defaultRowHeight="15" x14ac:dyDescent="0.25"/>
  <cols>
    <col min="1" max="1" width="8.85546875" style="1"/>
    <col min="2" max="2" width="30" style="1" customWidth="1"/>
    <col min="3" max="3" width="10" style="1" customWidth="1"/>
    <col min="4" max="6" width="9.28515625" style="1" customWidth="1"/>
    <col min="7" max="7" width="9.5703125" style="1" customWidth="1"/>
    <col min="8" max="8" width="8.7109375" style="1" customWidth="1"/>
    <col min="9" max="9" width="10.42578125" style="1" customWidth="1"/>
    <col min="10" max="10" width="9.28515625" style="1" customWidth="1"/>
    <col min="11" max="11" width="8.5703125" style="1" customWidth="1"/>
    <col min="12" max="13" width="9.28515625" style="1" customWidth="1"/>
    <col min="14" max="16384" width="8.85546875" style="1"/>
  </cols>
  <sheetData>
    <row r="1" spans="1:13" ht="55.9" customHeight="1" x14ac:dyDescent="0.25">
      <c r="A1" s="19"/>
      <c r="B1" s="20"/>
      <c r="C1" s="21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6.149999999999999" hidden="1" customHeight="1" x14ac:dyDescent="0.25">
      <c r="B2" s="47"/>
      <c r="C2" s="47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8.75" x14ac:dyDescent="0.25">
      <c r="A3" s="70" t="s">
        <v>37</v>
      </c>
      <c r="B3" s="71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25">
      <c r="A4" s="70" t="s">
        <v>38</v>
      </c>
      <c r="B4" s="71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5.75" thickBot="1" x14ac:dyDescent="0.3">
      <c r="A5" s="72" t="s">
        <v>71</v>
      </c>
      <c r="B5" s="73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25">
      <c r="A6" s="74" t="s">
        <v>9</v>
      </c>
      <c r="B6" s="74" t="s">
        <v>10</v>
      </c>
      <c r="C6" s="74" t="s">
        <v>11</v>
      </c>
      <c r="D6" s="64" t="s">
        <v>12</v>
      </c>
      <c r="E6" s="65"/>
      <c r="F6" s="66"/>
      <c r="G6" s="79" t="s">
        <v>13</v>
      </c>
      <c r="H6" s="64" t="s">
        <v>14</v>
      </c>
      <c r="I6" s="65"/>
      <c r="J6" s="66"/>
      <c r="K6" s="64" t="s">
        <v>15</v>
      </c>
      <c r="L6" s="65"/>
      <c r="M6" s="66"/>
    </row>
    <row r="7" spans="1:13" ht="15.75" thickBot="1" x14ac:dyDescent="0.3">
      <c r="A7" s="75"/>
      <c r="B7" s="77"/>
      <c r="C7" s="77"/>
      <c r="D7" s="67" t="s">
        <v>16</v>
      </c>
      <c r="E7" s="68"/>
      <c r="F7" s="69"/>
      <c r="G7" s="80"/>
      <c r="H7" s="67"/>
      <c r="I7" s="68"/>
      <c r="J7" s="69"/>
      <c r="K7" s="67"/>
      <c r="L7" s="68"/>
      <c r="M7" s="69"/>
    </row>
    <row r="8" spans="1:13" ht="16.149999999999999" customHeight="1" thickBot="1" x14ac:dyDescent="0.3">
      <c r="A8" s="76"/>
      <c r="B8" s="78"/>
      <c r="C8" s="78"/>
      <c r="D8" s="30" t="s">
        <v>17</v>
      </c>
      <c r="E8" s="30" t="s">
        <v>18</v>
      </c>
      <c r="F8" s="30" t="s">
        <v>19</v>
      </c>
      <c r="G8" s="81"/>
      <c r="H8" s="30" t="s">
        <v>20</v>
      </c>
      <c r="I8" s="30" t="s">
        <v>41</v>
      </c>
      <c r="J8" s="30" t="s">
        <v>22</v>
      </c>
      <c r="K8" s="30" t="s">
        <v>23</v>
      </c>
      <c r="L8" s="30" t="s">
        <v>40</v>
      </c>
      <c r="M8" s="30" t="s">
        <v>24</v>
      </c>
    </row>
    <row r="9" spans="1:13" ht="16.5" customHeight="1" x14ac:dyDescent="0.25">
      <c r="A9" s="3"/>
      <c r="B9" s="4" t="s">
        <v>25</v>
      </c>
      <c r="C9" s="5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ht="30" x14ac:dyDescent="0.25">
      <c r="A10" s="24">
        <v>173</v>
      </c>
      <c r="B10" s="48" t="s">
        <v>66</v>
      </c>
      <c r="C10" s="33">
        <v>250</v>
      </c>
      <c r="D10" s="17">
        <f>16.9*C10/1000</f>
        <v>4.2249999999999996</v>
      </c>
      <c r="E10" s="17">
        <f>109.9*C10/1000</f>
        <v>27.475000000000001</v>
      </c>
      <c r="F10" s="17">
        <f>81.9*C10/1000</f>
        <v>20.475000000000001</v>
      </c>
      <c r="G10" s="17">
        <f>1352.4*C10/1000</f>
        <v>338.1</v>
      </c>
      <c r="H10" s="17">
        <f>438.1*C10/1000</f>
        <v>109.52500000000001</v>
      </c>
      <c r="I10" s="17">
        <f>0.6*C10/1000</f>
        <v>0.15</v>
      </c>
      <c r="J10" s="17">
        <f>119.1*C10/1000</f>
        <v>29.774999999999999</v>
      </c>
      <c r="K10" s="17">
        <f>353.9*C10/1000</f>
        <v>88.474999999999994</v>
      </c>
      <c r="L10" s="17">
        <f>428.6*C10/1000</f>
        <v>107.15</v>
      </c>
      <c r="M10" s="17">
        <f>5.7*C10/1000</f>
        <v>1.425</v>
      </c>
    </row>
    <row r="11" spans="1:13" x14ac:dyDescent="0.25">
      <c r="A11" s="24">
        <v>338</v>
      </c>
      <c r="B11" s="7" t="s">
        <v>47</v>
      </c>
      <c r="C11" s="33">
        <v>100</v>
      </c>
      <c r="D11" s="17">
        <f>129*C11/1000</f>
        <v>12.9</v>
      </c>
      <c r="E11" s="17">
        <f>334.2*C11/1000</f>
        <v>33.42</v>
      </c>
      <c r="F11" s="17">
        <f>132.2*C11/1000</f>
        <v>13.219999999999999</v>
      </c>
      <c r="G11" s="17">
        <f>4080*C11/1000</f>
        <v>408</v>
      </c>
      <c r="H11" s="17">
        <f>400*C11/1000</f>
        <v>40</v>
      </c>
      <c r="I11" s="17">
        <f>3.6*C11/1000</f>
        <v>0.36</v>
      </c>
      <c r="J11" s="17">
        <f>42.8*C11/1000</f>
        <v>4.28</v>
      </c>
      <c r="K11" s="17">
        <f>115*C11/1000</f>
        <v>11.5</v>
      </c>
      <c r="L11" s="17">
        <f>1541.6*C11/1000</f>
        <v>154.16</v>
      </c>
      <c r="M11" s="17">
        <f>32*C11/1000</f>
        <v>3.2</v>
      </c>
    </row>
    <row r="12" spans="1:13" x14ac:dyDescent="0.25">
      <c r="A12" s="24">
        <v>386</v>
      </c>
      <c r="B12" s="7" t="s">
        <v>75</v>
      </c>
      <c r="C12" s="33">
        <v>200</v>
      </c>
      <c r="D12" s="28">
        <v>5.8</v>
      </c>
      <c r="E12" s="28">
        <v>5</v>
      </c>
      <c r="F12" s="28">
        <v>8</v>
      </c>
      <c r="G12" s="28">
        <v>100</v>
      </c>
      <c r="H12" s="28">
        <v>40</v>
      </c>
      <c r="I12" s="28">
        <v>0.08</v>
      </c>
      <c r="J12" s="28">
        <v>1.4</v>
      </c>
      <c r="K12" s="28">
        <v>240</v>
      </c>
      <c r="L12" s="28">
        <v>180</v>
      </c>
      <c r="M12" s="28">
        <v>0.2</v>
      </c>
    </row>
    <row r="13" spans="1:13" x14ac:dyDescent="0.25">
      <c r="A13" s="24">
        <v>15</v>
      </c>
      <c r="B13" s="7" t="s">
        <v>1</v>
      </c>
      <c r="C13" s="33">
        <v>20</v>
      </c>
      <c r="D13" s="17">
        <f>232*C13/1000</f>
        <v>4.6399999999999997</v>
      </c>
      <c r="E13" s="17">
        <f>295*C13/1000</f>
        <v>5.9</v>
      </c>
      <c r="F13" s="17">
        <f>0</f>
        <v>0</v>
      </c>
      <c r="G13" s="17">
        <f>3600*C13/1000</f>
        <v>72</v>
      </c>
      <c r="H13" s="17">
        <f>2600*C13/1000</f>
        <v>52</v>
      </c>
      <c r="I13" s="17">
        <f>0.3*C13/1000</f>
        <v>6.0000000000000001E-3</v>
      </c>
      <c r="J13" s="17">
        <f>7*C13/1000</f>
        <v>0.14000000000000001</v>
      </c>
      <c r="K13" s="17">
        <f>8800*C13/1000</f>
        <v>176</v>
      </c>
      <c r="L13" s="17">
        <f>5000*C13/1000</f>
        <v>100</v>
      </c>
      <c r="M13" s="17">
        <f>10*C13/1000</f>
        <v>0.2</v>
      </c>
    </row>
    <row r="14" spans="1:13" x14ac:dyDescent="0.25">
      <c r="A14" s="6" t="s">
        <v>26</v>
      </c>
      <c r="B14" s="7" t="s">
        <v>3</v>
      </c>
      <c r="C14" s="33">
        <v>50</v>
      </c>
      <c r="D14" s="17">
        <f>107*C14/1000</f>
        <v>5.35</v>
      </c>
      <c r="E14" s="17">
        <f>45*C14/1000</f>
        <v>2.25</v>
      </c>
      <c r="F14" s="17">
        <f>435*C14/1000</f>
        <v>21.75</v>
      </c>
      <c r="G14" s="17">
        <f>2740*C14/1000</f>
        <v>137</v>
      </c>
      <c r="H14" s="17">
        <f>0</f>
        <v>0</v>
      </c>
      <c r="I14" s="17">
        <f>4.1*C14/1000</f>
        <v>0.20499999999999996</v>
      </c>
      <c r="J14" s="17">
        <f>2*C14/1000</f>
        <v>0.1</v>
      </c>
      <c r="K14" s="17">
        <f>1250*C14/1000</f>
        <v>62.5</v>
      </c>
      <c r="L14" s="17">
        <f>1290*C14/1000</f>
        <v>64.5</v>
      </c>
      <c r="M14" s="17">
        <f>36*C14/1000</f>
        <v>1.8</v>
      </c>
    </row>
    <row r="15" spans="1:13" x14ac:dyDescent="0.25">
      <c r="A15" s="12" t="s">
        <v>30</v>
      </c>
      <c r="B15" s="7" t="s">
        <v>0</v>
      </c>
      <c r="C15" s="33">
        <v>30</v>
      </c>
      <c r="D15" s="28">
        <f>85*C15/1000</f>
        <v>2.5499999999999998</v>
      </c>
      <c r="E15" s="28">
        <f>33*C15/1000</f>
        <v>0.99</v>
      </c>
      <c r="F15" s="28">
        <f>425*C15/1000</f>
        <v>12.75</v>
      </c>
      <c r="G15" s="28">
        <f>2590*C15/1000</f>
        <v>77.7</v>
      </c>
      <c r="H15" s="32">
        <f>0</f>
        <v>0</v>
      </c>
      <c r="I15" s="28">
        <f>4.3*C15/1000</f>
        <v>0.129</v>
      </c>
      <c r="J15" s="28">
        <f>4*C15/1000</f>
        <v>0.12</v>
      </c>
      <c r="K15" s="28">
        <f>730*C15/1000</f>
        <v>21.9</v>
      </c>
      <c r="L15" s="28">
        <f>1250*C15/1000</f>
        <v>37.5</v>
      </c>
      <c r="M15" s="28">
        <f>28.3*C15/1000</f>
        <v>0.84899999999999998</v>
      </c>
    </row>
    <row r="16" spans="1:13" ht="15.75" customHeight="1" x14ac:dyDescent="0.25">
      <c r="A16" s="24"/>
      <c r="B16" s="7"/>
      <c r="C16" s="33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x14ac:dyDescent="0.25">
      <c r="A17" s="24"/>
      <c r="B17" s="9" t="s">
        <v>27</v>
      </c>
      <c r="C17" s="10">
        <f>SUM(C10:C16)</f>
        <v>650</v>
      </c>
      <c r="D17" s="40">
        <f t="shared" ref="D17:M17" si="0">SUM(D10:D16)</f>
        <v>35.464999999999996</v>
      </c>
      <c r="E17" s="40">
        <f t="shared" si="0"/>
        <v>75.035000000000011</v>
      </c>
      <c r="F17" s="40">
        <f t="shared" si="0"/>
        <v>76.194999999999993</v>
      </c>
      <c r="G17" s="40">
        <f t="shared" si="0"/>
        <v>1132.8</v>
      </c>
      <c r="H17" s="40">
        <f t="shared" si="0"/>
        <v>241.52500000000001</v>
      </c>
      <c r="I17" s="40">
        <f t="shared" si="0"/>
        <v>0.92999999999999994</v>
      </c>
      <c r="J17" s="40">
        <f t="shared" si="0"/>
        <v>35.814999999999998</v>
      </c>
      <c r="K17" s="40">
        <f t="shared" si="0"/>
        <v>600.375</v>
      </c>
      <c r="L17" s="40">
        <f t="shared" si="0"/>
        <v>643.30999999999995</v>
      </c>
      <c r="M17" s="40">
        <f t="shared" si="0"/>
        <v>7.6740000000000004</v>
      </c>
    </row>
    <row r="18" spans="1:13" ht="18.75" x14ac:dyDescent="0.25">
      <c r="A18" s="24"/>
      <c r="B18" s="11" t="s">
        <v>28</v>
      </c>
      <c r="C18" s="8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x14ac:dyDescent="0.25">
      <c r="A19" s="24">
        <v>81</v>
      </c>
      <c r="B19" s="7" t="s">
        <v>32</v>
      </c>
      <c r="C19" s="33">
        <v>250</v>
      </c>
      <c r="D19" s="17">
        <f>6.4*C19/1000</f>
        <v>1.6</v>
      </c>
      <c r="E19" s="17">
        <f>19.4*C19/1000</f>
        <v>4.8499999999999996</v>
      </c>
      <c r="F19" s="17">
        <f>34.3*C19/1000</f>
        <v>8.5749999999999993</v>
      </c>
      <c r="G19" s="17">
        <f>365*C19/1000</f>
        <v>91.25</v>
      </c>
      <c r="H19" s="17">
        <f>0</f>
        <v>0</v>
      </c>
      <c r="I19" s="17">
        <f>0.1*C19/1000</f>
        <v>2.5000000000000001E-2</v>
      </c>
      <c r="J19" s="17">
        <f>43.7*C19/1000</f>
        <v>10.925000000000001</v>
      </c>
      <c r="K19" s="17">
        <f>210.1*C19/1000</f>
        <v>52.524999999999999</v>
      </c>
      <c r="L19" s="17">
        <f>184.4*C19/1000</f>
        <v>46.1</v>
      </c>
      <c r="M19" s="17">
        <f>4.4*C19/1000</f>
        <v>1.1000000000000001</v>
      </c>
    </row>
    <row r="20" spans="1:13" x14ac:dyDescent="0.25">
      <c r="A20" s="24">
        <v>310</v>
      </c>
      <c r="B20" s="7" t="s">
        <v>53</v>
      </c>
      <c r="C20" s="33">
        <v>200</v>
      </c>
      <c r="D20" s="17">
        <f>19.1*C20/1000</f>
        <v>3.8200000000000003</v>
      </c>
      <c r="E20" s="17">
        <f>28.8*C20/1000</f>
        <v>5.76</v>
      </c>
      <c r="F20" s="17">
        <f>153.4*C20/1000</f>
        <v>30.68</v>
      </c>
      <c r="G20" s="17">
        <f>949*C20/1000</f>
        <v>189.8</v>
      </c>
      <c r="H20" s="17">
        <f>0</f>
        <v>0</v>
      </c>
      <c r="I20" s="17">
        <f>1*C20/1000</f>
        <v>0.2</v>
      </c>
      <c r="J20" s="17">
        <f>140*C20/1000</f>
        <v>28</v>
      </c>
      <c r="K20" s="17">
        <f>97.6*C20/1000</f>
        <v>19.52</v>
      </c>
      <c r="L20" s="17">
        <f>531.5*C20/1000</f>
        <v>106.3</v>
      </c>
      <c r="M20" s="17">
        <f>7.7*C20/1000</f>
        <v>1.54</v>
      </c>
    </row>
    <row r="21" spans="1:13" x14ac:dyDescent="0.25">
      <c r="A21" s="61">
        <v>234</v>
      </c>
      <c r="B21" s="60" t="s">
        <v>90</v>
      </c>
      <c r="C21" s="62">
        <v>100</v>
      </c>
      <c r="D21" s="63">
        <v>9.75</v>
      </c>
      <c r="E21" s="63">
        <v>4.95</v>
      </c>
      <c r="F21" s="63">
        <v>3.8</v>
      </c>
      <c r="G21" s="63">
        <v>105</v>
      </c>
      <c r="H21" s="63">
        <v>5.82</v>
      </c>
      <c r="I21" s="63">
        <v>0.05</v>
      </c>
      <c r="J21" s="63">
        <v>3.7299999999999995</v>
      </c>
      <c r="K21" s="63">
        <v>39.07</v>
      </c>
      <c r="L21" s="63">
        <v>162.19</v>
      </c>
      <c r="M21" s="63">
        <v>0.85</v>
      </c>
    </row>
    <row r="22" spans="1:13" x14ac:dyDescent="0.25">
      <c r="A22" s="24">
        <v>379</v>
      </c>
      <c r="B22" s="7" t="s">
        <v>80</v>
      </c>
      <c r="C22" s="33">
        <v>207</v>
      </c>
      <c r="D22" s="28">
        <f>15.8*C22/1000</f>
        <v>3.2706000000000004</v>
      </c>
      <c r="E22" s="28">
        <f>13.4*C22/1000</f>
        <v>2.7738</v>
      </c>
      <c r="F22" s="28">
        <f>79.7*C22/1000</f>
        <v>16.497900000000001</v>
      </c>
      <c r="G22" s="28">
        <f>503*C22/1000</f>
        <v>104.121</v>
      </c>
      <c r="H22" s="28">
        <f>100*C22/1000</f>
        <v>20.7</v>
      </c>
      <c r="I22" s="28">
        <f>0.22*C22/1000</f>
        <v>4.5539999999999997E-2</v>
      </c>
      <c r="J22" s="28">
        <f>6.5*C22/1000</f>
        <v>1.3454999999999999</v>
      </c>
      <c r="K22" s="28">
        <f>628.9*C22/1000</f>
        <v>130.1823</v>
      </c>
      <c r="L22" s="28">
        <f>450*C22/1000</f>
        <v>93.15</v>
      </c>
      <c r="M22" s="28">
        <f>0.7*C22/1000</f>
        <v>0.14489999999999997</v>
      </c>
    </row>
    <row r="23" spans="1:13" x14ac:dyDescent="0.25">
      <c r="A23" s="6" t="s">
        <v>26</v>
      </c>
      <c r="B23" s="7" t="s">
        <v>3</v>
      </c>
      <c r="C23" s="33">
        <v>50</v>
      </c>
      <c r="D23" s="17">
        <f>107*C23/1000</f>
        <v>5.35</v>
      </c>
      <c r="E23" s="17">
        <f>45*C23/1000</f>
        <v>2.25</v>
      </c>
      <c r="F23" s="17">
        <f>435*C23/1000</f>
        <v>21.75</v>
      </c>
      <c r="G23" s="17">
        <f>2740*C23/1000</f>
        <v>137</v>
      </c>
      <c r="H23" s="17">
        <f>0</f>
        <v>0</v>
      </c>
      <c r="I23" s="17">
        <f>4.1*C23/1000</f>
        <v>0.20499999999999996</v>
      </c>
      <c r="J23" s="17">
        <f>2*C23/1000</f>
        <v>0.1</v>
      </c>
      <c r="K23" s="17">
        <f>1250*C23/1000</f>
        <v>62.5</v>
      </c>
      <c r="L23" s="17">
        <f>1290*C23/1000</f>
        <v>64.5</v>
      </c>
      <c r="M23" s="17">
        <f>36*C23/1000</f>
        <v>1.8</v>
      </c>
    </row>
    <row r="24" spans="1:13" x14ac:dyDescent="0.25">
      <c r="A24" s="12" t="s">
        <v>30</v>
      </c>
      <c r="B24" s="7" t="s">
        <v>0</v>
      </c>
      <c r="C24" s="33">
        <v>30</v>
      </c>
      <c r="D24" s="28">
        <f>85*C24/1000</f>
        <v>2.5499999999999998</v>
      </c>
      <c r="E24" s="28">
        <f>33*C24/1000</f>
        <v>0.99</v>
      </c>
      <c r="F24" s="28">
        <f>425*C24/1000</f>
        <v>12.75</v>
      </c>
      <c r="G24" s="28">
        <f>2590*C24/1000</f>
        <v>77.7</v>
      </c>
      <c r="H24" s="32">
        <f>0</f>
        <v>0</v>
      </c>
      <c r="I24" s="28">
        <f>4.3*C24/1000</f>
        <v>0.129</v>
      </c>
      <c r="J24" s="28">
        <f>4*C24/1000</f>
        <v>0.12</v>
      </c>
      <c r="K24" s="28">
        <f>730*C24/1000</f>
        <v>21.9</v>
      </c>
      <c r="L24" s="28">
        <f>1250*C24/1000</f>
        <v>37.5</v>
      </c>
      <c r="M24" s="28">
        <f>28.3*C24/1000</f>
        <v>0.84899999999999998</v>
      </c>
    </row>
    <row r="25" spans="1:13" x14ac:dyDescent="0.25">
      <c r="A25" s="24"/>
      <c r="B25" s="7"/>
      <c r="C25" s="33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x14ac:dyDescent="0.25">
      <c r="A26" s="24"/>
      <c r="B26" s="7"/>
      <c r="C26" s="33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x14ac:dyDescent="0.25">
      <c r="A27" s="25"/>
      <c r="B27" s="9" t="s">
        <v>27</v>
      </c>
      <c r="C27" s="10">
        <f>SUM(C19:C26)</f>
        <v>837</v>
      </c>
      <c r="D27" s="40">
        <f t="shared" ref="D27:M27" si="1">SUM(D19:D25)</f>
        <v>26.340599999999998</v>
      </c>
      <c r="E27" s="40">
        <f t="shared" si="1"/>
        <v>21.573799999999999</v>
      </c>
      <c r="F27" s="40">
        <f t="shared" si="1"/>
        <v>94.052899999999994</v>
      </c>
      <c r="G27" s="40">
        <f t="shared" si="1"/>
        <v>704.87100000000009</v>
      </c>
      <c r="H27" s="40">
        <f t="shared" si="1"/>
        <v>26.52</v>
      </c>
      <c r="I27" s="40">
        <f t="shared" si="1"/>
        <v>0.65454000000000001</v>
      </c>
      <c r="J27" s="40">
        <f t="shared" si="1"/>
        <v>44.220499999999994</v>
      </c>
      <c r="K27" s="40">
        <f t="shared" si="1"/>
        <v>325.69729999999998</v>
      </c>
      <c r="L27" s="40">
        <f t="shared" si="1"/>
        <v>509.74</v>
      </c>
      <c r="M27" s="40">
        <f t="shared" si="1"/>
        <v>6.2839</v>
      </c>
    </row>
    <row r="28" spans="1:13" ht="18.75" x14ac:dyDescent="0.25">
      <c r="A28" s="25"/>
      <c r="B28" s="14" t="s">
        <v>31</v>
      </c>
      <c r="C28" s="13">
        <f t="shared" ref="C28:M28" si="2">C17+C27</f>
        <v>1487</v>
      </c>
      <c r="D28" s="41">
        <f t="shared" si="2"/>
        <v>61.805599999999998</v>
      </c>
      <c r="E28" s="41">
        <f t="shared" si="2"/>
        <v>96.608800000000002</v>
      </c>
      <c r="F28" s="41">
        <f t="shared" si="2"/>
        <v>170.24789999999999</v>
      </c>
      <c r="G28" s="41">
        <f t="shared" si="2"/>
        <v>1837.671</v>
      </c>
      <c r="H28" s="41">
        <f t="shared" si="2"/>
        <v>268.04500000000002</v>
      </c>
      <c r="I28" s="41">
        <f t="shared" si="2"/>
        <v>1.5845400000000001</v>
      </c>
      <c r="J28" s="41">
        <f t="shared" si="2"/>
        <v>80.035499999999985</v>
      </c>
      <c r="K28" s="41">
        <f t="shared" si="2"/>
        <v>926.07230000000004</v>
      </c>
      <c r="L28" s="41">
        <f t="shared" si="2"/>
        <v>1153.05</v>
      </c>
      <c r="M28" s="41">
        <f t="shared" si="2"/>
        <v>13.9579</v>
      </c>
    </row>
    <row r="29" spans="1:13" ht="18" customHeight="1" x14ac:dyDescent="0.25">
      <c r="A29" s="15"/>
      <c r="B29" s="16" t="s">
        <v>68</v>
      </c>
      <c r="C29" s="17">
        <v>1350</v>
      </c>
      <c r="D29" s="18">
        <v>45</v>
      </c>
      <c r="E29" s="18">
        <v>46</v>
      </c>
      <c r="F29" s="18">
        <v>192</v>
      </c>
      <c r="G29" s="18">
        <v>1360</v>
      </c>
      <c r="H29" s="18">
        <v>450</v>
      </c>
      <c r="I29" s="18">
        <v>0.7</v>
      </c>
      <c r="J29" s="18">
        <v>35</v>
      </c>
      <c r="K29" s="18">
        <v>600</v>
      </c>
      <c r="L29" s="18">
        <v>600</v>
      </c>
      <c r="M29" s="18">
        <v>9</v>
      </c>
    </row>
    <row r="34" spans="1:13" ht="73.150000000000006" customHeight="1" x14ac:dyDescent="0.25">
      <c r="A34" s="34"/>
      <c r="B34" s="34"/>
      <c r="C34" s="34"/>
      <c r="D34" s="35"/>
      <c r="E34" s="35"/>
      <c r="F34" s="35"/>
      <c r="G34" s="49"/>
      <c r="H34" s="35"/>
      <c r="I34" s="35"/>
      <c r="J34" s="36"/>
      <c r="K34" s="36"/>
      <c r="L34" s="36"/>
      <c r="M34" s="36"/>
    </row>
    <row r="35" spans="1:13" x14ac:dyDescent="0.25">
      <c r="A35" s="34"/>
      <c r="B35" s="34"/>
      <c r="C35" s="34"/>
      <c r="D35" s="35"/>
      <c r="E35" s="35"/>
      <c r="F35" s="35"/>
      <c r="G35" s="49"/>
      <c r="H35" s="35"/>
      <c r="I35" s="35"/>
      <c r="J35" s="36"/>
      <c r="K35" s="36"/>
      <c r="L35" s="36"/>
      <c r="M35" s="36"/>
    </row>
    <row r="36" spans="1:13" x14ac:dyDescent="0.25">
      <c r="A36" s="34"/>
      <c r="B36" s="34"/>
      <c r="C36" s="34"/>
      <c r="D36" s="35"/>
      <c r="E36" s="35"/>
      <c r="F36" s="35"/>
      <c r="G36" s="49"/>
      <c r="H36" s="88"/>
      <c r="I36" s="89"/>
      <c r="J36" s="89"/>
      <c r="K36" s="36"/>
      <c r="L36" s="36"/>
      <c r="M36" s="36"/>
    </row>
    <row r="37" spans="1:13" x14ac:dyDescent="0.25">
      <c r="A37" s="34"/>
      <c r="B37" s="34"/>
      <c r="C37" s="34"/>
      <c r="D37" s="35"/>
      <c r="E37" s="35"/>
      <c r="F37" s="35"/>
      <c r="G37" s="49"/>
      <c r="H37" s="35"/>
      <c r="I37" s="35"/>
      <c r="J37" s="36"/>
      <c r="K37" s="36"/>
      <c r="L37" s="36"/>
      <c r="M37" s="36"/>
    </row>
    <row r="38" spans="1:13" ht="18.75" x14ac:dyDescent="0.3">
      <c r="A38" s="37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</row>
    <row r="39" spans="1:13" ht="18.75" x14ac:dyDescent="0.3">
      <c r="A39" s="37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</row>
    <row r="40" spans="1:13" ht="18.75" x14ac:dyDescent="0.3">
      <c r="A40" s="37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</row>
    <row r="41" spans="1:13" ht="18.75" x14ac:dyDescent="0.3">
      <c r="A41" s="37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</row>
    <row r="42" spans="1:13" ht="1.9" customHeight="1" x14ac:dyDescent="0.3">
      <c r="A42" s="37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</row>
    <row r="43" spans="1:13" ht="18.75" hidden="1" x14ac:dyDescent="0.3">
      <c r="A43" s="37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</row>
    <row r="44" spans="1:13" ht="18.75" hidden="1" x14ac:dyDescent="0.3">
      <c r="A44" s="37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</row>
    <row r="45" spans="1:13" ht="18.75" hidden="1" x14ac:dyDescent="0.3">
      <c r="A45" s="37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</row>
    <row r="46" spans="1:13" ht="4.1500000000000004" hidden="1" customHeight="1" x14ac:dyDescent="0.3">
      <c r="A46" s="37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</row>
    <row r="47" spans="1:13" ht="18.75" hidden="1" x14ac:dyDescent="0.3">
      <c r="A47" s="37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</row>
    <row r="48" spans="1:13" ht="18.75" hidden="1" x14ac:dyDescent="0.3">
      <c r="A48" s="37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</row>
    <row r="49" spans="1:13" ht="18.75" hidden="1" x14ac:dyDescent="0.3">
      <c r="A49" s="37"/>
      <c r="B49" s="37"/>
      <c r="C49" s="37"/>
      <c r="D49" s="91"/>
      <c r="E49" s="91"/>
      <c r="F49" s="91"/>
      <c r="G49" s="91"/>
      <c r="H49" s="91"/>
      <c r="I49" s="39"/>
      <c r="J49" s="39"/>
      <c r="K49" s="39"/>
      <c r="L49" s="39"/>
      <c r="M49" s="38"/>
    </row>
    <row r="50" spans="1:13" ht="18.75" hidden="1" x14ac:dyDescent="0.3">
      <c r="A50" s="37"/>
      <c r="B50" s="37"/>
      <c r="C50" s="37"/>
      <c r="D50" s="38"/>
      <c r="E50" s="38"/>
      <c r="F50" s="38"/>
      <c r="G50" s="39"/>
      <c r="H50" s="38"/>
      <c r="I50" s="38"/>
      <c r="J50" s="38"/>
      <c r="K50" s="38"/>
      <c r="L50" s="38"/>
      <c r="M50" s="38"/>
    </row>
    <row r="51" spans="1:13" ht="18.75" hidden="1" x14ac:dyDescent="0.3">
      <c r="A51" s="37"/>
      <c r="B51" s="37"/>
      <c r="C51" s="37"/>
      <c r="D51" s="38"/>
      <c r="E51" s="38"/>
      <c r="F51" s="38"/>
      <c r="G51" s="39"/>
      <c r="H51" s="38"/>
      <c r="I51" s="38"/>
      <c r="J51" s="38"/>
      <c r="K51" s="38"/>
      <c r="L51" s="38"/>
      <c r="M51" s="38"/>
    </row>
  </sheetData>
  <mergeCells count="14">
    <mergeCell ref="H36:J36"/>
    <mergeCell ref="B38:M48"/>
    <mergeCell ref="D49:H49"/>
    <mergeCell ref="H6:J7"/>
    <mergeCell ref="C6:C8"/>
    <mergeCell ref="D6:F6"/>
    <mergeCell ref="G6:G8"/>
    <mergeCell ref="K6:M7"/>
    <mergeCell ref="D7:F7"/>
    <mergeCell ref="A3:B3"/>
    <mergeCell ref="A4:B4"/>
    <mergeCell ref="A5:B5"/>
    <mergeCell ref="A6:A8"/>
    <mergeCell ref="B6:B8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="80" zoomScaleNormal="80" workbookViewId="0">
      <selection activeCell="Q25" sqref="Q25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10" style="1" customWidth="1"/>
    <col min="4" max="6" width="9.28515625" style="1" customWidth="1"/>
    <col min="7" max="7" width="9.5703125" style="1" customWidth="1"/>
    <col min="8" max="8" width="8.7109375" style="1" customWidth="1"/>
    <col min="9" max="9" width="10.42578125" style="1" customWidth="1"/>
    <col min="10" max="10" width="9.28515625" style="1" customWidth="1"/>
    <col min="11" max="11" width="8.5703125" style="1" customWidth="1"/>
    <col min="12" max="13" width="9.28515625" style="1" customWidth="1"/>
    <col min="14" max="16384" width="9.140625" style="1"/>
  </cols>
  <sheetData>
    <row r="1" spans="1:13" ht="15.95" customHeight="1" x14ac:dyDescent="0.25">
      <c r="A1" s="19"/>
      <c r="B1" s="20"/>
      <c r="C1" s="21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spans="1:13" ht="15.95" customHeight="1" x14ac:dyDescent="0.25">
      <c r="A2" s="19"/>
      <c r="B2" s="20"/>
      <c r="C2" s="21"/>
      <c r="D2" s="22"/>
      <c r="E2" s="22"/>
      <c r="F2" s="22"/>
      <c r="G2" s="22"/>
      <c r="H2" s="22"/>
      <c r="I2" s="23"/>
      <c r="J2" s="22"/>
      <c r="K2" s="22"/>
      <c r="L2" s="22"/>
      <c r="M2" s="22"/>
    </row>
    <row r="3" spans="1:13" ht="12.6" customHeight="1" x14ac:dyDescent="0.25">
      <c r="A3" s="19"/>
      <c r="B3" s="20"/>
      <c r="C3" s="21"/>
      <c r="D3" s="22"/>
      <c r="E3" s="22"/>
      <c r="F3" s="22"/>
      <c r="G3" s="22"/>
      <c r="H3" s="22"/>
      <c r="I3" s="23"/>
      <c r="J3" s="22"/>
      <c r="K3" s="22"/>
      <c r="L3" s="22"/>
      <c r="M3" s="22"/>
    </row>
    <row r="4" spans="1:13" ht="30.6" hidden="1" customHeight="1" x14ac:dyDescent="0.25"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x14ac:dyDescent="0.25">
      <c r="A5" s="70" t="s">
        <v>59</v>
      </c>
      <c r="B5" s="71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25">
      <c r="A6" s="70" t="s">
        <v>8</v>
      </c>
      <c r="B6" s="71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15.75" thickBot="1" x14ac:dyDescent="0.3">
      <c r="A7" s="72" t="s">
        <v>71</v>
      </c>
      <c r="B7" s="73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 x14ac:dyDescent="0.25">
      <c r="A8" s="74" t="s">
        <v>9</v>
      </c>
      <c r="B8" s="74" t="s">
        <v>10</v>
      </c>
      <c r="C8" s="74" t="s">
        <v>11</v>
      </c>
      <c r="D8" s="64" t="s">
        <v>12</v>
      </c>
      <c r="E8" s="65"/>
      <c r="F8" s="66"/>
      <c r="G8" s="79" t="s">
        <v>13</v>
      </c>
      <c r="H8" s="64" t="s">
        <v>14</v>
      </c>
      <c r="I8" s="65"/>
      <c r="J8" s="66"/>
      <c r="K8" s="64" t="s">
        <v>15</v>
      </c>
      <c r="L8" s="65"/>
      <c r="M8" s="66"/>
    </row>
    <row r="9" spans="1:13" ht="15.75" thickBot="1" x14ac:dyDescent="0.3">
      <c r="A9" s="75"/>
      <c r="B9" s="77"/>
      <c r="C9" s="77"/>
      <c r="D9" s="67" t="s">
        <v>16</v>
      </c>
      <c r="E9" s="68"/>
      <c r="F9" s="69"/>
      <c r="G9" s="80"/>
      <c r="H9" s="67"/>
      <c r="I9" s="68"/>
      <c r="J9" s="69"/>
      <c r="K9" s="67"/>
      <c r="L9" s="68"/>
      <c r="M9" s="69"/>
    </row>
    <row r="10" spans="1:13" ht="17.25" thickBot="1" x14ac:dyDescent="0.3">
      <c r="A10" s="76"/>
      <c r="B10" s="78"/>
      <c r="C10" s="78"/>
      <c r="D10" s="30" t="s">
        <v>17</v>
      </c>
      <c r="E10" s="30" t="s">
        <v>18</v>
      </c>
      <c r="F10" s="30" t="s">
        <v>19</v>
      </c>
      <c r="G10" s="81"/>
      <c r="H10" s="30" t="s">
        <v>20</v>
      </c>
      <c r="I10" s="30" t="s">
        <v>41</v>
      </c>
      <c r="J10" s="30" t="s">
        <v>22</v>
      </c>
      <c r="K10" s="30" t="s">
        <v>23</v>
      </c>
      <c r="L10" s="30" t="s">
        <v>40</v>
      </c>
      <c r="M10" s="30" t="s">
        <v>24</v>
      </c>
    </row>
    <row r="11" spans="1:13" ht="18.75" x14ac:dyDescent="0.25">
      <c r="A11" s="3"/>
      <c r="B11" s="4" t="s">
        <v>25</v>
      </c>
      <c r="C11" s="5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3" ht="30" x14ac:dyDescent="0.25">
      <c r="A12" s="24">
        <v>218</v>
      </c>
      <c r="B12" s="48" t="s">
        <v>78</v>
      </c>
      <c r="C12" s="33">
        <v>160</v>
      </c>
      <c r="D12" s="17">
        <f>148.3*C12/1000</f>
        <v>23.728000000000002</v>
      </c>
      <c r="E12" s="17">
        <f>70.4*C12/1000</f>
        <v>11.263999999999999</v>
      </c>
      <c r="F12" s="17">
        <f>237.4*C12/1000</f>
        <v>37.984000000000002</v>
      </c>
      <c r="G12" s="17">
        <f>2180*C12/1000</f>
        <v>348.8</v>
      </c>
      <c r="H12" s="17">
        <f>501*C12/1000</f>
        <v>80.16</v>
      </c>
      <c r="I12" s="17">
        <f>0.4*C12/1000</f>
        <v>6.4000000000000001E-2</v>
      </c>
      <c r="J12" s="17">
        <f>1.9*C12/1000</f>
        <v>0.30399999999999999</v>
      </c>
      <c r="K12" s="17">
        <f>974.1*C12/1000</f>
        <v>155.85599999999999</v>
      </c>
      <c r="L12" s="17">
        <f>1400*C12/1000</f>
        <v>224</v>
      </c>
      <c r="M12" s="17">
        <f>4*C12/1000</f>
        <v>0.64</v>
      </c>
    </row>
    <row r="13" spans="1:13" x14ac:dyDescent="0.25">
      <c r="A13" s="6">
        <v>338</v>
      </c>
      <c r="B13" s="7" t="s">
        <v>47</v>
      </c>
      <c r="C13" s="33">
        <v>100</v>
      </c>
      <c r="D13" s="17">
        <f>4*C13/1000</f>
        <v>0.4</v>
      </c>
      <c r="E13" s="17">
        <f>4*C13/1000</f>
        <v>0.4</v>
      </c>
      <c r="F13" s="17">
        <f>98*C13/1000</f>
        <v>9.8000000000000007</v>
      </c>
      <c r="G13" s="17">
        <f>470*C13/1000</f>
        <v>47</v>
      </c>
      <c r="H13" s="17">
        <f>0</f>
        <v>0</v>
      </c>
      <c r="I13" s="17">
        <f>0.3*C13/1000</f>
        <v>0.03</v>
      </c>
      <c r="J13" s="17">
        <f>100*C13/1000</f>
        <v>10</v>
      </c>
      <c r="K13" s="17">
        <f>160*C13/1000</f>
        <v>16</v>
      </c>
      <c r="L13" s="17">
        <f>110*C13/1000</f>
        <v>11</v>
      </c>
      <c r="M13" s="17">
        <f>22*C13/1000</f>
        <v>2.2000000000000002</v>
      </c>
    </row>
    <row r="14" spans="1:13" x14ac:dyDescent="0.25">
      <c r="A14" s="24">
        <v>379</v>
      </c>
      <c r="B14" s="7" t="s">
        <v>83</v>
      </c>
      <c r="C14" s="33">
        <v>200</v>
      </c>
      <c r="D14" s="28">
        <f>15.8*C14/1000</f>
        <v>3.16</v>
      </c>
      <c r="E14" s="28">
        <f>13.4*C14/1000</f>
        <v>2.68</v>
      </c>
      <c r="F14" s="28">
        <f>79.7*C14/1000</f>
        <v>15.94</v>
      </c>
      <c r="G14" s="28">
        <f>503*C14/1000</f>
        <v>100.6</v>
      </c>
      <c r="H14" s="28">
        <f>100*C14/1000</f>
        <v>20</v>
      </c>
      <c r="I14" s="28">
        <f>0.22*C14/1000</f>
        <v>4.3999999999999997E-2</v>
      </c>
      <c r="J14" s="28">
        <f>6.5*C14/1000</f>
        <v>1.3</v>
      </c>
      <c r="K14" s="28">
        <f>628.9*C14/1000</f>
        <v>125.78</v>
      </c>
      <c r="L14" s="28">
        <f>450*C14/1000</f>
        <v>90</v>
      </c>
      <c r="M14" s="28">
        <f>0.7*C14/1000</f>
        <v>0.14000000000000001</v>
      </c>
    </row>
    <row r="15" spans="1:13" x14ac:dyDescent="0.25">
      <c r="A15" s="24" t="s">
        <v>26</v>
      </c>
      <c r="B15" s="7" t="s">
        <v>3</v>
      </c>
      <c r="C15" s="33">
        <v>50</v>
      </c>
      <c r="D15" s="17">
        <f>107*C15/1000</f>
        <v>5.35</v>
      </c>
      <c r="E15" s="17">
        <f>45*C15/1000</f>
        <v>2.25</v>
      </c>
      <c r="F15" s="17">
        <f>435*C15/1000</f>
        <v>21.75</v>
      </c>
      <c r="G15" s="17">
        <f>2740*C15/1000</f>
        <v>137</v>
      </c>
      <c r="H15" s="17">
        <f>0</f>
        <v>0</v>
      </c>
      <c r="I15" s="17">
        <f>4.1*C15/1000</f>
        <v>0.20499999999999996</v>
      </c>
      <c r="J15" s="17">
        <f>2*C15/1000</f>
        <v>0.1</v>
      </c>
      <c r="K15" s="17">
        <f>1250*C15/1000</f>
        <v>62.5</v>
      </c>
      <c r="L15" s="17">
        <f>1290*C15/1000</f>
        <v>64.5</v>
      </c>
      <c r="M15" s="17">
        <f>36*C15/1000</f>
        <v>1.8</v>
      </c>
    </row>
    <row r="16" spans="1:13" x14ac:dyDescent="0.25">
      <c r="A16" s="12" t="s">
        <v>30</v>
      </c>
      <c r="B16" s="7" t="s">
        <v>0</v>
      </c>
      <c r="C16" s="33">
        <v>30</v>
      </c>
      <c r="D16" s="28">
        <f>85*C16/1000</f>
        <v>2.5499999999999998</v>
      </c>
      <c r="E16" s="28">
        <f>33*C16/1000</f>
        <v>0.99</v>
      </c>
      <c r="F16" s="28">
        <f>425*C16/1000</f>
        <v>12.75</v>
      </c>
      <c r="G16" s="28">
        <f>2590*C16/1000</f>
        <v>77.7</v>
      </c>
      <c r="H16" s="32">
        <f>0</f>
        <v>0</v>
      </c>
      <c r="I16" s="28">
        <f>4.3*C16/1000</f>
        <v>0.129</v>
      </c>
      <c r="J16" s="28">
        <f>4*C16/1000</f>
        <v>0.12</v>
      </c>
      <c r="K16" s="28">
        <f>730*C16/1000</f>
        <v>21.9</v>
      </c>
      <c r="L16" s="28">
        <f>1250*C16/1000</f>
        <v>37.5</v>
      </c>
      <c r="M16" s="28">
        <f>28.3*C16/1000</f>
        <v>0.84899999999999998</v>
      </c>
    </row>
    <row r="17" spans="1:13" x14ac:dyDescent="0.25">
      <c r="A17" s="24"/>
      <c r="B17" s="9" t="s">
        <v>27</v>
      </c>
      <c r="C17" s="10">
        <f>SUM(C12:C16)</f>
        <v>540</v>
      </c>
      <c r="D17" s="40">
        <f t="shared" ref="D17:M17" si="0">SUM(D12:D16)</f>
        <v>35.187999999999995</v>
      </c>
      <c r="E17" s="40">
        <f t="shared" si="0"/>
        <v>17.584</v>
      </c>
      <c r="F17" s="40">
        <f t="shared" si="0"/>
        <v>98.224000000000004</v>
      </c>
      <c r="G17" s="40">
        <f t="shared" si="0"/>
        <v>711.1</v>
      </c>
      <c r="H17" s="40">
        <f t="shared" si="0"/>
        <v>100.16</v>
      </c>
      <c r="I17" s="40">
        <f t="shared" si="0"/>
        <v>0.47199999999999998</v>
      </c>
      <c r="J17" s="40">
        <f t="shared" si="0"/>
        <v>11.824</v>
      </c>
      <c r="K17" s="40">
        <f t="shared" si="0"/>
        <v>382.03599999999994</v>
      </c>
      <c r="L17" s="40">
        <f t="shared" si="0"/>
        <v>427</v>
      </c>
      <c r="M17" s="40">
        <f t="shared" si="0"/>
        <v>5.6290000000000004</v>
      </c>
    </row>
    <row r="18" spans="1:13" ht="18.75" x14ac:dyDescent="0.25">
      <c r="A18" s="24"/>
      <c r="B18" s="11" t="s">
        <v>28</v>
      </c>
      <c r="C18" s="8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x14ac:dyDescent="0.25">
      <c r="A19" s="6">
        <v>67</v>
      </c>
      <c r="B19" s="7" t="s">
        <v>63</v>
      </c>
      <c r="C19" s="33">
        <v>100</v>
      </c>
      <c r="D19" s="17">
        <v>0.51200000000000001</v>
      </c>
      <c r="E19" s="17">
        <v>1.552</v>
      </c>
      <c r="F19" s="17">
        <v>2.7440000000000002</v>
      </c>
      <c r="G19" s="17">
        <v>29.2</v>
      </c>
      <c r="H19" s="17">
        <v>0</v>
      </c>
      <c r="I19" s="17">
        <v>8.0000000000000002E-3</v>
      </c>
      <c r="J19" s="17">
        <v>3.496</v>
      </c>
      <c r="K19" s="17">
        <v>16.808</v>
      </c>
      <c r="L19" s="17">
        <v>14.752000000000001</v>
      </c>
      <c r="M19" s="17">
        <v>0.35199999999999998</v>
      </c>
    </row>
    <row r="20" spans="1:13" x14ac:dyDescent="0.25">
      <c r="A20" s="24">
        <v>96</v>
      </c>
      <c r="B20" s="7" t="s">
        <v>6</v>
      </c>
      <c r="C20" s="33">
        <v>250</v>
      </c>
      <c r="D20" s="17">
        <f>8.1*C20/1000</f>
        <v>2.0249999999999999</v>
      </c>
      <c r="E20" s="17">
        <f>20.4*C20/1000</f>
        <v>5.0999999999999996</v>
      </c>
      <c r="F20" s="17">
        <f>47.9*C20/1000</f>
        <v>11.975</v>
      </c>
      <c r="G20" s="17">
        <f>429*C20/1000</f>
        <v>107.25</v>
      </c>
      <c r="H20" s="17">
        <f>0</f>
        <v>0</v>
      </c>
      <c r="I20" s="17">
        <f>0.4*C20/1000</f>
        <v>0.1</v>
      </c>
      <c r="J20" s="17">
        <f>33.5*C20/1000</f>
        <v>8.375</v>
      </c>
      <c r="K20" s="17">
        <f>116.6*C20/1000</f>
        <v>29.15</v>
      </c>
      <c r="L20" s="17">
        <f>226.9*C20/1000</f>
        <v>56.725000000000001</v>
      </c>
      <c r="M20" s="17">
        <f>3.7*C20/1000</f>
        <v>0.92500000000000004</v>
      </c>
    </row>
    <row r="21" spans="1:13" x14ac:dyDescent="0.25">
      <c r="A21" s="24">
        <v>171</v>
      </c>
      <c r="B21" s="7" t="s">
        <v>81</v>
      </c>
      <c r="C21" s="33">
        <v>200</v>
      </c>
      <c r="D21" s="46">
        <v>8.85</v>
      </c>
      <c r="E21" s="46">
        <v>9.5500000000000007</v>
      </c>
      <c r="F21" s="46">
        <v>39.86</v>
      </c>
      <c r="G21" s="46">
        <v>280</v>
      </c>
      <c r="H21" s="46">
        <v>0.21</v>
      </c>
      <c r="I21" s="46">
        <v>0.12</v>
      </c>
      <c r="J21" s="46">
        <v>0</v>
      </c>
      <c r="K21" s="46">
        <v>26.39</v>
      </c>
      <c r="L21" s="46">
        <v>140.52000000000001</v>
      </c>
      <c r="M21" s="46">
        <v>4.7300000000000004</v>
      </c>
    </row>
    <row r="22" spans="1:13" x14ac:dyDescent="0.25">
      <c r="A22" s="25">
        <v>260</v>
      </c>
      <c r="B22" s="7" t="s">
        <v>77</v>
      </c>
      <c r="C22" s="33">
        <v>120</v>
      </c>
      <c r="D22" s="46">
        <v>8.25</v>
      </c>
      <c r="E22" s="46">
        <v>12.1</v>
      </c>
      <c r="F22" s="46">
        <v>7.16</v>
      </c>
      <c r="G22" s="46">
        <v>172</v>
      </c>
      <c r="H22" s="46">
        <v>27.89</v>
      </c>
      <c r="I22" s="46">
        <v>1.4</v>
      </c>
      <c r="J22" s="46">
        <v>0.04</v>
      </c>
      <c r="K22" s="46">
        <v>0.08</v>
      </c>
      <c r="L22" s="46">
        <v>0.17</v>
      </c>
      <c r="M22" s="46">
        <v>0</v>
      </c>
    </row>
    <row r="23" spans="1:13" x14ac:dyDescent="0.25">
      <c r="A23" s="6" t="s">
        <v>26</v>
      </c>
      <c r="B23" s="7" t="s">
        <v>3</v>
      </c>
      <c r="C23" s="33">
        <v>50</v>
      </c>
      <c r="D23" s="17">
        <f>107*C23/1000</f>
        <v>5.35</v>
      </c>
      <c r="E23" s="17">
        <f>45*C23/1000</f>
        <v>2.25</v>
      </c>
      <c r="F23" s="17">
        <f>435*C23/1000</f>
        <v>21.75</v>
      </c>
      <c r="G23" s="17">
        <f>2740*C23/1000</f>
        <v>137</v>
      </c>
      <c r="H23" s="17">
        <f>0</f>
        <v>0</v>
      </c>
      <c r="I23" s="17">
        <f>4.1*C23/1000</f>
        <v>0.20499999999999996</v>
      </c>
      <c r="J23" s="17">
        <f>2*C23/1000</f>
        <v>0.1</v>
      </c>
      <c r="K23" s="17">
        <f>1250*C23/1000</f>
        <v>62.5</v>
      </c>
      <c r="L23" s="17">
        <f>1290*C23/1000</f>
        <v>64.5</v>
      </c>
      <c r="M23" s="17">
        <f>36*C23/1000</f>
        <v>1.8</v>
      </c>
    </row>
    <row r="24" spans="1:13" x14ac:dyDescent="0.25">
      <c r="A24" s="12" t="s">
        <v>30</v>
      </c>
      <c r="B24" s="7" t="s">
        <v>0</v>
      </c>
      <c r="C24" s="33">
        <v>30</v>
      </c>
      <c r="D24" s="28">
        <f>85*C24/1000</f>
        <v>2.5499999999999998</v>
      </c>
      <c r="E24" s="28">
        <f>33*C24/1000</f>
        <v>0.99</v>
      </c>
      <c r="F24" s="28">
        <f>425*C24/1000</f>
        <v>12.75</v>
      </c>
      <c r="G24" s="28">
        <f>2590*C24/1000</f>
        <v>77.7</v>
      </c>
      <c r="H24" s="32">
        <f>0</f>
        <v>0</v>
      </c>
      <c r="I24" s="28">
        <f>4.3*C24/1000</f>
        <v>0.129</v>
      </c>
      <c r="J24" s="28">
        <f>4*C24/1000</f>
        <v>0.12</v>
      </c>
      <c r="K24" s="28">
        <f>730*C24/1000</f>
        <v>21.9</v>
      </c>
      <c r="L24" s="28">
        <f>1250*C24/1000</f>
        <v>37.5</v>
      </c>
      <c r="M24" s="28">
        <f>28.3*C24/1000</f>
        <v>0.84899999999999998</v>
      </c>
    </row>
    <row r="25" spans="1:13" x14ac:dyDescent="0.25">
      <c r="A25" s="24">
        <v>386</v>
      </c>
      <c r="B25" s="7" t="s">
        <v>55</v>
      </c>
      <c r="C25" s="33">
        <v>200</v>
      </c>
      <c r="D25" s="17">
        <f>5*C25/1000</f>
        <v>1</v>
      </c>
      <c r="E25" s="17">
        <f>0</f>
        <v>0</v>
      </c>
      <c r="F25" s="17">
        <f>101*C25/1000</f>
        <v>20.2</v>
      </c>
      <c r="G25" s="17">
        <f>424*C25/1000</f>
        <v>84.8</v>
      </c>
      <c r="H25" s="17">
        <f>0</f>
        <v>0</v>
      </c>
      <c r="I25" s="17">
        <f>0.1*C25/1000</f>
        <v>0.02</v>
      </c>
      <c r="J25" s="17">
        <f>20*C25/1000</f>
        <v>4</v>
      </c>
      <c r="K25" s="17">
        <f>70*C25/1000</f>
        <v>14</v>
      </c>
      <c r="L25" s="17">
        <f>70*C25/1000</f>
        <v>14</v>
      </c>
      <c r="M25" s="17">
        <f>14*C25/1000</f>
        <v>2.8</v>
      </c>
    </row>
    <row r="26" spans="1:13" x14ac:dyDescent="0.25">
      <c r="A26" s="24"/>
      <c r="B26" s="7"/>
      <c r="C26" s="33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x14ac:dyDescent="0.25">
      <c r="A27" s="25"/>
      <c r="B27" s="9" t="s">
        <v>27</v>
      </c>
      <c r="C27" s="10">
        <f>SUM(C19:C26)</f>
        <v>950</v>
      </c>
      <c r="D27" s="40">
        <f t="shared" ref="D27:M27" si="1">SUM(D19:D26)</f>
        <v>28.537000000000003</v>
      </c>
      <c r="E27" s="40">
        <f t="shared" si="1"/>
        <v>31.541999999999998</v>
      </c>
      <c r="F27" s="40">
        <f t="shared" si="1"/>
        <v>116.43900000000001</v>
      </c>
      <c r="G27" s="40">
        <f t="shared" si="1"/>
        <v>887.95</v>
      </c>
      <c r="H27" s="40">
        <f t="shared" si="1"/>
        <v>28.1</v>
      </c>
      <c r="I27" s="40">
        <f t="shared" si="1"/>
        <v>1.9819999999999998</v>
      </c>
      <c r="J27" s="40">
        <f t="shared" si="1"/>
        <v>16.131</v>
      </c>
      <c r="K27" s="40">
        <f t="shared" si="1"/>
        <v>170.828</v>
      </c>
      <c r="L27" s="40">
        <f t="shared" si="1"/>
        <v>328.16700000000003</v>
      </c>
      <c r="M27" s="40">
        <f t="shared" si="1"/>
        <v>11.456</v>
      </c>
    </row>
    <row r="28" spans="1:13" ht="18.75" x14ac:dyDescent="0.25">
      <c r="A28" s="25"/>
      <c r="B28" s="14" t="s">
        <v>31</v>
      </c>
      <c r="C28" s="13">
        <f t="shared" ref="C28:M28" si="2">C17+C27</f>
        <v>1490</v>
      </c>
      <c r="D28" s="41">
        <f t="shared" si="2"/>
        <v>63.724999999999994</v>
      </c>
      <c r="E28" s="41">
        <f t="shared" si="2"/>
        <v>49.125999999999998</v>
      </c>
      <c r="F28" s="41">
        <f t="shared" si="2"/>
        <v>214.66300000000001</v>
      </c>
      <c r="G28" s="41">
        <f t="shared" si="2"/>
        <v>1599.0500000000002</v>
      </c>
      <c r="H28" s="41">
        <f t="shared" si="2"/>
        <v>128.26</v>
      </c>
      <c r="I28" s="41">
        <f t="shared" si="2"/>
        <v>2.4539999999999997</v>
      </c>
      <c r="J28" s="41">
        <f t="shared" si="2"/>
        <v>27.954999999999998</v>
      </c>
      <c r="K28" s="41">
        <f t="shared" si="2"/>
        <v>552.86399999999992</v>
      </c>
      <c r="L28" s="41">
        <f t="shared" si="2"/>
        <v>755.16700000000003</v>
      </c>
      <c r="M28" s="41">
        <f t="shared" si="2"/>
        <v>17.085000000000001</v>
      </c>
    </row>
    <row r="29" spans="1:13" ht="18.75" customHeight="1" x14ac:dyDescent="0.25">
      <c r="A29" s="15"/>
      <c r="B29" s="16" t="s">
        <v>68</v>
      </c>
      <c r="C29" s="17">
        <v>1350</v>
      </c>
      <c r="D29" s="18">
        <v>45</v>
      </c>
      <c r="E29" s="18">
        <v>46</v>
      </c>
      <c r="F29" s="18">
        <v>192</v>
      </c>
      <c r="G29" s="18">
        <v>1360</v>
      </c>
      <c r="H29" s="18">
        <v>450</v>
      </c>
      <c r="I29" s="18">
        <v>0.7</v>
      </c>
      <c r="J29" s="18">
        <v>35</v>
      </c>
      <c r="K29" s="18">
        <v>600</v>
      </c>
      <c r="L29" s="18">
        <v>600</v>
      </c>
      <c r="M29" s="18">
        <v>9</v>
      </c>
    </row>
    <row r="30" spans="1:13" ht="58.15" customHeight="1" x14ac:dyDescent="0.25">
      <c r="A30" s="26"/>
      <c r="B30" s="20"/>
      <c r="C30" s="27"/>
      <c r="D30" s="22"/>
      <c r="E30" s="22"/>
      <c r="F30" s="22"/>
      <c r="G30" s="22"/>
      <c r="H30" s="22"/>
      <c r="I30" s="23"/>
      <c r="J30" s="22"/>
      <c r="K30" s="22"/>
      <c r="L30" s="22"/>
      <c r="M30" s="22"/>
    </row>
    <row r="31" spans="1:13" ht="14.45" hidden="1" customHeight="1" x14ac:dyDescent="0.25">
      <c r="A31" s="26"/>
      <c r="B31" s="20"/>
      <c r="C31" s="27"/>
      <c r="D31" s="22"/>
      <c r="E31" s="22"/>
      <c r="F31" s="22"/>
      <c r="G31" s="22"/>
      <c r="H31" s="22"/>
      <c r="I31" s="23"/>
      <c r="J31" s="22"/>
      <c r="K31" s="22"/>
      <c r="L31" s="22"/>
      <c r="M31" s="22"/>
    </row>
    <row r="32" spans="1:13" ht="15.75" hidden="1" x14ac:dyDescent="0.25">
      <c r="A32" s="26"/>
      <c r="B32" s="20"/>
      <c r="C32" s="27"/>
      <c r="D32" s="22"/>
      <c r="E32" s="22"/>
      <c r="F32" s="22"/>
      <c r="G32" s="22"/>
      <c r="H32" s="22"/>
      <c r="I32" s="23"/>
      <c r="J32" s="22"/>
      <c r="K32" s="22"/>
      <c r="L32" s="22"/>
      <c r="M32" s="22"/>
    </row>
    <row r="33" spans="1:13" ht="15.75" hidden="1" x14ac:dyDescent="0.25">
      <c r="A33" s="26"/>
      <c r="B33" s="20"/>
      <c r="C33" s="27"/>
      <c r="D33" s="22"/>
      <c r="E33" s="22"/>
      <c r="F33" s="22"/>
      <c r="G33" s="22"/>
      <c r="H33" s="22"/>
      <c r="I33" s="23"/>
      <c r="J33" s="22"/>
      <c r="K33" s="22"/>
      <c r="L33" s="22"/>
      <c r="M33" s="22"/>
    </row>
    <row r="34" spans="1:13" ht="15.75" hidden="1" x14ac:dyDescent="0.25">
      <c r="A34" s="26"/>
      <c r="B34" s="20"/>
      <c r="C34" s="27"/>
      <c r="D34" s="22"/>
      <c r="E34" s="22"/>
      <c r="F34" s="22"/>
      <c r="G34" s="22"/>
      <c r="H34" s="22"/>
      <c r="I34" s="23"/>
      <c r="J34" s="22"/>
      <c r="K34" s="22"/>
      <c r="L34" s="22"/>
      <c r="M34" s="22"/>
    </row>
    <row r="35" spans="1:13" ht="61.9" hidden="1" customHeight="1" x14ac:dyDescent="0.25">
      <c r="A35" s="26"/>
      <c r="B35" s="20"/>
      <c r="C35" s="27"/>
      <c r="D35" s="22"/>
      <c r="E35" s="22"/>
      <c r="F35" s="22"/>
      <c r="G35" s="22"/>
      <c r="H35" s="22"/>
      <c r="I35" s="23"/>
      <c r="J35" s="22"/>
      <c r="K35" s="22"/>
      <c r="L35" s="22"/>
      <c r="M35" s="22"/>
    </row>
  </sheetData>
  <mergeCells count="11">
    <mergeCell ref="A5:B5"/>
    <mergeCell ref="G8:G10"/>
    <mergeCell ref="H8:J9"/>
    <mergeCell ref="K8:M9"/>
    <mergeCell ref="D9:F9"/>
    <mergeCell ref="A6:B6"/>
    <mergeCell ref="A7:B7"/>
    <mergeCell ref="A8:A10"/>
    <mergeCell ref="B8:B10"/>
    <mergeCell ref="C8:C10"/>
    <mergeCell ref="D8:F8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0" zoomScaleNormal="80" workbookViewId="0">
      <selection activeCell="U21" sqref="U21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10" style="1" customWidth="1"/>
    <col min="4" max="6" width="9.28515625" style="1" customWidth="1"/>
    <col min="7" max="7" width="9.5703125" style="1" customWidth="1"/>
    <col min="8" max="8" width="8.7109375" style="1" customWidth="1"/>
    <col min="9" max="9" width="8.28515625" style="1" customWidth="1"/>
    <col min="10" max="10" width="10.28515625" style="1" customWidth="1"/>
    <col min="11" max="11" width="8.5703125" style="1" customWidth="1"/>
    <col min="12" max="13" width="9.28515625" style="1" customWidth="1"/>
    <col min="14" max="16384" width="9.140625" style="1"/>
  </cols>
  <sheetData>
    <row r="1" spans="1:13" ht="15.75" x14ac:dyDescent="0.25">
      <c r="A1" s="26"/>
      <c r="B1" s="20"/>
      <c r="C1" s="27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spans="1:13" ht="70.150000000000006" customHeight="1" x14ac:dyDescent="0.25">
      <c r="A2" s="26"/>
      <c r="B2" s="20"/>
      <c r="C2" s="27"/>
      <c r="D2" s="22"/>
      <c r="E2" s="22"/>
      <c r="F2" s="22"/>
      <c r="G2" s="22"/>
      <c r="H2" s="22"/>
      <c r="I2" s="23"/>
      <c r="J2" s="22"/>
      <c r="K2" s="22"/>
      <c r="L2" s="22"/>
      <c r="M2" s="22"/>
    </row>
    <row r="3" spans="1:13" x14ac:dyDescent="0.25">
      <c r="A3" s="70" t="s">
        <v>60</v>
      </c>
      <c r="B3" s="71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25">
      <c r="A4" s="70" t="s">
        <v>8</v>
      </c>
      <c r="B4" s="71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5.75" thickBot="1" x14ac:dyDescent="0.3">
      <c r="A5" s="72" t="s">
        <v>73</v>
      </c>
      <c r="B5" s="73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25">
      <c r="A6" s="74" t="s">
        <v>9</v>
      </c>
      <c r="B6" s="74" t="s">
        <v>10</v>
      </c>
      <c r="C6" s="74" t="s">
        <v>11</v>
      </c>
      <c r="D6" s="64" t="s">
        <v>12</v>
      </c>
      <c r="E6" s="65"/>
      <c r="F6" s="66"/>
      <c r="G6" s="79" t="s">
        <v>13</v>
      </c>
      <c r="H6" s="64" t="s">
        <v>14</v>
      </c>
      <c r="I6" s="65"/>
      <c r="J6" s="66"/>
      <c r="K6" s="64" t="s">
        <v>15</v>
      </c>
      <c r="L6" s="65"/>
      <c r="M6" s="66"/>
    </row>
    <row r="7" spans="1:13" ht="15.75" thickBot="1" x14ac:dyDescent="0.3">
      <c r="A7" s="75"/>
      <c r="B7" s="77"/>
      <c r="C7" s="77"/>
      <c r="D7" s="67" t="s">
        <v>16</v>
      </c>
      <c r="E7" s="68"/>
      <c r="F7" s="69"/>
      <c r="G7" s="80"/>
      <c r="H7" s="67"/>
      <c r="I7" s="68"/>
      <c r="J7" s="69"/>
      <c r="K7" s="67"/>
      <c r="L7" s="68"/>
      <c r="M7" s="69"/>
    </row>
    <row r="8" spans="1:13" ht="17.25" thickBot="1" x14ac:dyDescent="0.3">
      <c r="A8" s="76"/>
      <c r="B8" s="78"/>
      <c r="C8" s="78"/>
      <c r="D8" s="30" t="s">
        <v>17</v>
      </c>
      <c r="E8" s="30" t="s">
        <v>18</v>
      </c>
      <c r="F8" s="30" t="s">
        <v>19</v>
      </c>
      <c r="G8" s="81"/>
      <c r="H8" s="30" t="s">
        <v>20</v>
      </c>
      <c r="I8" s="30" t="s">
        <v>41</v>
      </c>
      <c r="J8" s="30" t="s">
        <v>22</v>
      </c>
      <c r="K8" s="30" t="s">
        <v>23</v>
      </c>
      <c r="L8" s="30" t="s">
        <v>40</v>
      </c>
      <c r="M8" s="30" t="s">
        <v>24</v>
      </c>
    </row>
    <row r="9" spans="1:13" ht="18.75" x14ac:dyDescent="0.25">
      <c r="A9" s="3"/>
      <c r="B9" s="4" t="s">
        <v>25</v>
      </c>
      <c r="C9" s="5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x14ac:dyDescent="0.25">
      <c r="A10" s="24">
        <v>312</v>
      </c>
      <c r="B10" s="7" t="s">
        <v>7</v>
      </c>
      <c r="C10" s="33">
        <v>200</v>
      </c>
      <c r="D10" s="17">
        <f>20.4*C10/1000</f>
        <v>4.0799999999999992</v>
      </c>
      <c r="E10" s="17">
        <f>32*C10/1000</f>
        <v>6.4</v>
      </c>
      <c r="F10" s="17">
        <f>136.3*C10/1000</f>
        <v>27.260000000000005</v>
      </c>
      <c r="G10" s="17">
        <f>915*C10/1000</f>
        <v>183</v>
      </c>
      <c r="H10" s="17">
        <f>0</f>
        <v>0</v>
      </c>
      <c r="I10" s="17">
        <f>0.9*C10/1000</f>
        <v>0.18</v>
      </c>
      <c r="J10" s="17">
        <f>121.1*C10/1000</f>
        <v>24.22</v>
      </c>
      <c r="K10" s="17">
        <f>246.5*C10/1000</f>
        <v>49.3</v>
      </c>
      <c r="L10" s="17">
        <f>577.3*C10/1000</f>
        <v>115.45999999999998</v>
      </c>
      <c r="M10" s="17">
        <f>6.7*C10/1000</f>
        <v>1.34</v>
      </c>
    </row>
    <row r="11" spans="1:13" x14ac:dyDescent="0.25">
      <c r="A11" s="24">
        <v>255</v>
      </c>
      <c r="B11" s="7" t="s">
        <v>48</v>
      </c>
      <c r="C11" s="33">
        <v>120</v>
      </c>
      <c r="D11" s="17">
        <f>132.6*C11/1000</f>
        <v>15.912000000000001</v>
      </c>
      <c r="E11" s="17">
        <f>112.3*C11/1000</f>
        <v>13.476000000000001</v>
      </c>
      <c r="F11" s="17">
        <f>35.2*C11/1000</f>
        <v>4.2240000000000002</v>
      </c>
      <c r="G11" s="17">
        <f>1850*C11/1000</f>
        <v>222</v>
      </c>
      <c r="H11" s="17">
        <f>57820*C11/1000</f>
        <v>6938.4</v>
      </c>
      <c r="I11" s="17">
        <f>2*C11/1000</f>
        <v>0.24</v>
      </c>
      <c r="J11" s="17">
        <f>84.2*C11/1000</f>
        <v>10.103999999999999</v>
      </c>
      <c r="K11" s="17">
        <f>332.4*C11/1000</f>
        <v>39.887999999999998</v>
      </c>
      <c r="L11" s="17">
        <f>2393.2*C11/1000</f>
        <v>287.18400000000003</v>
      </c>
      <c r="M11" s="17">
        <f>50*C11/1000</f>
        <v>6</v>
      </c>
    </row>
    <row r="12" spans="1:13" x14ac:dyDescent="0.25">
      <c r="A12" s="24">
        <v>386</v>
      </c>
      <c r="B12" s="7" t="s">
        <v>55</v>
      </c>
      <c r="C12" s="33">
        <v>200</v>
      </c>
      <c r="D12" s="17">
        <f>5*C12/1000</f>
        <v>1</v>
      </c>
      <c r="E12" s="17">
        <f>0</f>
        <v>0</v>
      </c>
      <c r="F12" s="17">
        <f>101*C12/1000</f>
        <v>20.2</v>
      </c>
      <c r="G12" s="17">
        <f>424*C12/1000</f>
        <v>84.8</v>
      </c>
      <c r="H12" s="17">
        <f>0</f>
        <v>0</v>
      </c>
      <c r="I12" s="17">
        <f>0.1*C12/1000</f>
        <v>0.02</v>
      </c>
      <c r="J12" s="17">
        <f>20*C12/1000</f>
        <v>4</v>
      </c>
      <c r="K12" s="17">
        <f>70*C12/1000</f>
        <v>14</v>
      </c>
      <c r="L12" s="17">
        <f>70*C12/1000</f>
        <v>14</v>
      </c>
      <c r="M12" s="17">
        <f>14*C12/1000</f>
        <v>2.8</v>
      </c>
    </row>
    <row r="13" spans="1:13" x14ac:dyDescent="0.25">
      <c r="A13" s="6" t="s">
        <v>26</v>
      </c>
      <c r="B13" s="7" t="s">
        <v>3</v>
      </c>
      <c r="C13" s="33">
        <v>50</v>
      </c>
      <c r="D13" s="17">
        <f>107*C13/1000</f>
        <v>5.35</v>
      </c>
      <c r="E13" s="17">
        <f>45*C13/1000</f>
        <v>2.25</v>
      </c>
      <c r="F13" s="17">
        <f>435*C13/1000</f>
        <v>21.75</v>
      </c>
      <c r="G13" s="17">
        <f>2740*C13/1000</f>
        <v>137</v>
      </c>
      <c r="H13" s="17">
        <f>0</f>
        <v>0</v>
      </c>
      <c r="I13" s="17">
        <f>4.1*C13/1000</f>
        <v>0.20499999999999996</v>
      </c>
      <c r="J13" s="17">
        <f>2*C13/1000</f>
        <v>0.1</v>
      </c>
      <c r="K13" s="17">
        <f>1250*C13/1000</f>
        <v>62.5</v>
      </c>
      <c r="L13" s="17">
        <f>1290*C13/1000</f>
        <v>64.5</v>
      </c>
      <c r="M13" s="17">
        <f>36*C13/1000</f>
        <v>1.8</v>
      </c>
    </row>
    <row r="14" spans="1:13" x14ac:dyDescent="0.25">
      <c r="A14" s="12" t="s">
        <v>30</v>
      </c>
      <c r="B14" s="7" t="s">
        <v>0</v>
      </c>
      <c r="C14" s="33">
        <v>30</v>
      </c>
      <c r="D14" s="28">
        <f>85*C14/1000</f>
        <v>2.5499999999999998</v>
      </c>
      <c r="E14" s="28">
        <f>33*C14/1000</f>
        <v>0.99</v>
      </c>
      <c r="F14" s="28">
        <f>425*C14/1000</f>
        <v>12.75</v>
      </c>
      <c r="G14" s="28">
        <f>2590*C14/1000</f>
        <v>77.7</v>
      </c>
      <c r="H14" s="32">
        <f>0</f>
        <v>0</v>
      </c>
      <c r="I14" s="28">
        <f>4.3*C14/1000</f>
        <v>0.129</v>
      </c>
      <c r="J14" s="28">
        <f>4*C14/1000</f>
        <v>0.12</v>
      </c>
      <c r="K14" s="28">
        <f>730*C14/1000</f>
        <v>21.9</v>
      </c>
      <c r="L14" s="28">
        <f>1250*C14/1000</f>
        <v>37.5</v>
      </c>
      <c r="M14" s="28">
        <f>28.3*C14/1000</f>
        <v>0.84899999999999998</v>
      </c>
    </row>
    <row r="15" spans="1:13" x14ac:dyDescent="0.25">
      <c r="A15" s="6"/>
      <c r="B15" s="7"/>
      <c r="C15" s="33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x14ac:dyDescent="0.25">
      <c r="A16" s="24"/>
      <c r="B16" s="9" t="s">
        <v>27</v>
      </c>
      <c r="C16" s="10">
        <f>SUM(C10:C15)</f>
        <v>600</v>
      </c>
      <c r="D16" s="40">
        <f t="shared" ref="D16:M16" si="0">SUM(D10:D15)</f>
        <v>28.891999999999999</v>
      </c>
      <c r="E16" s="40">
        <f t="shared" si="0"/>
        <v>23.116</v>
      </c>
      <c r="F16" s="40">
        <f t="shared" si="0"/>
        <v>86.183999999999997</v>
      </c>
      <c r="G16" s="40">
        <f t="shared" si="0"/>
        <v>704.5</v>
      </c>
      <c r="H16" s="40">
        <f t="shared" si="0"/>
        <v>6938.4</v>
      </c>
      <c r="I16" s="40">
        <f t="shared" si="0"/>
        <v>0.77400000000000002</v>
      </c>
      <c r="J16" s="40">
        <f t="shared" si="0"/>
        <v>38.543999999999997</v>
      </c>
      <c r="K16" s="40">
        <f t="shared" si="0"/>
        <v>187.58799999999999</v>
      </c>
      <c r="L16" s="40">
        <f t="shared" si="0"/>
        <v>518.64400000000001</v>
      </c>
      <c r="M16" s="40">
        <f t="shared" si="0"/>
        <v>12.789000000000001</v>
      </c>
    </row>
    <row r="17" spans="1:13" ht="18.75" x14ac:dyDescent="0.25">
      <c r="A17" s="24"/>
      <c r="B17" s="11" t="s">
        <v>28</v>
      </c>
      <c r="C17" s="8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x14ac:dyDescent="0.25">
      <c r="A18" s="24">
        <v>62</v>
      </c>
      <c r="B18" s="7" t="s">
        <v>45</v>
      </c>
      <c r="C18" s="33">
        <v>100</v>
      </c>
      <c r="D18" s="17">
        <f>12.3*C18/1000</f>
        <v>1.23</v>
      </c>
      <c r="E18" s="17">
        <f>0.9*C18/1000</f>
        <v>0.09</v>
      </c>
      <c r="F18" s="17">
        <f>114.8*C18/1000</f>
        <v>11.48</v>
      </c>
      <c r="G18" s="17">
        <f>817*C18/1000</f>
        <v>81.7</v>
      </c>
      <c r="H18" s="17">
        <f>0</f>
        <v>0</v>
      </c>
      <c r="I18" s="17">
        <f>0.6*C18/1000</f>
        <v>0.06</v>
      </c>
      <c r="J18" s="17">
        <f>33.6*C18/1000</f>
        <v>3.36</v>
      </c>
      <c r="K18" s="17">
        <f>257.6*C18/1000</f>
        <v>25.760000000000005</v>
      </c>
      <c r="L18" s="17">
        <f>527.7*C18/1000</f>
        <v>52.77000000000001</v>
      </c>
      <c r="M18" s="17">
        <f>6.6*C18/1000</f>
        <v>0.66</v>
      </c>
    </row>
    <row r="19" spans="1:13" x14ac:dyDescent="0.25">
      <c r="A19" s="24">
        <v>102</v>
      </c>
      <c r="B19" s="7" t="s">
        <v>89</v>
      </c>
      <c r="C19" s="33">
        <v>250</v>
      </c>
      <c r="D19" s="17">
        <v>5.5</v>
      </c>
      <c r="E19" s="17">
        <v>5.3</v>
      </c>
      <c r="F19" s="17">
        <v>16.5</v>
      </c>
      <c r="G19" s="17">
        <v>148.30000000000001</v>
      </c>
      <c r="H19" s="17">
        <v>0</v>
      </c>
      <c r="I19" s="17">
        <v>0.2</v>
      </c>
      <c r="J19" s="17">
        <v>5.8</v>
      </c>
      <c r="K19" s="17">
        <v>42.7</v>
      </c>
      <c r="L19" s="17">
        <v>88.1</v>
      </c>
      <c r="M19" s="17">
        <v>2.1</v>
      </c>
    </row>
    <row r="20" spans="1:13" x14ac:dyDescent="0.25">
      <c r="A20" s="24">
        <v>171</v>
      </c>
      <c r="B20" s="7" t="s">
        <v>76</v>
      </c>
      <c r="C20" s="33">
        <v>180</v>
      </c>
      <c r="D20" s="17">
        <v>8.9700000000000006</v>
      </c>
      <c r="E20" s="17">
        <v>10.51</v>
      </c>
      <c r="F20" s="17">
        <v>52.5</v>
      </c>
      <c r="G20" s="17">
        <v>341.2</v>
      </c>
      <c r="H20" s="17">
        <v>0.17</v>
      </c>
      <c r="I20" s="17">
        <v>7.0000000000000007E-2</v>
      </c>
      <c r="J20" s="17">
        <v>0</v>
      </c>
      <c r="K20" s="17">
        <v>47.36</v>
      </c>
      <c r="L20" s="17">
        <v>48.1</v>
      </c>
      <c r="M20" s="17">
        <v>3.47</v>
      </c>
    </row>
    <row r="21" spans="1:13" x14ac:dyDescent="0.25">
      <c r="A21" s="24">
        <v>268</v>
      </c>
      <c r="B21" s="7" t="s">
        <v>49</v>
      </c>
      <c r="C21" s="33">
        <v>120</v>
      </c>
      <c r="D21" s="17">
        <f>129*C21/1000</f>
        <v>15.48</v>
      </c>
      <c r="E21" s="17">
        <f>334.2*C21/1000</f>
        <v>40.103999999999999</v>
      </c>
      <c r="F21" s="17">
        <f>132.2*C21/1000</f>
        <v>15.863999999999999</v>
      </c>
      <c r="G21" s="17">
        <f>4080*C21/1000</f>
        <v>489.6</v>
      </c>
      <c r="H21" s="17">
        <f>400*C21/1000</f>
        <v>48</v>
      </c>
      <c r="I21" s="17">
        <f>3.6*C21/1000</f>
        <v>0.432</v>
      </c>
      <c r="J21" s="17">
        <f>42.8*C21/1000</f>
        <v>5.1360000000000001</v>
      </c>
      <c r="K21" s="17">
        <f>115*C21/1000</f>
        <v>13.8</v>
      </c>
      <c r="L21" s="17">
        <f>1541.6*C21/1000</f>
        <v>184.99199999999999</v>
      </c>
      <c r="M21" s="17">
        <f>32*C21/1000</f>
        <v>3.84</v>
      </c>
    </row>
    <row r="22" spans="1:13" x14ac:dyDescent="0.25">
      <c r="A22" s="24">
        <v>382</v>
      </c>
      <c r="B22" s="7" t="s">
        <v>43</v>
      </c>
      <c r="C22" s="33">
        <v>200</v>
      </c>
      <c r="D22" s="28">
        <f>20.4*C22/1000</f>
        <v>4.0799999999999992</v>
      </c>
      <c r="E22" s="28">
        <f>17.7*C22/1000</f>
        <v>3.54</v>
      </c>
      <c r="F22" s="28">
        <f>87.9*C22/1000</f>
        <v>17.579999999999998</v>
      </c>
      <c r="G22" s="28">
        <f>593*C22/1000</f>
        <v>118.6</v>
      </c>
      <c r="H22" s="28">
        <f>122*C22/1000</f>
        <v>24.4</v>
      </c>
      <c r="I22" s="28">
        <f>0.28*C22/1000</f>
        <v>5.6000000000000008E-2</v>
      </c>
      <c r="J22" s="28">
        <f>7.9*C22/1000</f>
        <v>1.58</v>
      </c>
      <c r="K22" s="28">
        <f>761.1*C22/1000</f>
        <v>152.22</v>
      </c>
      <c r="L22" s="28">
        <f>622.8*C22/1000</f>
        <v>124.55999999999999</v>
      </c>
      <c r="M22" s="28">
        <f>2.4*C22/1000</f>
        <v>0.48</v>
      </c>
    </row>
    <row r="23" spans="1:13" x14ac:dyDescent="0.25">
      <c r="A23" s="6" t="s">
        <v>26</v>
      </c>
      <c r="B23" s="7" t="s">
        <v>3</v>
      </c>
      <c r="C23" s="33">
        <v>50</v>
      </c>
      <c r="D23" s="17">
        <f>107*C23/1000</f>
        <v>5.35</v>
      </c>
      <c r="E23" s="17">
        <f>45*C23/1000</f>
        <v>2.25</v>
      </c>
      <c r="F23" s="17">
        <f>435*C23/1000</f>
        <v>21.75</v>
      </c>
      <c r="G23" s="17">
        <f>2740*C23/1000</f>
        <v>137</v>
      </c>
      <c r="H23" s="17">
        <f>0</f>
        <v>0</v>
      </c>
      <c r="I23" s="17">
        <f>4.1*C23/1000</f>
        <v>0.20499999999999996</v>
      </c>
      <c r="J23" s="17">
        <f>2*C23/1000</f>
        <v>0.1</v>
      </c>
      <c r="K23" s="17">
        <f>1250*C23/1000</f>
        <v>62.5</v>
      </c>
      <c r="L23" s="17">
        <f>1290*C23/1000</f>
        <v>64.5</v>
      </c>
      <c r="M23" s="17">
        <f>36*C23/1000</f>
        <v>1.8</v>
      </c>
    </row>
    <row r="24" spans="1:13" x14ac:dyDescent="0.25">
      <c r="A24" s="12" t="s">
        <v>30</v>
      </c>
      <c r="B24" s="7" t="s">
        <v>0</v>
      </c>
      <c r="C24" s="33">
        <v>30</v>
      </c>
      <c r="D24" s="28">
        <f>85*C24/1000</f>
        <v>2.5499999999999998</v>
      </c>
      <c r="E24" s="28">
        <f>33*C24/1000</f>
        <v>0.99</v>
      </c>
      <c r="F24" s="28">
        <f>425*C24/1000</f>
        <v>12.75</v>
      </c>
      <c r="G24" s="28">
        <f>2590*C24/1000</f>
        <v>77.7</v>
      </c>
      <c r="H24" s="32">
        <f>0</f>
        <v>0</v>
      </c>
      <c r="I24" s="28">
        <f>4.3*C24/1000</f>
        <v>0.129</v>
      </c>
      <c r="J24" s="28">
        <f>4*C24/1000</f>
        <v>0.12</v>
      </c>
      <c r="K24" s="28">
        <f>730*C24/1000</f>
        <v>21.9</v>
      </c>
      <c r="L24" s="28">
        <f>1250*C24/1000</f>
        <v>37.5</v>
      </c>
      <c r="M24" s="28">
        <f>28.3*C24/1000</f>
        <v>0.84899999999999998</v>
      </c>
    </row>
    <row r="25" spans="1:13" x14ac:dyDescent="0.25">
      <c r="A25" s="6">
        <v>338</v>
      </c>
      <c r="B25" s="7" t="s">
        <v>47</v>
      </c>
      <c r="C25" s="33">
        <v>100</v>
      </c>
      <c r="D25" s="17">
        <f>4*C25/1000</f>
        <v>0.4</v>
      </c>
      <c r="E25" s="17">
        <f>4*C25/1000</f>
        <v>0.4</v>
      </c>
      <c r="F25" s="17">
        <f>98*C25/1000</f>
        <v>9.8000000000000007</v>
      </c>
      <c r="G25" s="17">
        <f>470*C25/1000</f>
        <v>47</v>
      </c>
      <c r="H25" s="17">
        <f>0</f>
        <v>0</v>
      </c>
      <c r="I25" s="17">
        <f>0.3*C25/1000</f>
        <v>0.03</v>
      </c>
      <c r="J25" s="17">
        <f>100*C25/1000</f>
        <v>10</v>
      </c>
      <c r="K25" s="17">
        <f>160*C25/1000</f>
        <v>16</v>
      </c>
      <c r="L25" s="17">
        <f>110*C25/1000</f>
        <v>11</v>
      </c>
      <c r="M25" s="17">
        <f>22*C25/1000</f>
        <v>2.2000000000000002</v>
      </c>
    </row>
    <row r="26" spans="1:13" x14ac:dyDescent="0.25">
      <c r="A26" s="25"/>
      <c r="B26" s="9" t="s">
        <v>27</v>
      </c>
      <c r="C26" s="10">
        <f>SUM(C18:C25)</f>
        <v>1030</v>
      </c>
      <c r="D26" s="40">
        <f t="shared" ref="D26:M26" si="1">SUM(D18:D25)</f>
        <v>43.559999999999995</v>
      </c>
      <c r="E26" s="40">
        <f t="shared" si="1"/>
        <v>63.183999999999997</v>
      </c>
      <c r="F26" s="40">
        <f t="shared" si="1"/>
        <v>158.22400000000002</v>
      </c>
      <c r="G26" s="40">
        <f t="shared" si="1"/>
        <v>1441.1000000000001</v>
      </c>
      <c r="H26" s="40">
        <f t="shared" si="1"/>
        <v>72.569999999999993</v>
      </c>
      <c r="I26" s="40">
        <f t="shared" si="1"/>
        <v>1.1820000000000002</v>
      </c>
      <c r="J26" s="40">
        <f t="shared" si="1"/>
        <v>26.096</v>
      </c>
      <c r="K26" s="40">
        <f t="shared" si="1"/>
        <v>382.24</v>
      </c>
      <c r="L26" s="40">
        <f t="shared" si="1"/>
        <v>611.52199999999993</v>
      </c>
      <c r="M26" s="40">
        <f t="shared" si="1"/>
        <v>15.399000000000001</v>
      </c>
    </row>
    <row r="27" spans="1:13" ht="18.75" x14ac:dyDescent="0.25">
      <c r="A27" s="25"/>
      <c r="B27" s="14" t="s">
        <v>31</v>
      </c>
      <c r="C27" s="13">
        <f t="shared" ref="C27:M27" si="2">C16+C26</f>
        <v>1630</v>
      </c>
      <c r="D27" s="41">
        <f t="shared" si="2"/>
        <v>72.451999999999998</v>
      </c>
      <c r="E27" s="41">
        <f t="shared" si="2"/>
        <v>86.3</v>
      </c>
      <c r="F27" s="41">
        <f t="shared" si="2"/>
        <v>244.40800000000002</v>
      </c>
      <c r="G27" s="41">
        <f t="shared" si="2"/>
        <v>2145.6000000000004</v>
      </c>
      <c r="H27" s="41">
        <f t="shared" si="2"/>
        <v>7010.9699999999993</v>
      </c>
      <c r="I27" s="41">
        <f t="shared" si="2"/>
        <v>1.9560000000000002</v>
      </c>
      <c r="J27" s="41">
        <f t="shared" si="2"/>
        <v>64.64</v>
      </c>
      <c r="K27" s="41">
        <f t="shared" si="2"/>
        <v>569.82799999999997</v>
      </c>
      <c r="L27" s="41">
        <f t="shared" si="2"/>
        <v>1130.1659999999999</v>
      </c>
      <c r="M27" s="41">
        <f t="shared" si="2"/>
        <v>28.188000000000002</v>
      </c>
    </row>
    <row r="28" spans="1:13" ht="17.25" customHeight="1" x14ac:dyDescent="0.25">
      <c r="A28" s="15"/>
      <c r="B28" s="16" t="s">
        <v>68</v>
      </c>
      <c r="C28" s="17">
        <v>1350</v>
      </c>
      <c r="D28" s="18">
        <v>45</v>
      </c>
      <c r="E28" s="18">
        <v>46</v>
      </c>
      <c r="F28" s="18">
        <v>192</v>
      </c>
      <c r="G28" s="18">
        <v>1360</v>
      </c>
      <c r="H28" s="18">
        <v>450</v>
      </c>
      <c r="I28" s="18">
        <v>0.7</v>
      </c>
      <c r="J28" s="18">
        <v>35</v>
      </c>
      <c r="K28" s="18">
        <v>600</v>
      </c>
      <c r="L28" s="18">
        <v>600</v>
      </c>
      <c r="M28" s="18">
        <v>9</v>
      </c>
    </row>
    <row r="29" spans="1:13" ht="15.75" x14ac:dyDescent="0.25">
      <c r="A29" s="26"/>
      <c r="B29" s="20"/>
      <c r="C29" s="27"/>
      <c r="D29" s="22"/>
      <c r="E29" s="22"/>
      <c r="F29" s="22"/>
      <c r="G29" s="22"/>
      <c r="H29" s="22"/>
      <c r="I29" s="23"/>
      <c r="J29" s="22"/>
      <c r="K29" s="22"/>
      <c r="L29" s="22"/>
      <c r="M29" s="22"/>
    </row>
    <row r="30" spans="1:13" ht="15.75" x14ac:dyDescent="0.25">
      <c r="A30" s="26"/>
      <c r="B30" s="20"/>
      <c r="C30" s="27"/>
      <c r="D30" s="22"/>
      <c r="E30" s="22"/>
      <c r="F30" s="22"/>
      <c r="G30" s="22"/>
      <c r="H30" s="22"/>
      <c r="I30" s="23"/>
      <c r="J30" s="22"/>
      <c r="K30" s="22"/>
      <c r="L30" s="22"/>
      <c r="M30" s="22"/>
    </row>
    <row r="31" spans="1:13" ht="15.75" x14ac:dyDescent="0.25">
      <c r="A31" s="26"/>
      <c r="B31" s="20"/>
      <c r="C31" s="27"/>
      <c r="D31" s="22"/>
      <c r="E31" s="22"/>
      <c r="F31" s="22"/>
      <c r="G31" s="22"/>
      <c r="H31" s="22"/>
      <c r="I31" s="23"/>
      <c r="J31" s="22"/>
      <c r="K31" s="22"/>
      <c r="L31" s="22"/>
      <c r="M31" s="22"/>
    </row>
    <row r="32" spans="1:13" ht="15.75" x14ac:dyDescent="0.25">
      <c r="A32" s="26"/>
      <c r="B32" s="20"/>
      <c r="C32" s="27"/>
      <c r="D32" s="22"/>
      <c r="E32" s="22"/>
      <c r="F32" s="22"/>
      <c r="G32" s="22"/>
      <c r="H32" s="22"/>
      <c r="I32" s="23"/>
      <c r="J32" s="22"/>
      <c r="K32" s="22"/>
      <c r="L32" s="22"/>
      <c r="M32" s="22"/>
    </row>
    <row r="33" spans="1:13" ht="28.9" customHeight="1" x14ac:dyDescent="0.25">
      <c r="A33" s="26"/>
      <c r="B33" s="20"/>
      <c r="C33" s="27"/>
      <c r="D33" s="22"/>
      <c r="E33" s="22"/>
      <c r="F33" s="22"/>
      <c r="G33" s="22"/>
      <c r="H33" s="22"/>
      <c r="I33" s="23"/>
      <c r="J33" s="22"/>
      <c r="K33" s="22"/>
      <c r="L33" s="22"/>
      <c r="M33" s="22"/>
    </row>
  </sheetData>
  <mergeCells count="11">
    <mergeCell ref="A3:B3"/>
    <mergeCell ref="A4:B4"/>
    <mergeCell ref="A5:B5"/>
    <mergeCell ref="K6:M7"/>
    <mergeCell ref="D7:F7"/>
    <mergeCell ref="A6:A8"/>
    <mergeCell ref="B6:B8"/>
    <mergeCell ref="C6:C8"/>
    <mergeCell ref="D6:F6"/>
    <mergeCell ref="G6:G8"/>
    <mergeCell ref="H6:J7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0" zoomScaleNormal="80" workbookViewId="0">
      <selection activeCell="S24" sqref="S24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10" style="1" customWidth="1"/>
    <col min="4" max="6" width="9.28515625" style="1" customWidth="1"/>
    <col min="7" max="7" width="9.5703125" style="1" customWidth="1"/>
    <col min="8" max="8" width="8.7109375" style="1" customWidth="1"/>
    <col min="9" max="9" width="10.42578125" style="1" customWidth="1"/>
    <col min="10" max="10" width="9.28515625" style="1" customWidth="1"/>
    <col min="11" max="11" width="8.5703125" style="1" customWidth="1"/>
    <col min="12" max="13" width="9.28515625" style="1" customWidth="1"/>
    <col min="14" max="16384" width="9.140625" style="1"/>
  </cols>
  <sheetData>
    <row r="1" spans="1:13" ht="58.15" customHeight="1" x14ac:dyDescent="0.25">
      <c r="A1" s="26"/>
      <c r="B1" s="20"/>
      <c r="C1" s="27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spans="1:13" ht="14.45" hidden="1" customHeight="1" x14ac:dyDescent="0.25">
      <c r="A2" s="26"/>
      <c r="B2" s="20"/>
      <c r="C2" s="27"/>
      <c r="D2" s="22"/>
      <c r="E2" s="22"/>
      <c r="F2" s="22"/>
      <c r="G2" s="22"/>
      <c r="H2" s="22"/>
      <c r="I2" s="23"/>
      <c r="J2" s="22"/>
      <c r="K2" s="22"/>
      <c r="L2" s="22"/>
      <c r="M2" s="22"/>
    </row>
    <row r="3" spans="1:13" ht="15.75" hidden="1" x14ac:dyDescent="0.25">
      <c r="A3" s="26"/>
      <c r="B3" s="20"/>
      <c r="C3" s="27"/>
      <c r="D3" s="22"/>
      <c r="E3" s="22"/>
      <c r="F3" s="22"/>
      <c r="G3" s="22"/>
      <c r="H3" s="22"/>
      <c r="I3" s="23"/>
      <c r="J3" s="22"/>
      <c r="K3" s="22"/>
      <c r="L3" s="22"/>
      <c r="M3" s="22"/>
    </row>
    <row r="4" spans="1:13" ht="15.75" hidden="1" x14ac:dyDescent="0.25">
      <c r="A4" s="26"/>
      <c r="B4" s="20"/>
      <c r="C4" s="27"/>
      <c r="D4" s="22"/>
      <c r="E4" s="22"/>
      <c r="F4" s="22"/>
      <c r="G4" s="22"/>
      <c r="H4" s="22"/>
      <c r="I4" s="23"/>
      <c r="J4" s="22"/>
      <c r="K4" s="22"/>
      <c r="L4" s="22"/>
      <c r="M4" s="22"/>
    </row>
    <row r="5" spans="1:13" ht="15.75" hidden="1" x14ac:dyDescent="0.25">
      <c r="A5" s="26"/>
      <c r="B5" s="20"/>
      <c r="C5" s="27"/>
      <c r="D5" s="22"/>
      <c r="E5" s="22"/>
      <c r="F5" s="22"/>
      <c r="G5" s="22"/>
      <c r="H5" s="22"/>
      <c r="I5" s="23"/>
      <c r="J5" s="22"/>
      <c r="K5" s="22"/>
      <c r="L5" s="22"/>
      <c r="M5" s="22"/>
    </row>
    <row r="6" spans="1:13" ht="61.9" hidden="1" customHeight="1" x14ac:dyDescent="0.25">
      <c r="A6" s="26"/>
      <c r="B6" s="20"/>
      <c r="C6" s="27"/>
      <c r="D6" s="22"/>
      <c r="E6" s="22"/>
      <c r="F6" s="22"/>
      <c r="G6" s="22"/>
      <c r="H6" s="22"/>
      <c r="I6" s="23"/>
      <c r="J6" s="22"/>
      <c r="K6" s="22"/>
      <c r="L6" s="22"/>
      <c r="M6" s="22"/>
    </row>
    <row r="7" spans="1:13" x14ac:dyDescent="0.25">
      <c r="A7" s="70" t="s">
        <v>61</v>
      </c>
      <c r="B7" s="71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 x14ac:dyDescent="0.25">
      <c r="A8" s="70" t="s">
        <v>8</v>
      </c>
      <c r="B8" s="71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15.75" thickBot="1" x14ac:dyDescent="0.3">
      <c r="A9" s="72" t="s">
        <v>71</v>
      </c>
      <c r="B9" s="73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x14ac:dyDescent="0.25">
      <c r="A10" s="74" t="s">
        <v>9</v>
      </c>
      <c r="B10" s="74" t="s">
        <v>10</v>
      </c>
      <c r="C10" s="74" t="s">
        <v>11</v>
      </c>
      <c r="D10" s="64" t="s">
        <v>12</v>
      </c>
      <c r="E10" s="65"/>
      <c r="F10" s="66"/>
      <c r="G10" s="79" t="s">
        <v>13</v>
      </c>
      <c r="H10" s="64" t="s">
        <v>14</v>
      </c>
      <c r="I10" s="65"/>
      <c r="J10" s="66"/>
      <c r="K10" s="64" t="s">
        <v>15</v>
      </c>
      <c r="L10" s="65"/>
      <c r="M10" s="66"/>
    </row>
    <row r="11" spans="1:13" ht="15.75" thickBot="1" x14ac:dyDescent="0.3">
      <c r="A11" s="75"/>
      <c r="B11" s="77"/>
      <c r="C11" s="77"/>
      <c r="D11" s="67" t="s">
        <v>16</v>
      </c>
      <c r="E11" s="68"/>
      <c r="F11" s="69"/>
      <c r="G11" s="80"/>
      <c r="H11" s="67"/>
      <c r="I11" s="68"/>
      <c r="J11" s="69"/>
      <c r="K11" s="67"/>
      <c r="L11" s="68"/>
      <c r="M11" s="69"/>
    </row>
    <row r="12" spans="1:13" ht="17.25" thickBot="1" x14ac:dyDescent="0.3">
      <c r="A12" s="76"/>
      <c r="B12" s="78"/>
      <c r="C12" s="78"/>
      <c r="D12" s="30" t="s">
        <v>17</v>
      </c>
      <c r="E12" s="30" t="s">
        <v>18</v>
      </c>
      <c r="F12" s="30" t="s">
        <v>19</v>
      </c>
      <c r="G12" s="81"/>
      <c r="H12" s="30" t="s">
        <v>20</v>
      </c>
      <c r="I12" s="30" t="s">
        <v>41</v>
      </c>
      <c r="J12" s="30" t="s">
        <v>22</v>
      </c>
      <c r="K12" s="30" t="s">
        <v>23</v>
      </c>
      <c r="L12" s="30" t="s">
        <v>40</v>
      </c>
      <c r="M12" s="30" t="s">
        <v>24</v>
      </c>
    </row>
    <row r="13" spans="1:13" ht="18.75" x14ac:dyDescent="0.25">
      <c r="A13" s="3"/>
      <c r="B13" s="4" t="s">
        <v>25</v>
      </c>
      <c r="C13" s="5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13" x14ac:dyDescent="0.25">
      <c r="A14" s="24">
        <v>291</v>
      </c>
      <c r="B14" s="7" t="s">
        <v>62</v>
      </c>
      <c r="C14" s="33">
        <v>220</v>
      </c>
      <c r="D14" s="17">
        <f>20.7*C14/1000</f>
        <v>4.5540000000000003</v>
      </c>
      <c r="E14" s="17">
        <f>32.4*C14/1000</f>
        <v>7.1280000000000001</v>
      </c>
      <c r="F14" s="17">
        <f>94.3*C14/1000</f>
        <v>20.745999999999999</v>
      </c>
      <c r="G14" s="17">
        <f>751*C14/1000</f>
        <v>165.22</v>
      </c>
      <c r="H14" s="17">
        <v>0</v>
      </c>
      <c r="I14" s="17">
        <f>0.3*C14/1000</f>
        <v>6.6000000000000003E-2</v>
      </c>
      <c r="J14" s="17">
        <f>171.6*C14/1000</f>
        <v>37.752000000000002</v>
      </c>
      <c r="K14" s="17">
        <f>554.5*C14/1000</f>
        <v>121.99</v>
      </c>
      <c r="L14" s="17">
        <f>401.4*C14/1000</f>
        <v>88.308000000000007</v>
      </c>
      <c r="M14" s="17">
        <f>8.1*C14/1000</f>
        <v>1.782</v>
      </c>
    </row>
    <row r="15" spans="1:13" x14ac:dyDescent="0.25">
      <c r="A15" s="6">
        <v>55</v>
      </c>
      <c r="B15" s="7" t="s">
        <v>84</v>
      </c>
      <c r="C15" s="33">
        <v>100</v>
      </c>
      <c r="D15" s="17">
        <v>0.9</v>
      </c>
      <c r="E15" s="17">
        <v>3.6</v>
      </c>
      <c r="F15" s="17">
        <v>3.8</v>
      </c>
      <c r="G15" s="17">
        <v>51</v>
      </c>
      <c r="H15" s="17">
        <v>0</v>
      </c>
      <c r="I15" s="17">
        <v>0</v>
      </c>
      <c r="J15" s="17">
        <v>3.6</v>
      </c>
      <c r="K15" s="17">
        <v>18.399999999999999</v>
      </c>
      <c r="L15" s="17">
        <v>23.7</v>
      </c>
      <c r="M15" s="17">
        <v>0.6</v>
      </c>
    </row>
    <row r="16" spans="1:13" x14ac:dyDescent="0.25">
      <c r="A16" s="24">
        <v>379</v>
      </c>
      <c r="B16" s="7" t="s">
        <v>42</v>
      </c>
      <c r="C16" s="33">
        <v>200</v>
      </c>
      <c r="D16" s="28">
        <f>15.8*C16/1000</f>
        <v>3.16</v>
      </c>
      <c r="E16" s="28">
        <f>13.4*C16/1000</f>
        <v>2.68</v>
      </c>
      <c r="F16" s="28">
        <f>79.7*C16/1000</f>
        <v>15.94</v>
      </c>
      <c r="G16" s="28">
        <f>503*C16/1000</f>
        <v>100.6</v>
      </c>
      <c r="H16" s="28">
        <f>100*C16/1000</f>
        <v>20</v>
      </c>
      <c r="I16" s="28">
        <f>0.22*C16/1000</f>
        <v>4.3999999999999997E-2</v>
      </c>
      <c r="J16" s="28">
        <f>6.5*C16/1000</f>
        <v>1.3</v>
      </c>
      <c r="K16" s="28">
        <f>628.9*C16/1000</f>
        <v>125.78</v>
      </c>
      <c r="L16" s="28">
        <f>450*C16/1000</f>
        <v>90</v>
      </c>
      <c r="M16" s="28">
        <f>0.7*C16/1000</f>
        <v>0.14000000000000001</v>
      </c>
    </row>
    <row r="17" spans="1:13" x14ac:dyDescent="0.25">
      <c r="A17" s="6" t="s">
        <v>26</v>
      </c>
      <c r="B17" s="7" t="s">
        <v>3</v>
      </c>
      <c r="C17" s="33">
        <v>50</v>
      </c>
      <c r="D17" s="17">
        <f>107*C17/1000</f>
        <v>5.35</v>
      </c>
      <c r="E17" s="17">
        <f>45*C17/1000</f>
        <v>2.25</v>
      </c>
      <c r="F17" s="17">
        <f>435*C17/1000</f>
        <v>21.75</v>
      </c>
      <c r="G17" s="17">
        <f>2740*C17/1000</f>
        <v>137</v>
      </c>
      <c r="H17" s="17">
        <f>0</f>
        <v>0</v>
      </c>
      <c r="I17" s="17">
        <f>4.1*C17/1000</f>
        <v>0.20499999999999996</v>
      </c>
      <c r="J17" s="17">
        <f>2*C17/1000</f>
        <v>0.1</v>
      </c>
      <c r="K17" s="17">
        <f>1250*C17/1000</f>
        <v>62.5</v>
      </c>
      <c r="L17" s="17">
        <f>1290*C17/1000</f>
        <v>64.5</v>
      </c>
      <c r="M17" s="17">
        <f>36*C17/1000</f>
        <v>1.8</v>
      </c>
    </row>
    <row r="18" spans="1:13" x14ac:dyDescent="0.25">
      <c r="A18" s="12" t="s">
        <v>30</v>
      </c>
      <c r="B18" s="7" t="s">
        <v>0</v>
      </c>
      <c r="C18" s="33">
        <v>30</v>
      </c>
      <c r="D18" s="28">
        <f>85*C18/1000</f>
        <v>2.5499999999999998</v>
      </c>
      <c r="E18" s="28">
        <f>33*C18/1000</f>
        <v>0.99</v>
      </c>
      <c r="F18" s="28">
        <f>425*C18/1000</f>
        <v>12.75</v>
      </c>
      <c r="G18" s="28">
        <f>2590*C18/1000</f>
        <v>77.7</v>
      </c>
      <c r="H18" s="32">
        <f>0</f>
        <v>0</v>
      </c>
      <c r="I18" s="28">
        <f>4.3*C18/1000</f>
        <v>0.129</v>
      </c>
      <c r="J18" s="28">
        <f>4*C18/1000</f>
        <v>0.12</v>
      </c>
      <c r="K18" s="28">
        <f>730*C18/1000</f>
        <v>21.9</v>
      </c>
      <c r="L18" s="28">
        <f>1250*C18/1000</f>
        <v>37.5</v>
      </c>
      <c r="M18" s="28">
        <f>28.3*C18/1000</f>
        <v>0.84899999999999998</v>
      </c>
    </row>
    <row r="19" spans="1:13" x14ac:dyDescent="0.25">
      <c r="A19" s="24"/>
      <c r="B19" s="7"/>
      <c r="C19" s="7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x14ac:dyDescent="0.25">
      <c r="A20" s="24"/>
      <c r="B20" s="9" t="s">
        <v>27</v>
      </c>
      <c r="C20" s="10">
        <f>SUM(C14:C19)</f>
        <v>600</v>
      </c>
      <c r="D20" s="40">
        <f t="shared" ref="D20:M20" si="0">SUM(D14:D19)</f>
        <v>16.513999999999999</v>
      </c>
      <c r="E20" s="40">
        <f t="shared" si="0"/>
        <v>16.648</v>
      </c>
      <c r="F20" s="40">
        <f t="shared" si="0"/>
        <v>74.98599999999999</v>
      </c>
      <c r="G20" s="40">
        <f t="shared" si="0"/>
        <v>531.52</v>
      </c>
      <c r="H20" s="40">
        <f t="shared" si="0"/>
        <v>20</v>
      </c>
      <c r="I20" s="40">
        <f t="shared" si="0"/>
        <v>0.44399999999999995</v>
      </c>
      <c r="J20" s="40">
        <f t="shared" si="0"/>
        <v>42.872</v>
      </c>
      <c r="K20" s="40">
        <f t="shared" si="0"/>
        <v>350.56999999999994</v>
      </c>
      <c r="L20" s="40">
        <f t="shared" si="0"/>
        <v>304.00800000000004</v>
      </c>
      <c r="M20" s="40">
        <f t="shared" si="0"/>
        <v>5.1710000000000003</v>
      </c>
    </row>
    <row r="21" spans="1:13" ht="18.75" x14ac:dyDescent="0.25">
      <c r="A21" s="24"/>
      <c r="B21" s="11" t="s">
        <v>28</v>
      </c>
      <c r="C21" s="8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x14ac:dyDescent="0.25">
      <c r="A22" s="6">
        <v>88</v>
      </c>
      <c r="B22" s="7" t="s">
        <v>69</v>
      </c>
      <c r="C22" s="33">
        <v>250</v>
      </c>
      <c r="D22" s="17">
        <f>7*C22/1000</f>
        <v>1.75</v>
      </c>
      <c r="E22" s="17">
        <f>19.5*C22/1000</f>
        <v>4.875</v>
      </c>
      <c r="F22" s="17">
        <f>23.6*C22/1000</f>
        <v>5.9</v>
      </c>
      <c r="G22" s="17">
        <f>320*C22/1000</f>
        <v>80</v>
      </c>
      <c r="H22" s="17">
        <f>0</f>
        <v>0</v>
      </c>
      <c r="I22" s="17">
        <f>0.2*C22/1000</f>
        <v>0.05</v>
      </c>
      <c r="J22" s="17">
        <f>68.5*C22/1000</f>
        <v>17.125</v>
      </c>
      <c r="K22" s="17">
        <f>202.9*C22/1000</f>
        <v>50.725000000000001</v>
      </c>
      <c r="L22" s="17">
        <f>155.4*C22/1000</f>
        <v>38.85</v>
      </c>
      <c r="M22" s="17">
        <f>2.7*C22/1000</f>
        <v>0.67500000000000004</v>
      </c>
    </row>
    <row r="23" spans="1:13" x14ac:dyDescent="0.25">
      <c r="A23" s="25">
        <v>223</v>
      </c>
      <c r="B23" s="7" t="s">
        <v>57</v>
      </c>
      <c r="C23" s="33">
        <v>180</v>
      </c>
      <c r="D23" s="28">
        <f>122.8*C23/1000</f>
        <v>22.103999999999999</v>
      </c>
      <c r="E23" s="28">
        <f>109.6*C23/1000</f>
        <v>19.728000000000002</v>
      </c>
      <c r="F23" s="28">
        <f>97.5*C23/1000</f>
        <v>17.55</v>
      </c>
      <c r="G23" s="28">
        <f>1862.5*C23/1000</f>
        <v>335.25</v>
      </c>
      <c r="H23" s="28">
        <f>482.5*C23/1000</f>
        <v>86.85</v>
      </c>
      <c r="I23" s="28">
        <f>0.5*C23/1000</f>
        <v>0.09</v>
      </c>
      <c r="J23" s="28">
        <f>1.8*C23/1000</f>
        <v>0.32400000000000001</v>
      </c>
      <c r="K23" s="28">
        <f>1093.6*C23/1000</f>
        <v>196.84799999999998</v>
      </c>
      <c r="L23" s="28">
        <f>1498.8*C23/1000</f>
        <v>269.78399999999999</v>
      </c>
      <c r="M23" s="28">
        <f>5*C23/1000</f>
        <v>0.9</v>
      </c>
    </row>
    <row r="24" spans="1:13" x14ac:dyDescent="0.25">
      <c r="A24" s="24">
        <v>349</v>
      </c>
      <c r="B24" s="7" t="s">
        <v>4</v>
      </c>
      <c r="C24" s="33">
        <v>200</v>
      </c>
      <c r="D24" s="17">
        <f>3.3*C24/1000</f>
        <v>0.66</v>
      </c>
      <c r="E24" s="17">
        <f>0.5*C24/1000</f>
        <v>0.1</v>
      </c>
      <c r="F24" s="17">
        <f>160.1*C24/1000</f>
        <v>32.020000000000003</v>
      </c>
      <c r="G24" s="17">
        <f>664*C24/1000</f>
        <v>132.80000000000001</v>
      </c>
      <c r="H24" s="17">
        <f>0</f>
        <v>0</v>
      </c>
      <c r="I24" s="17">
        <f>0.1*C24/1000</f>
        <v>0.02</v>
      </c>
      <c r="J24" s="17">
        <f>5.6*C24/1000</f>
        <v>1.1200000000000001</v>
      </c>
      <c r="K24" s="17">
        <f>162.4*C24/1000</f>
        <v>32.479999999999997</v>
      </c>
      <c r="L24" s="17">
        <f>117.2*C24/1000</f>
        <v>23.44</v>
      </c>
      <c r="M24" s="17">
        <f>3.5*C24/1000</f>
        <v>0.7</v>
      </c>
    </row>
    <row r="25" spans="1:13" x14ac:dyDescent="0.25">
      <c r="A25" s="6" t="s">
        <v>26</v>
      </c>
      <c r="B25" s="7" t="s">
        <v>3</v>
      </c>
      <c r="C25" s="33">
        <v>50</v>
      </c>
      <c r="D25" s="17">
        <f>107*C25/1000</f>
        <v>5.35</v>
      </c>
      <c r="E25" s="17">
        <f>45*C25/1000</f>
        <v>2.25</v>
      </c>
      <c r="F25" s="17">
        <f>435*C25/1000</f>
        <v>21.75</v>
      </c>
      <c r="G25" s="17">
        <f>2740*C25/1000</f>
        <v>137</v>
      </c>
      <c r="H25" s="17">
        <f>0</f>
        <v>0</v>
      </c>
      <c r="I25" s="17">
        <f>4.1*C25/1000</f>
        <v>0.20499999999999996</v>
      </c>
      <c r="J25" s="17">
        <f>2*C25/1000</f>
        <v>0.1</v>
      </c>
      <c r="K25" s="17">
        <f>1250*C25/1000</f>
        <v>62.5</v>
      </c>
      <c r="L25" s="17">
        <f>1290*C25/1000</f>
        <v>64.5</v>
      </c>
      <c r="M25" s="17">
        <f>36*C25/1000</f>
        <v>1.8</v>
      </c>
    </row>
    <row r="26" spans="1:13" x14ac:dyDescent="0.25">
      <c r="A26" s="12" t="s">
        <v>30</v>
      </c>
      <c r="B26" s="7" t="s">
        <v>0</v>
      </c>
      <c r="C26" s="33">
        <v>30</v>
      </c>
      <c r="D26" s="28">
        <f>85*C26/1000</f>
        <v>2.5499999999999998</v>
      </c>
      <c r="E26" s="28">
        <f>33*C26/1000</f>
        <v>0.99</v>
      </c>
      <c r="F26" s="28">
        <f>425*C26/1000</f>
        <v>12.75</v>
      </c>
      <c r="G26" s="28">
        <f>2590*C26/1000</f>
        <v>77.7</v>
      </c>
      <c r="H26" s="32">
        <f>0</f>
        <v>0</v>
      </c>
      <c r="I26" s="28">
        <f>4.3*C26/1000</f>
        <v>0.129</v>
      </c>
      <c r="J26" s="28">
        <f>4*C26/1000</f>
        <v>0.12</v>
      </c>
      <c r="K26" s="28">
        <f>730*C26/1000</f>
        <v>21.9</v>
      </c>
      <c r="L26" s="28">
        <f>1250*C26/1000</f>
        <v>37.5</v>
      </c>
      <c r="M26" s="28">
        <f>28.3*C26/1000</f>
        <v>0.84899999999999998</v>
      </c>
    </row>
    <row r="27" spans="1:13" x14ac:dyDescent="0.25">
      <c r="A27" s="6">
        <v>338</v>
      </c>
      <c r="B27" s="7" t="s">
        <v>47</v>
      </c>
      <c r="C27" s="33">
        <v>100</v>
      </c>
      <c r="D27" s="17">
        <f>4*C27/1000</f>
        <v>0.4</v>
      </c>
      <c r="E27" s="17">
        <f>4*C27/1000</f>
        <v>0.4</v>
      </c>
      <c r="F27" s="17">
        <f>98*C27/1000</f>
        <v>9.8000000000000007</v>
      </c>
      <c r="G27" s="17">
        <f>470*C27/1000</f>
        <v>47</v>
      </c>
      <c r="H27" s="17">
        <f>0</f>
        <v>0</v>
      </c>
      <c r="I27" s="17">
        <f>0.3*C27/1000</f>
        <v>0.03</v>
      </c>
      <c r="J27" s="17">
        <f>100*C27/1000</f>
        <v>10</v>
      </c>
      <c r="K27" s="17">
        <f>160*C27/1000</f>
        <v>16</v>
      </c>
      <c r="L27" s="17">
        <f>110*C27/1000</f>
        <v>11</v>
      </c>
      <c r="M27" s="17">
        <f>22*C27/1000</f>
        <v>2.2000000000000002</v>
      </c>
    </row>
    <row r="28" spans="1:13" x14ac:dyDescent="0.25">
      <c r="A28" s="25"/>
      <c r="B28" s="9" t="s">
        <v>27</v>
      </c>
      <c r="C28" s="10">
        <f>SUM(C22:C27)</f>
        <v>810</v>
      </c>
      <c r="D28" s="40">
        <f t="shared" ref="D28:M28" si="1">SUM(D22:D27)</f>
        <v>32.813999999999993</v>
      </c>
      <c r="E28" s="40">
        <f t="shared" si="1"/>
        <v>28.343</v>
      </c>
      <c r="F28" s="40">
        <f t="shared" si="1"/>
        <v>99.77</v>
      </c>
      <c r="G28" s="40">
        <f t="shared" si="1"/>
        <v>809.75</v>
      </c>
      <c r="H28" s="40">
        <f t="shared" si="1"/>
        <v>86.85</v>
      </c>
      <c r="I28" s="40">
        <f t="shared" si="1"/>
        <v>0.52400000000000002</v>
      </c>
      <c r="J28" s="40">
        <f t="shared" si="1"/>
        <v>28.789000000000005</v>
      </c>
      <c r="K28" s="40">
        <f t="shared" si="1"/>
        <v>380.45299999999997</v>
      </c>
      <c r="L28" s="40">
        <f t="shared" si="1"/>
        <v>445.07400000000001</v>
      </c>
      <c r="M28" s="40">
        <f t="shared" si="1"/>
        <v>7.1240000000000006</v>
      </c>
    </row>
    <row r="29" spans="1:13" ht="18.75" x14ac:dyDescent="0.25">
      <c r="A29" s="25"/>
      <c r="B29" s="14" t="s">
        <v>31</v>
      </c>
      <c r="C29" s="13">
        <f t="shared" ref="C29:M29" si="2">C20+C28</f>
        <v>1410</v>
      </c>
      <c r="D29" s="41">
        <f t="shared" si="2"/>
        <v>49.327999999999989</v>
      </c>
      <c r="E29" s="41">
        <f t="shared" si="2"/>
        <v>44.991</v>
      </c>
      <c r="F29" s="41">
        <f t="shared" si="2"/>
        <v>174.75599999999997</v>
      </c>
      <c r="G29" s="41">
        <f t="shared" si="2"/>
        <v>1341.27</v>
      </c>
      <c r="H29" s="41">
        <f t="shared" si="2"/>
        <v>106.85</v>
      </c>
      <c r="I29" s="41">
        <f t="shared" si="2"/>
        <v>0.96799999999999997</v>
      </c>
      <c r="J29" s="41">
        <f t="shared" si="2"/>
        <v>71.661000000000001</v>
      </c>
      <c r="K29" s="41">
        <f t="shared" si="2"/>
        <v>731.02299999999991</v>
      </c>
      <c r="L29" s="41">
        <f t="shared" si="2"/>
        <v>749.08200000000011</v>
      </c>
      <c r="M29" s="41">
        <f t="shared" si="2"/>
        <v>12.295000000000002</v>
      </c>
    </row>
    <row r="30" spans="1:13" ht="18" customHeight="1" x14ac:dyDescent="0.25">
      <c r="A30" s="15"/>
      <c r="B30" s="16" t="s">
        <v>68</v>
      </c>
      <c r="C30" s="17">
        <v>1350</v>
      </c>
      <c r="D30" s="18">
        <v>45</v>
      </c>
      <c r="E30" s="18">
        <v>46</v>
      </c>
      <c r="F30" s="18">
        <v>192</v>
      </c>
      <c r="G30" s="18">
        <v>1360</v>
      </c>
      <c r="H30" s="18">
        <v>450</v>
      </c>
      <c r="I30" s="18">
        <v>0.7</v>
      </c>
      <c r="J30" s="18">
        <v>35</v>
      </c>
      <c r="K30" s="18">
        <v>600</v>
      </c>
      <c r="L30" s="18">
        <v>600</v>
      </c>
      <c r="M30" s="18">
        <v>9</v>
      </c>
    </row>
    <row r="31" spans="1:13" ht="15.75" x14ac:dyDescent="0.25">
      <c r="A31" s="26"/>
      <c r="B31" s="20"/>
      <c r="C31" s="27"/>
      <c r="D31" s="22"/>
      <c r="E31" s="22"/>
      <c r="F31" s="22"/>
      <c r="G31" s="22"/>
      <c r="H31" s="22"/>
      <c r="I31" s="23"/>
      <c r="J31" s="22"/>
      <c r="K31" s="22"/>
      <c r="L31" s="22"/>
      <c r="M31" s="22"/>
    </row>
    <row r="32" spans="1:13" ht="15.75" x14ac:dyDescent="0.25">
      <c r="A32" s="26"/>
      <c r="B32" s="20"/>
      <c r="C32" s="27"/>
      <c r="D32" s="22"/>
      <c r="E32" s="22"/>
      <c r="F32" s="22"/>
      <c r="G32" s="22"/>
      <c r="H32" s="22"/>
      <c r="I32" s="23"/>
      <c r="J32" s="22"/>
      <c r="K32" s="22"/>
      <c r="L32" s="22"/>
      <c r="M32" s="22"/>
    </row>
    <row r="33" spans="1:13" ht="15.75" x14ac:dyDescent="0.25">
      <c r="A33" s="26"/>
      <c r="B33" s="20"/>
      <c r="C33" s="27"/>
      <c r="D33" s="22"/>
      <c r="E33" s="22"/>
      <c r="F33" s="22"/>
      <c r="G33" s="22"/>
      <c r="H33" s="22"/>
      <c r="I33" s="23"/>
      <c r="J33" s="22"/>
      <c r="K33" s="22"/>
      <c r="L33" s="22"/>
      <c r="M33" s="22"/>
    </row>
  </sheetData>
  <mergeCells count="11">
    <mergeCell ref="A7:B7"/>
    <mergeCell ref="A8:B8"/>
    <mergeCell ref="H10:J11"/>
    <mergeCell ref="K10:M11"/>
    <mergeCell ref="D11:F11"/>
    <mergeCell ref="A9:B9"/>
    <mergeCell ref="A10:A12"/>
    <mergeCell ref="B10:B12"/>
    <mergeCell ref="C10:C12"/>
    <mergeCell ref="D10:F10"/>
    <mergeCell ref="G10:G12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="80" zoomScaleNormal="80" workbookViewId="0">
      <selection activeCell="P23" sqref="P23"/>
    </sheetView>
  </sheetViews>
  <sheetFormatPr defaultColWidth="8.85546875" defaultRowHeight="15" x14ac:dyDescent="0.25"/>
  <cols>
    <col min="1" max="1" width="8.85546875" style="1"/>
    <col min="2" max="2" width="30" style="1" customWidth="1"/>
    <col min="3" max="3" width="10" style="1" customWidth="1"/>
    <col min="4" max="6" width="9.28515625" style="1" customWidth="1"/>
    <col min="7" max="7" width="9.5703125" style="1" customWidth="1"/>
    <col min="8" max="8" width="8.7109375" style="1" customWidth="1"/>
    <col min="9" max="9" width="10.42578125" style="1" customWidth="1"/>
    <col min="10" max="10" width="9.28515625" style="1" customWidth="1"/>
    <col min="11" max="11" width="8.5703125" style="1" customWidth="1"/>
    <col min="12" max="13" width="9.28515625" style="1" customWidth="1"/>
    <col min="14" max="16384" width="8.85546875" style="1"/>
  </cols>
  <sheetData>
    <row r="1" spans="1:13" x14ac:dyDescent="0.25">
      <c r="A1" s="70" t="s">
        <v>67</v>
      </c>
      <c r="B1" s="71"/>
    </row>
    <row r="2" spans="1:13" x14ac:dyDescent="0.25">
      <c r="A2" s="70" t="s">
        <v>8</v>
      </c>
      <c r="B2" s="71"/>
    </row>
    <row r="3" spans="1:13" ht="15.75" thickBot="1" x14ac:dyDescent="0.3">
      <c r="A3" s="72" t="s">
        <v>72</v>
      </c>
      <c r="B3" s="73"/>
    </row>
    <row r="4" spans="1:13" ht="15.75" x14ac:dyDescent="0.25">
      <c r="A4" s="74" t="s">
        <v>9</v>
      </c>
      <c r="B4" s="74" t="s">
        <v>10</v>
      </c>
      <c r="C4" s="74" t="s">
        <v>11</v>
      </c>
      <c r="D4" s="82" t="s">
        <v>12</v>
      </c>
      <c r="E4" s="83"/>
      <c r="F4" s="84"/>
      <c r="G4" s="74" t="s">
        <v>13</v>
      </c>
      <c r="H4" s="82" t="s">
        <v>14</v>
      </c>
      <c r="I4" s="83"/>
      <c r="J4" s="84"/>
      <c r="K4" s="82" t="s">
        <v>15</v>
      </c>
      <c r="L4" s="83"/>
      <c r="M4" s="84"/>
    </row>
    <row r="5" spans="1:13" ht="16.5" thickBot="1" x14ac:dyDescent="0.3">
      <c r="A5" s="75"/>
      <c r="B5" s="77"/>
      <c r="C5" s="77"/>
      <c r="D5" s="85" t="s">
        <v>16</v>
      </c>
      <c r="E5" s="86"/>
      <c r="F5" s="87"/>
      <c r="G5" s="77"/>
      <c r="H5" s="85"/>
      <c r="I5" s="86"/>
      <c r="J5" s="87"/>
      <c r="K5" s="85"/>
      <c r="L5" s="86"/>
      <c r="M5" s="87"/>
    </row>
    <row r="6" spans="1:13" ht="18" customHeight="1" thickBot="1" x14ac:dyDescent="0.3">
      <c r="A6" s="76"/>
      <c r="B6" s="78"/>
      <c r="C6" s="78"/>
      <c r="D6" s="2" t="s">
        <v>17</v>
      </c>
      <c r="E6" s="2" t="s">
        <v>18</v>
      </c>
      <c r="F6" s="2" t="s">
        <v>19</v>
      </c>
      <c r="G6" s="78"/>
      <c r="H6" s="2" t="s">
        <v>20</v>
      </c>
      <c r="I6" s="2" t="s">
        <v>21</v>
      </c>
      <c r="J6" s="2" t="s">
        <v>22</v>
      </c>
      <c r="K6" s="2" t="s">
        <v>23</v>
      </c>
      <c r="L6" s="2" t="s">
        <v>40</v>
      </c>
      <c r="M6" s="2" t="s">
        <v>24</v>
      </c>
    </row>
    <row r="7" spans="1:13" ht="15.95" customHeight="1" x14ac:dyDescent="0.25">
      <c r="A7" s="3"/>
      <c r="B7" s="4" t="s">
        <v>25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.95" customHeight="1" x14ac:dyDescent="0.25">
      <c r="A8" s="52">
        <v>268</v>
      </c>
      <c r="B8" s="51" t="s">
        <v>49</v>
      </c>
      <c r="C8" s="54">
        <v>120</v>
      </c>
      <c r="D8" s="17">
        <f>129*C8/1000</f>
        <v>15.48</v>
      </c>
      <c r="E8" s="17">
        <f>334.2*C8/1000</f>
        <v>40.103999999999999</v>
      </c>
      <c r="F8" s="17">
        <f>132.2*C8/1000</f>
        <v>15.863999999999999</v>
      </c>
      <c r="G8" s="17">
        <f>4080*C8/1000</f>
        <v>489.6</v>
      </c>
      <c r="H8" s="17">
        <f>400*C8/1000</f>
        <v>48</v>
      </c>
      <c r="I8" s="17">
        <f>3.6*C8/1000</f>
        <v>0.432</v>
      </c>
      <c r="J8" s="17">
        <f>42.8*C8/1000</f>
        <v>5.1360000000000001</v>
      </c>
      <c r="K8" s="17">
        <f>115*C8/1000</f>
        <v>13.8</v>
      </c>
      <c r="L8" s="17">
        <f>1541.6*C8/1000</f>
        <v>184.99199999999999</v>
      </c>
      <c r="M8" s="17">
        <f>32*C8/1000</f>
        <v>3.84</v>
      </c>
    </row>
    <row r="9" spans="1:13" ht="15.95" customHeight="1" x14ac:dyDescent="0.25">
      <c r="A9" s="24">
        <v>382</v>
      </c>
      <c r="B9" s="7" t="s">
        <v>43</v>
      </c>
      <c r="C9" s="33">
        <v>200</v>
      </c>
      <c r="D9" s="28">
        <f>20.4*C9/1000</f>
        <v>4.0799999999999992</v>
      </c>
      <c r="E9" s="28">
        <f>17.7*C9/1000</f>
        <v>3.54</v>
      </c>
      <c r="F9" s="28">
        <f>87.9*C9/1000</f>
        <v>17.579999999999998</v>
      </c>
      <c r="G9" s="28">
        <f>593*C9/1000</f>
        <v>118.6</v>
      </c>
      <c r="H9" s="28">
        <f>122*C9/1000</f>
        <v>24.4</v>
      </c>
      <c r="I9" s="28">
        <f>0.28*C9/1000</f>
        <v>5.6000000000000008E-2</v>
      </c>
      <c r="J9" s="28">
        <f>7.9*C9/1000</f>
        <v>1.58</v>
      </c>
      <c r="K9" s="28">
        <f>761.1*C9/1000</f>
        <v>152.22</v>
      </c>
      <c r="L9" s="28">
        <f>622.8*C9/1000</f>
        <v>124.55999999999999</v>
      </c>
      <c r="M9" s="28">
        <f>2.4*C9/1000</f>
        <v>0.48</v>
      </c>
    </row>
    <row r="10" spans="1:13" ht="15.95" customHeight="1" x14ac:dyDescent="0.25">
      <c r="A10" s="24">
        <v>309</v>
      </c>
      <c r="B10" s="7" t="s">
        <v>46</v>
      </c>
      <c r="C10" s="33">
        <v>200</v>
      </c>
      <c r="D10" s="17">
        <f>36.8*C10/1000</f>
        <v>7.3599999999999994</v>
      </c>
      <c r="E10" s="17">
        <f>30.1*C10/1000</f>
        <v>6.02</v>
      </c>
      <c r="F10" s="17">
        <f>176.3*C10/1000</f>
        <v>35.26</v>
      </c>
      <c r="G10" s="17">
        <f>1123*C10/1000</f>
        <v>224.6</v>
      </c>
      <c r="H10" s="17">
        <f>0</f>
        <v>0</v>
      </c>
      <c r="I10" s="17">
        <f>0.4*C10/1000</f>
        <v>0.08</v>
      </c>
      <c r="J10" s="17">
        <f>0</f>
        <v>0</v>
      </c>
      <c r="K10" s="17">
        <f>32.4*C10/1000</f>
        <v>6.48</v>
      </c>
      <c r="L10" s="17">
        <f>247.8*C10/1000</f>
        <v>49.56</v>
      </c>
      <c r="M10" s="17">
        <f>7.4*C10/1000</f>
        <v>1.48</v>
      </c>
    </row>
    <row r="11" spans="1:13" ht="15.95" customHeight="1" x14ac:dyDescent="0.25">
      <c r="A11" s="6" t="s">
        <v>26</v>
      </c>
      <c r="B11" s="7" t="s">
        <v>3</v>
      </c>
      <c r="C11" s="33">
        <v>50</v>
      </c>
      <c r="D11" s="17">
        <f>107*C11/1000</f>
        <v>5.35</v>
      </c>
      <c r="E11" s="17">
        <f>45*C11/1000</f>
        <v>2.25</v>
      </c>
      <c r="F11" s="17">
        <f>435*C11/1000</f>
        <v>21.75</v>
      </c>
      <c r="G11" s="17">
        <f>2740*C11/1000</f>
        <v>137</v>
      </c>
      <c r="H11" s="17">
        <f>0</f>
        <v>0</v>
      </c>
      <c r="I11" s="17">
        <f>4.1*C11/1000</f>
        <v>0.20499999999999996</v>
      </c>
      <c r="J11" s="17">
        <f>2*C11/1000</f>
        <v>0.1</v>
      </c>
      <c r="K11" s="17">
        <f>1250*C11/1000</f>
        <v>62.5</v>
      </c>
      <c r="L11" s="17">
        <f>1290*C11/1000</f>
        <v>64.5</v>
      </c>
      <c r="M11" s="17">
        <f>36*C11/1000</f>
        <v>1.8</v>
      </c>
    </row>
    <row r="12" spans="1:13" ht="15.95" customHeight="1" x14ac:dyDescent="0.25">
      <c r="A12" s="12" t="s">
        <v>30</v>
      </c>
      <c r="B12" s="7" t="s">
        <v>0</v>
      </c>
      <c r="C12" s="33">
        <v>30</v>
      </c>
      <c r="D12" s="28">
        <f>85*C12/1000</f>
        <v>2.5499999999999998</v>
      </c>
      <c r="E12" s="28">
        <f>33*C12/1000</f>
        <v>0.99</v>
      </c>
      <c r="F12" s="28">
        <f>425*C12/1000</f>
        <v>12.75</v>
      </c>
      <c r="G12" s="28">
        <f>2590*C12/1000</f>
        <v>77.7</v>
      </c>
      <c r="H12" s="32">
        <f>0</f>
        <v>0</v>
      </c>
      <c r="I12" s="28">
        <f>4.3*C12/1000</f>
        <v>0.129</v>
      </c>
      <c r="J12" s="28">
        <f>4*C12/1000</f>
        <v>0.12</v>
      </c>
      <c r="K12" s="28">
        <f>730*C12/1000</f>
        <v>21.9</v>
      </c>
      <c r="L12" s="28">
        <f>1250*C12/1000</f>
        <v>37.5</v>
      </c>
      <c r="M12" s="28">
        <f>28.3*C12/1000</f>
        <v>0.84899999999999998</v>
      </c>
    </row>
    <row r="13" spans="1:13" ht="15.95" customHeight="1" x14ac:dyDescent="0.25">
      <c r="A13" s="6">
        <v>54</v>
      </c>
      <c r="B13" s="7" t="s">
        <v>85</v>
      </c>
      <c r="C13" s="33">
        <v>100</v>
      </c>
      <c r="D13" s="17">
        <v>1.1000000000000001</v>
      </c>
      <c r="E13" s="17">
        <v>6.1</v>
      </c>
      <c r="F13" s="17">
        <v>11.2</v>
      </c>
      <c r="G13" s="17">
        <v>103.9</v>
      </c>
      <c r="H13" s="17">
        <v>0</v>
      </c>
      <c r="I13" s="17">
        <v>0</v>
      </c>
      <c r="J13" s="17">
        <v>6.4</v>
      </c>
      <c r="K13" s="17">
        <v>29.3</v>
      </c>
      <c r="L13" s="17">
        <v>31.8</v>
      </c>
      <c r="M13" s="17">
        <v>1.5</v>
      </c>
    </row>
    <row r="14" spans="1:13" ht="15.95" customHeight="1" x14ac:dyDescent="0.25">
      <c r="A14" s="6"/>
      <c r="B14" s="7"/>
      <c r="C14" s="33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ht="15.95" customHeight="1" x14ac:dyDescent="0.25">
      <c r="A15" s="6"/>
      <c r="B15" s="9" t="s">
        <v>27</v>
      </c>
      <c r="C15" s="42">
        <f>SUM(C8:C14)</f>
        <v>700</v>
      </c>
      <c r="D15" s="40">
        <f t="shared" ref="D15:M15" si="0">SUM(D8:D14)</f>
        <v>35.919999999999995</v>
      </c>
      <c r="E15" s="40">
        <f t="shared" si="0"/>
        <v>59.004000000000005</v>
      </c>
      <c r="F15" s="40">
        <f t="shared" si="0"/>
        <v>114.404</v>
      </c>
      <c r="G15" s="40">
        <f t="shared" si="0"/>
        <v>1151.4000000000001</v>
      </c>
      <c r="H15" s="40">
        <f t="shared" si="0"/>
        <v>72.400000000000006</v>
      </c>
      <c r="I15" s="40">
        <f t="shared" si="0"/>
        <v>0.90199999999999991</v>
      </c>
      <c r="J15" s="40">
        <f t="shared" si="0"/>
        <v>13.336</v>
      </c>
      <c r="K15" s="40">
        <f t="shared" si="0"/>
        <v>286.2</v>
      </c>
      <c r="L15" s="40">
        <f t="shared" si="0"/>
        <v>492.91199999999998</v>
      </c>
      <c r="M15" s="40">
        <f t="shared" si="0"/>
        <v>9.9489999999999998</v>
      </c>
    </row>
    <row r="16" spans="1:13" ht="15.95" customHeight="1" x14ac:dyDescent="0.25">
      <c r="A16" s="6"/>
      <c r="B16" s="11" t="s">
        <v>28</v>
      </c>
      <c r="C16" s="8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ht="15.95" customHeight="1" x14ac:dyDescent="0.25">
      <c r="A17" s="6">
        <v>338</v>
      </c>
      <c r="B17" s="7" t="s">
        <v>47</v>
      </c>
      <c r="C17" s="33">
        <v>100</v>
      </c>
      <c r="D17" s="17">
        <f>4*C17/1000</f>
        <v>0.4</v>
      </c>
      <c r="E17" s="17">
        <f>4*C17/1000</f>
        <v>0.4</v>
      </c>
      <c r="F17" s="17">
        <f>98*C17/1000</f>
        <v>9.8000000000000007</v>
      </c>
      <c r="G17" s="17">
        <f>470*C17/1000</f>
        <v>47</v>
      </c>
      <c r="H17" s="17">
        <f>0</f>
        <v>0</v>
      </c>
      <c r="I17" s="17">
        <f>0.3*C17/1000</f>
        <v>0.03</v>
      </c>
      <c r="J17" s="17">
        <f>100*C17/1000</f>
        <v>10</v>
      </c>
      <c r="K17" s="17">
        <f>160*C17/1000</f>
        <v>16</v>
      </c>
      <c r="L17" s="17">
        <f>110*C17/1000</f>
        <v>11</v>
      </c>
      <c r="M17" s="17">
        <f>22*C17/1000</f>
        <v>2.2000000000000002</v>
      </c>
    </row>
    <row r="18" spans="1:13" ht="15.95" customHeight="1" x14ac:dyDescent="0.25">
      <c r="A18" s="24">
        <v>82</v>
      </c>
      <c r="B18" s="7" t="s">
        <v>70</v>
      </c>
      <c r="C18" s="33">
        <v>250</v>
      </c>
      <c r="D18" s="17">
        <f>6.4*C18/1000</f>
        <v>1.6</v>
      </c>
      <c r="E18" s="17">
        <f>19.4*C18/1000</f>
        <v>4.8499999999999996</v>
      </c>
      <c r="F18" s="17">
        <f>34.3*C18/1000</f>
        <v>8.5749999999999993</v>
      </c>
      <c r="G18" s="17">
        <f>365*C18/1000</f>
        <v>91.25</v>
      </c>
      <c r="H18" s="17">
        <f>0</f>
        <v>0</v>
      </c>
      <c r="I18" s="17">
        <f>0.1*C18/1000</f>
        <v>2.5000000000000001E-2</v>
      </c>
      <c r="J18" s="17">
        <f>43.7*C18/1000</f>
        <v>10.925000000000001</v>
      </c>
      <c r="K18" s="17">
        <f>210.1*C18/1000</f>
        <v>52.524999999999999</v>
      </c>
      <c r="L18" s="17">
        <f>184.4*C18/1000</f>
        <v>46.1</v>
      </c>
      <c r="M18" s="17">
        <f>4.4*C18/1000</f>
        <v>1.1000000000000001</v>
      </c>
    </row>
    <row r="19" spans="1:13" ht="15.95" customHeight="1" x14ac:dyDescent="0.25">
      <c r="A19" s="24">
        <v>304</v>
      </c>
      <c r="B19" s="7" t="s">
        <v>5</v>
      </c>
      <c r="C19" s="33">
        <v>200</v>
      </c>
      <c r="D19" s="17">
        <f>24.3*C19/1000</f>
        <v>4.8600000000000003</v>
      </c>
      <c r="E19" s="17">
        <f>35.8*C19/1000</f>
        <v>7.1599999999999993</v>
      </c>
      <c r="F19" s="17">
        <f>244.6*C19/1000</f>
        <v>48.92</v>
      </c>
      <c r="G19" s="17">
        <f>1398*C19/1000</f>
        <v>279.60000000000002</v>
      </c>
      <c r="H19" s="17">
        <f>0</f>
        <v>0</v>
      </c>
      <c r="I19" s="17">
        <f>0.2*C19/1000</f>
        <v>0.04</v>
      </c>
      <c r="J19" s="17">
        <f>0</f>
        <v>0</v>
      </c>
      <c r="K19" s="17">
        <f>9.1*C19/1000</f>
        <v>1.82</v>
      </c>
      <c r="L19" s="17">
        <f>406.3*C19/1000</f>
        <v>81.260000000000005</v>
      </c>
      <c r="M19" s="17">
        <f>3.5*C19/1000</f>
        <v>0.7</v>
      </c>
    </row>
    <row r="20" spans="1:13" ht="15.95" customHeight="1" x14ac:dyDescent="0.25">
      <c r="A20" s="53">
        <v>260</v>
      </c>
      <c r="B20" s="51" t="s">
        <v>77</v>
      </c>
      <c r="C20" s="54">
        <v>120</v>
      </c>
      <c r="D20" s="55">
        <v>8.25</v>
      </c>
      <c r="E20" s="55">
        <v>12.1</v>
      </c>
      <c r="F20" s="55">
        <v>7.16</v>
      </c>
      <c r="G20" s="55">
        <v>172</v>
      </c>
      <c r="H20" s="55">
        <v>27.89</v>
      </c>
      <c r="I20" s="55">
        <v>1.4</v>
      </c>
      <c r="J20" s="55">
        <v>0.04</v>
      </c>
      <c r="K20" s="55">
        <v>0.08</v>
      </c>
      <c r="L20" s="55">
        <v>0.17</v>
      </c>
      <c r="M20" s="55">
        <v>0</v>
      </c>
    </row>
    <row r="21" spans="1:13" ht="15.95" customHeight="1" x14ac:dyDescent="0.25">
      <c r="A21" s="24">
        <v>342</v>
      </c>
      <c r="B21" s="7" t="s">
        <v>34</v>
      </c>
      <c r="C21" s="33">
        <v>200</v>
      </c>
      <c r="D21" s="17">
        <f>0.8*C21/1000</f>
        <v>0.16</v>
      </c>
      <c r="E21" s="17">
        <f>0.8*C21/1000</f>
        <v>0.16</v>
      </c>
      <c r="F21" s="17">
        <f>139.4*C21/1000</f>
        <v>27.88</v>
      </c>
      <c r="G21" s="17">
        <f>573*C21/1000</f>
        <v>114.6</v>
      </c>
      <c r="H21" s="17">
        <f>0</f>
        <v>0</v>
      </c>
      <c r="I21" s="17">
        <f>0.1*C20/1000</f>
        <v>1.2E-2</v>
      </c>
      <c r="J21" s="17">
        <f>5.5*C21/1000</f>
        <v>1.1000000000000001</v>
      </c>
      <c r="K21" s="17">
        <f>70.9*C21/1000</f>
        <v>14.180000000000001</v>
      </c>
      <c r="L21" s="17">
        <f>22*C21/1000</f>
        <v>4.4000000000000004</v>
      </c>
      <c r="M21" s="17">
        <f>4.8*C21/1000</f>
        <v>0.96</v>
      </c>
    </row>
    <row r="22" spans="1:13" ht="15.95" customHeight="1" x14ac:dyDescent="0.25">
      <c r="A22" s="6" t="s">
        <v>26</v>
      </c>
      <c r="B22" s="7" t="s">
        <v>3</v>
      </c>
      <c r="C22" s="33">
        <v>50</v>
      </c>
      <c r="D22" s="17">
        <f>107*C22/1000</f>
        <v>5.35</v>
      </c>
      <c r="E22" s="17">
        <f>45*C22/1000</f>
        <v>2.25</v>
      </c>
      <c r="F22" s="17">
        <f>435*C22/1000</f>
        <v>21.75</v>
      </c>
      <c r="G22" s="17">
        <f>2740*C22/1000</f>
        <v>137</v>
      </c>
      <c r="H22" s="17">
        <f>0</f>
        <v>0</v>
      </c>
      <c r="I22" s="17">
        <f>4.1*C22/1000</f>
        <v>0.20499999999999996</v>
      </c>
      <c r="J22" s="17">
        <f>2*C22/1000</f>
        <v>0.1</v>
      </c>
      <c r="K22" s="17">
        <f>1250*C22/1000</f>
        <v>62.5</v>
      </c>
      <c r="L22" s="17">
        <f>1290*C22/1000</f>
        <v>64.5</v>
      </c>
      <c r="M22" s="17">
        <f>36*C22/1000</f>
        <v>1.8</v>
      </c>
    </row>
    <row r="23" spans="1:13" ht="15.95" customHeight="1" x14ac:dyDescent="0.25">
      <c r="A23" s="12" t="s">
        <v>30</v>
      </c>
      <c r="B23" s="7" t="s">
        <v>0</v>
      </c>
      <c r="C23" s="33">
        <v>30</v>
      </c>
      <c r="D23" s="28">
        <f>85*C23/1000</f>
        <v>2.5499999999999998</v>
      </c>
      <c r="E23" s="28">
        <f>33*C23/1000</f>
        <v>0.99</v>
      </c>
      <c r="F23" s="28">
        <f>425*C23/1000</f>
        <v>12.75</v>
      </c>
      <c r="G23" s="28">
        <f>2590*C23/1000</f>
        <v>77.7</v>
      </c>
      <c r="H23" s="32">
        <f>0</f>
        <v>0</v>
      </c>
      <c r="I23" s="28">
        <f>4.3*C23/1000</f>
        <v>0.129</v>
      </c>
      <c r="J23" s="28">
        <f>4*C23/1000</f>
        <v>0.12</v>
      </c>
      <c r="K23" s="28">
        <f>730*C23/1000</f>
        <v>21.9</v>
      </c>
      <c r="L23" s="28">
        <f>1250*C23/1000</f>
        <v>37.5</v>
      </c>
      <c r="M23" s="28">
        <f>28.3*C23/1000</f>
        <v>0.84899999999999998</v>
      </c>
    </row>
    <row r="24" spans="1:13" ht="15.95" customHeight="1" x14ac:dyDescent="0.25">
      <c r="A24" s="6"/>
      <c r="B24" s="7"/>
      <c r="C24" s="33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15.95" customHeight="1" x14ac:dyDescent="0.25">
      <c r="A25" s="6"/>
      <c r="B25" s="7"/>
      <c r="C25" s="33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15.95" customHeight="1" x14ac:dyDescent="0.25">
      <c r="A26" s="12"/>
      <c r="B26" s="9" t="s">
        <v>27</v>
      </c>
      <c r="C26" s="42">
        <f>SUM(C17:C25)</f>
        <v>950</v>
      </c>
      <c r="D26" s="40">
        <f t="shared" ref="D26:M26" si="1">SUM(D17:D25)</f>
        <v>23.169999999999998</v>
      </c>
      <c r="E26" s="40">
        <f t="shared" si="1"/>
        <v>27.909999999999997</v>
      </c>
      <c r="F26" s="40">
        <f t="shared" si="1"/>
        <v>136.83499999999998</v>
      </c>
      <c r="G26" s="40">
        <f t="shared" si="1"/>
        <v>919.15000000000009</v>
      </c>
      <c r="H26" s="40">
        <f t="shared" si="1"/>
        <v>27.89</v>
      </c>
      <c r="I26" s="40">
        <f t="shared" si="1"/>
        <v>1.8409999999999997</v>
      </c>
      <c r="J26" s="40">
        <f t="shared" si="1"/>
        <v>22.285000000000004</v>
      </c>
      <c r="K26" s="40">
        <f t="shared" si="1"/>
        <v>169.00500000000002</v>
      </c>
      <c r="L26" s="40">
        <f t="shared" si="1"/>
        <v>244.93</v>
      </c>
      <c r="M26" s="40">
        <f t="shared" si="1"/>
        <v>7.609</v>
      </c>
    </row>
    <row r="27" spans="1:13" ht="15.95" customHeight="1" x14ac:dyDescent="0.25">
      <c r="A27" s="12"/>
      <c r="B27" s="14" t="s">
        <v>31</v>
      </c>
      <c r="C27" s="43">
        <f t="shared" ref="C27:M27" si="2">C15+C26</f>
        <v>1650</v>
      </c>
      <c r="D27" s="41">
        <f t="shared" si="2"/>
        <v>59.089999999999989</v>
      </c>
      <c r="E27" s="41">
        <f t="shared" si="2"/>
        <v>86.914000000000001</v>
      </c>
      <c r="F27" s="41">
        <f t="shared" si="2"/>
        <v>251.23899999999998</v>
      </c>
      <c r="G27" s="41">
        <f t="shared" si="2"/>
        <v>2070.5500000000002</v>
      </c>
      <c r="H27" s="41">
        <f t="shared" si="2"/>
        <v>100.29</v>
      </c>
      <c r="I27" s="41">
        <f t="shared" si="2"/>
        <v>2.7429999999999994</v>
      </c>
      <c r="J27" s="41">
        <f t="shared" si="2"/>
        <v>35.621000000000002</v>
      </c>
      <c r="K27" s="41">
        <f t="shared" si="2"/>
        <v>455.20500000000004</v>
      </c>
      <c r="L27" s="41">
        <f t="shared" si="2"/>
        <v>737.84199999999998</v>
      </c>
      <c r="M27" s="41">
        <f t="shared" si="2"/>
        <v>17.558</v>
      </c>
    </row>
    <row r="28" spans="1:13" ht="15.95" customHeight="1" x14ac:dyDescent="0.25">
      <c r="A28" s="15"/>
      <c r="B28" s="16" t="s">
        <v>68</v>
      </c>
      <c r="C28" s="44">
        <v>1350</v>
      </c>
      <c r="D28" s="18">
        <v>45</v>
      </c>
      <c r="E28" s="18">
        <v>46</v>
      </c>
      <c r="F28" s="18">
        <v>192</v>
      </c>
      <c r="G28" s="18">
        <v>1360</v>
      </c>
      <c r="H28" s="18">
        <v>450</v>
      </c>
      <c r="I28" s="18">
        <v>0.7</v>
      </c>
      <c r="J28" s="18">
        <v>35</v>
      </c>
      <c r="K28" s="18">
        <v>600</v>
      </c>
      <c r="L28" s="18">
        <v>600</v>
      </c>
      <c r="M28" s="18">
        <v>9</v>
      </c>
    </row>
    <row r="29" spans="1:13" ht="15.95" customHeight="1" x14ac:dyDescent="0.25">
      <c r="A29" s="19"/>
      <c r="B29" s="20"/>
      <c r="C29" s="21"/>
      <c r="D29" s="22"/>
      <c r="E29" s="22"/>
      <c r="F29" s="22"/>
      <c r="G29" s="22"/>
      <c r="H29" s="22"/>
      <c r="I29" s="23"/>
      <c r="J29" s="22"/>
      <c r="K29" s="22"/>
      <c r="L29" s="22"/>
      <c r="M29" s="22"/>
    </row>
    <row r="30" spans="1:13" ht="15.95" customHeight="1" x14ac:dyDescent="0.25">
      <c r="A30" s="19"/>
      <c r="B30" s="20"/>
      <c r="C30" s="21"/>
      <c r="D30" s="22"/>
      <c r="E30" s="22"/>
      <c r="F30" s="22"/>
      <c r="G30" s="22"/>
      <c r="H30" s="22"/>
      <c r="I30" s="23"/>
      <c r="J30" s="22"/>
      <c r="K30" s="22"/>
      <c r="L30" s="22"/>
      <c r="M30" s="22"/>
    </row>
  </sheetData>
  <mergeCells count="11">
    <mergeCell ref="D4:F4"/>
    <mergeCell ref="G4:G6"/>
    <mergeCell ref="H4:J5"/>
    <mergeCell ref="K4:M5"/>
    <mergeCell ref="D5:F5"/>
    <mergeCell ref="C4:C6"/>
    <mergeCell ref="A1:B1"/>
    <mergeCell ref="A2:B2"/>
    <mergeCell ref="A3:B3"/>
    <mergeCell ref="A4:A6"/>
    <mergeCell ref="B4:B6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0" zoomScaleNormal="80" workbookViewId="0">
      <selection activeCell="S29" sqref="S29"/>
    </sheetView>
  </sheetViews>
  <sheetFormatPr defaultColWidth="8.85546875" defaultRowHeight="15" x14ac:dyDescent="0.25"/>
  <cols>
    <col min="1" max="1" width="8.85546875" style="1"/>
    <col min="2" max="2" width="30" style="1" customWidth="1"/>
    <col min="3" max="3" width="10" style="1" customWidth="1"/>
    <col min="4" max="6" width="9.28515625" style="1" customWidth="1"/>
    <col min="7" max="7" width="9.5703125" style="1" customWidth="1"/>
    <col min="8" max="8" width="8.7109375" style="1" customWidth="1"/>
    <col min="9" max="9" width="10.42578125" style="1" customWidth="1"/>
    <col min="10" max="10" width="9.28515625" style="1" customWidth="1"/>
    <col min="11" max="11" width="8.5703125" style="1" customWidth="1"/>
    <col min="12" max="13" width="9.28515625" style="1" customWidth="1"/>
    <col min="14" max="16384" width="8.85546875" style="1"/>
  </cols>
  <sheetData>
    <row r="1" spans="1:13" ht="17.25" customHeight="1" x14ac:dyDescent="0.25">
      <c r="A1" s="19"/>
      <c r="B1" s="20"/>
      <c r="C1" s="21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9.899999999999999" customHeight="1" x14ac:dyDescent="0.25">
      <c r="A2" s="26"/>
      <c r="B2" s="20"/>
      <c r="C2" s="27"/>
      <c r="D2" s="22"/>
      <c r="E2" s="22"/>
      <c r="F2" s="22"/>
      <c r="G2" s="22"/>
      <c r="H2" s="22"/>
      <c r="I2" s="23"/>
      <c r="J2" s="22"/>
      <c r="K2" s="22"/>
      <c r="L2" s="22"/>
      <c r="M2" s="22"/>
    </row>
    <row r="3" spans="1:13" x14ac:dyDescent="0.25">
      <c r="A3" s="70" t="s">
        <v>64</v>
      </c>
      <c r="B3" s="70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25">
      <c r="A4" s="70" t="s">
        <v>38</v>
      </c>
      <c r="B4" s="70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5.75" thickBot="1" x14ac:dyDescent="0.3">
      <c r="A5" s="72" t="s">
        <v>71</v>
      </c>
      <c r="B5" s="73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25">
      <c r="A6" s="74" t="s">
        <v>9</v>
      </c>
      <c r="B6" s="74" t="s">
        <v>10</v>
      </c>
      <c r="C6" s="74" t="s">
        <v>11</v>
      </c>
      <c r="D6" s="64" t="s">
        <v>12</v>
      </c>
      <c r="E6" s="65"/>
      <c r="F6" s="66"/>
      <c r="G6" s="79" t="s">
        <v>13</v>
      </c>
      <c r="H6" s="64" t="s">
        <v>14</v>
      </c>
      <c r="I6" s="65"/>
      <c r="J6" s="66"/>
      <c r="K6" s="64" t="s">
        <v>15</v>
      </c>
      <c r="L6" s="65"/>
      <c r="M6" s="66"/>
    </row>
    <row r="7" spans="1:13" ht="15.75" thickBot="1" x14ac:dyDescent="0.3">
      <c r="A7" s="75"/>
      <c r="B7" s="77"/>
      <c r="C7" s="77"/>
      <c r="D7" s="67" t="s">
        <v>16</v>
      </c>
      <c r="E7" s="68"/>
      <c r="F7" s="69"/>
      <c r="G7" s="80"/>
      <c r="H7" s="67"/>
      <c r="I7" s="68"/>
      <c r="J7" s="69"/>
      <c r="K7" s="67"/>
      <c r="L7" s="68"/>
      <c r="M7" s="69"/>
    </row>
    <row r="8" spans="1:13" ht="17.25" thickBot="1" x14ac:dyDescent="0.3">
      <c r="A8" s="76"/>
      <c r="B8" s="78"/>
      <c r="C8" s="78"/>
      <c r="D8" s="30" t="s">
        <v>17</v>
      </c>
      <c r="E8" s="30" t="s">
        <v>18</v>
      </c>
      <c r="F8" s="30" t="s">
        <v>19</v>
      </c>
      <c r="G8" s="81"/>
      <c r="H8" s="30" t="s">
        <v>20</v>
      </c>
      <c r="I8" s="30" t="s">
        <v>41</v>
      </c>
      <c r="J8" s="30" t="s">
        <v>22</v>
      </c>
      <c r="K8" s="30" t="s">
        <v>23</v>
      </c>
      <c r="L8" s="30" t="s">
        <v>40</v>
      </c>
      <c r="M8" s="30" t="s">
        <v>24</v>
      </c>
    </row>
    <row r="9" spans="1:13" ht="18.75" x14ac:dyDescent="0.25">
      <c r="A9" s="3"/>
      <c r="B9" s="4" t="s">
        <v>25</v>
      </c>
      <c r="C9" s="5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x14ac:dyDescent="0.25">
      <c r="A10" s="57">
        <v>174</v>
      </c>
      <c r="B10" s="56" t="s">
        <v>91</v>
      </c>
      <c r="C10" s="58">
        <v>250</v>
      </c>
      <c r="D10" s="59">
        <v>7.5</v>
      </c>
      <c r="E10" s="59">
        <v>13.574999999999999</v>
      </c>
      <c r="F10" s="59">
        <v>53.75</v>
      </c>
      <c r="G10" s="59">
        <v>367.5</v>
      </c>
      <c r="H10" s="59">
        <v>68.5</v>
      </c>
      <c r="I10" s="59">
        <v>7.4999999999999997E-2</v>
      </c>
      <c r="J10" s="59">
        <v>1.2</v>
      </c>
      <c r="K10" s="59">
        <v>163.35</v>
      </c>
      <c r="L10" s="59">
        <v>196.8</v>
      </c>
      <c r="M10" s="59">
        <v>0.75</v>
      </c>
    </row>
    <row r="11" spans="1:13" x14ac:dyDescent="0.25">
      <c r="A11" s="24">
        <v>386</v>
      </c>
      <c r="B11" s="7" t="s">
        <v>75</v>
      </c>
      <c r="C11" s="33">
        <v>200</v>
      </c>
      <c r="D11" s="28">
        <v>5.8</v>
      </c>
      <c r="E11" s="28">
        <v>5</v>
      </c>
      <c r="F11" s="28">
        <v>8</v>
      </c>
      <c r="G11" s="28">
        <v>100</v>
      </c>
      <c r="H11" s="28">
        <v>40</v>
      </c>
      <c r="I11" s="28">
        <v>0.08</v>
      </c>
      <c r="J11" s="28">
        <v>1.4</v>
      </c>
      <c r="K11" s="28">
        <v>240</v>
      </c>
      <c r="L11" s="28">
        <v>180</v>
      </c>
      <c r="M11" s="28">
        <v>0.2</v>
      </c>
    </row>
    <row r="12" spans="1:13" x14ac:dyDescent="0.25">
      <c r="A12" s="6" t="s">
        <v>26</v>
      </c>
      <c r="B12" s="7" t="s">
        <v>3</v>
      </c>
      <c r="C12" s="33">
        <v>50</v>
      </c>
      <c r="D12" s="17">
        <f>107*C12/1000</f>
        <v>5.35</v>
      </c>
      <c r="E12" s="17">
        <f>45*C12/1000</f>
        <v>2.25</v>
      </c>
      <c r="F12" s="17">
        <f>435*C12/1000</f>
        <v>21.75</v>
      </c>
      <c r="G12" s="17">
        <f>2740*C12/1000</f>
        <v>137</v>
      </c>
      <c r="H12" s="17">
        <f>0</f>
        <v>0</v>
      </c>
      <c r="I12" s="17">
        <f>4.1*C12/1000</f>
        <v>0.20499999999999996</v>
      </c>
      <c r="J12" s="17">
        <f>2*C12/1000</f>
        <v>0.1</v>
      </c>
      <c r="K12" s="17">
        <f>1250*C12/1000</f>
        <v>62.5</v>
      </c>
      <c r="L12" s="17">
        <f>1290*C12/1000</f>
        <v>64.5</v>
      </c>
      <c r="M12" s="17">
        <f>36*C12/1000</f>
        <v>1.8</v>
      </c>
    </row>
    <row r="13" spans="1:13" x14ac:dyDescent="0.25">
      <c r="A13" s="12" t="s">
        <v>30</v>
      </c>
      <c r="B13" s="7" t="s">
        <v>0</v>
      </c>
      <c r="C13" s="33">
        <v>30</v>
      </c>
      <c r="D13" s="28">
        <f>85*C13/1000</f>
        <v>2.5499999999999998</v>
      </c>
      <c r="E13" s="28">
        <f>33*C13/1000</f>
        <v>0.99</v>
      </c>
      <c r="F13" s="28">
        <f>425*C13/1000</f>
        <v>12.75</v>
      </c>
      <c r="G13" s="28">
        <f>2590*C13/1000</f>
        <v>77.7</v>
      </c>
      <c r="H13" s="32">
        <f>0</f>
        <v>0</v>
      </c>
      <c r="I13" s="28">
        <f>4.3*C13/1000</f>
        <v>0.129</v>
      </c>
      <c r="J13" s="28">
        <f>4*C13/1000</f>
        <v>0.12</v>
      </c>
      <c r="K13" s="28">
        <f>730*C13/1000</f>
        <v>21.9</v>
      </c>
      <c r="L13" s="28">
        <f>1250*C13/1000</f>
        <v>37.5</v>
      </c>
      <c r="M13" s="28">
        <f>28.3*C13/1000</f>
        <v>0.84899999999999998</v>
      </c>
    </row>
    <row r="14" spans="1:13" x14ac:dyDescent="0.25">
      <c r="A14" s="24">
        <v>209</v>
      </c>
      <c r="B14" s="7" t="s">
        <v>56</v>
      </c>
      <c r="C14" s="33">
        <v>45</v>
      </c>
      <c r="D14" s="17">
        <f>126*C14/1000</f>
        <v>5.67</v>
      </c>
      <c r="E14" s="17">
        <f>106*C14/1000</f>
        <v>4.7699999999999996</v>
      </c>
      <c r="F14" s="17">
        <f>11*C14/1000</f>
        <v>0.495</v>
      </c>
      <c r="G14" s="17">
        <f>1550*C14/1000</f>
        <v>69.75</v>
      </c>
      <c r="H14" s="17">
        <f>1490*C14/1000</f>
        <v>67.05</v>
      </c>
      <c r="I14" s="17">
        <f>0.6*C14/1000</f>
        <v>2.7E-2</v>
      </c>
      <c r="J14" s="17">
        <f>0*C14/1000</f>
        <v>0</v>
      </c>
      <c r="K14" s="17">
        <f>500*C14/1000</f>
        <v>22.5</v>
      </c>
      <c r="L14" s="17">
        <f>1720*C14/1000</f>
        <v>77.400000000000006</v>
      </c>
      <c r="M14" s="17">
        <f>11.9*C14/1000</f>
        <v>0.53549999999999998</v>
      </c>
    </row>
    <row r="15" spans="1:13" x14ac:dyDescent="0.25">
      <c r="A15" s="24">
        <v>15</v>
      </c>
      <c r="B15" s="7" t="s">
        <v>1</v>
      </c>
      <c r="C15" s="33">
        <v>20</v>
      </c>
      <c r="D15" s="17">
        <f>232*C15/1000</f>
        <v>4.6399999999999997</v>
      </c>
      <c r="E15" s="17">
        <f>295*C15/1000</f>
        <v>5.9</v>
      </c>
      <c r="F15" s="17">
        <f>0</f>
        <v>0</v>
      </c>
      <c r="G15" s="17">
        <f>3600*C15/1000</f>
        <v>72</v>
      </c>
      <c r="H15" s="17">
        <f>2600*C15/1000</f>
        <v>52</v>
      </c>
      <c r="I15" s="17">
        <f>0.3*C15/1000</f>
        <v>6.0000000000000001E-3</v>
      </c>
      <c r="J15" s="17">
        <f>7*C15/1000</f>
        <v>0.14000000000000001</v>
      </c>
      <c r="K15" s="17">
        <f>8800*C15/1000</f>
        <v>176</v>
      </c>
      <c r="L15" s="17">
        <f>5000*C15/1000</f>
        <v>100</v>
      </c>
      <c r="M15" s="17">
        <f>10*C15/1000</f>
        <v>0.2</v>
      </c>
    </row>
    <row r="16" spans="1:13" x14ac:dyDescent="0.25">
      <c r="A16" s="24"/>
      <c r="B16" s="7"/>
      <c r="C16" s="33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x14ac:dyDescent="0.25">
      <c r="A17" s="24"/>
      <c r="B17" s="9" t="s">
        <v>27</v>
      </c>
      <c r="C17" s="10">
        <f>SUM(C10:C16)</f>
        <v>595</v>
      </c>
      <c r="D17" s="40">
        <f t="shared" ref="D17:M17" si="0">SUM(D10:D15)</f>
        <v>31.509999999999998</v>
      </c>
      <c r="E17" s="40">
        <f t="shared" si="0"/>
        <v>32.484999999999999</v>
      </c>
      <c r="F17" s="40">
        <f t="shared" si="0"/>
        <v>96.745000000000005</v>
      </c>
      <c r="G17" s="40">
        <f t="shared" si="0"/>
        <v>823.95</v>
      </c>
      <c r="H17" s="40">
        <f t="shared" si="0"/>
        <v>227.55</v>
      </c>
      <c r="I17" s="40">
        <f t="shared" si="0"/>
        <v>0.52200000000000002</v>
      </c>
      <c r="J17" s="40">
        <f t="shared" si="0"/>
        <v>2.96</v>
      </c>
      <c r="K17" s="40">
        <f t="shared" si="0"/>
        <v>686.25</v>
      </c>
      <c r="L17" s="40">
        <f t="shared" si="0"/>
        <v>656.2</v>
      </c>
      <c r="M17" s="40">
        <f t="shared" si="0"/>
        <v>4.3345000000000002</v>
      </c>
    </row>
    <row r="18" spans="1:13" ht="18.75" x14ac:dyDescent="0.25">
      <c r="A18" s="24"/>
      <c r="B18" s="11" t="s">
        <v>28</v>
      </c>
      <c r="C18" s="8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x14ac:dyDescent="0.25">
      <c r="A19" s="6">
        <v>57</v>
      </c>
      <c r="B19" s="7" t="s">
        <v>82</v>
      </c>
      <c r="C19" s="33">
        <v>100</v>
      </c>
      <c r="D19" s="17">
        <v>0.64</v>
      </c>
      <c r="E19" s="17">
        <v>1.94</v>
      </c>
      <c r="F19" s="17">
        <v>3.43</v>
      </c>
      <c r="G19" s="17">
        <v>36.5</v>
      </c>
      <c r="H19" s="17">
        <v>0</v>
      </c>
      <c r="I19" s="17">
        <v>0.01</v>
      </c>
      <c r="J19" s="17">
        <v>4.37</v>
      </c>
      <c r="K19" s="17">
        <v>21.01</v>
      </c>
      <c r="L19" s="17">
        <v>18.440000000000001</v>
      </c>
      <c r="M19" s="17">
        <v>0.44</v>
      </c>
    </row>
    <row r="20" spans="1:13" x14ac:dyDescent="0.25">
      <c r="A20" s="24">
        <v>96</v>
      </c>
      <c r="B20" s="7" t="s">
        <v>6</v>
      </c>
      <c r="C20" s="33">
        <v>250</v>
      </c>
      <c r="D20" s="17">
        <f>8.1*C20/1000</f>
        <v>2.0249999999999999</v>
      </c>
      <c r="E20" s="17">
        <f>20.4*C20/1000</f>
        <v>5.0999999999999996</v>
      </c>
      <c r="F20" s="17">
        <f>47.9*C20/1000</f>
        <v>11.975</v>
      </c>
      <c r="G20" s="17">
        <f>429*C20/1000</f>
        <v>107.25</v>
      </c>
      <c r="H20" s="17">
        <f>0</f>
        <v>0</v>
      </c>
      <c r="I20" s="17">
        <f>0.4*C20/1000</f>
        <v>0.1</v>
      </c>
      <c r="J20" s="17">
        <f>33.5*C20/1000</f>
        <v>8.375</v>
      </c>
      <c r="K20" s="17">
        <f>116.6*C20/1000</f>
        <v>29.15</v>
      </c>
      <c r="L20" s="17">
        <f>226.9*C20/1000</f>
        <v>56.725000000000001</v>
      </c>
      <c r="M20" s="17">
        <f>3.7*C20/1000</f>
        <v>0.92500000000000004</v>
      </c>
    </row>
    <row r="21" spans="1:13" x14ac:dyDescent="0.25">
      <c r="A21" s="24">
        <v>321</v>
      </c>
      <c r="B21" s="7" t="s">
        <v>46</v>
      </c>
      <c r="C21" s="33">
        <v>180</v>
      </c>
      <c r="D21" s="17">
        <f>20.7*C21/1000</f>
        <v>3.726</v>
      </c>
      <c r="E21" s="17">
        <f>32.4*C21/1000</f>
        <v>5.8319999999999999</v>
      </c>
      <c r="F21" s="17">
        <f>94.3*C21/1000</f>
        <v>16.974</v>
      </c>
      <c r="G21" s="17">
        <f>751*C21/1000</f>
        <v>135.18</v>
      </c>
      <c r="H21" s="17">
        <v>0</v>
      </c>
      <c r="I21" s="17">
        <f>0.3*C21/1000</f>
        <v>5.3999999999999999E-2</v>
      </c>
      <c r="J21" s="17">
        <f>171.6*C21/1000</f>
        <v>30.888000000000002</v>
      </c>
      <c r="K21" s="17">
        <f>554.5*C21/1000</f>
        <v>99.81</v>
      </c>
      <c r="L21" s="17">
        <f>401.4*C21/1000</f>
        <v>72.251999999999995</v>
      </c>
      <c r="M21" s="17">
        <f>8.1*C21/1000</f>
        <v>1.458</v>
      </c>
    </row>
    <row r="22" spans="1:13" x14ac:dyDescent="0.25">
      <c r="A22" s="24">
        <v>268</v>
      </c>
      <c r="B22" s="7" t="s">
        <v>49</v>
      </c>
      <c r="C22" s="33">
        <v>110</v>
      </c>
      <c r="D22" s="17">
        <f>129*C22/1000</f>
        <v>14.19</v>
      </c>
      <c r="E22" s="17">
        <f>334.2*C22/1000</f>
        <v>36.762</v>
      </c>
      <c r="F22" s="17">
        <f>132.2*C22/1000</f>
        <v>14.541999999999998</v>
      </c>
      <c r="G22" s="17">
        <f>4080*C22/1000</f>
        <v>448.8</v>
      </c>
      <c r="H22" s="17">
        <f>400*C22/1000</f>
        <v>44</v>
      </c>
      <c r="I22" s="17">
        <f>3.6*C22/1000</f>
        <v>0.39600000000000002</v>
      </c>
      <c r="J22" s="17">
        <f>42.8*C22/1000</f>
        <v>4.7080000000000002</v>
      </c>
      <c r="K22" s="17">
        <f>115*C22/1000</f>
        <v>12.65</v>
      </c>
      <c r="L22" s="17">
        <f>1541.6*C22/1000</f>
        <v>169.57599999999999</v>
      </c>
      <c r="M22" s="17">
        <f>32*C22/1000</f>
        <v>3.52</v>
      </c>
    </row>
    <row r="23" spans="1:13" x14ac:dyDescent="0.25">
      <c r="A23" s="24">
        <v>359</v>
      </c>
      <c r="B23" s="7" t="s">
        <v>54</v>
      </c>
      <c r="C23" s="33">
        <v>200</v>
      </c>
      <c r="D23" s="17">
        <f>1.6*C23/1000</f>
        <v>0.32</v>
      </c>
      <c r="E23" s="17">
        <f>0</f>
        <v>0</v>
      </c>
      <c r="F23" s="17">
        <f>197*C23/1000</f>
        <v>39.4</v>
      </c>
      <c r="G23" s="17">
        <f>800*C23/1000</f>
        <v>160</v>
      </c>
      <c r="H23" s="17">
        <f>0</f>
        <v>0</v>
      </c>
      <c r="I23" s="17">
        <f>0.1*C23/1000</f>
        <v>0.02</v>
      </c>
      <c r="J23" s="17">
        <f>12*C23/1000</f>
        <v>2.4</v>
      </c>
      <c r="K23" s="17">
        <f>112.3*C23/1000</f>
        <v>22.46</v>
      </c>
      <c r="L23" s="17">
        <f>92.5*C23/1000</f>
        <v>18.5</v>
      </c>
      <c r="M23" s="17">
        <f>0.96*C23/1000</f>
        <v>0.192</v>
      </c>
    </row>
    <row r="24" spans="1:13" x14ac:dyDescent="0.25">
      <c r="A24" s="6" t="s">
        <v>26</v>
      </c>
      <c r="B24" s="7" t="s">
        <v>3</v>
      </c>
      <c r="C24" s="33">
        <v>50</v>
      </c>
      <c r="D24" s="17">
        <f>107*C24/1000</f>
        <v>5.35</v>
      </c>
      <c r="E24" s="17">
        <f>45*C24/1000</f>
        <v>2.25</v>
      </c>
      <c r="F24" s="17">
        <f>435*C24/1000</f>
        <v>21.75</v>
      </c>
      <c r="G24" s="17">
        <f>2740*C24/1000</f>
        <v>137</v>
      </c>
      <c r="H24" s="17">
        <f>0</f>
        <v>0</v>
      </c>
      <c r="I24" s="17">
        <f>4.1*C24/1000</f>
        <v>0.20499999999999996</v>
      </c>
      <c r="J24" s="17">
        <f>2*C24/1000</f>
        <v>0.1</v>
      </c>
      <c r="K24" s="17">
        <f>1250*C24/1000</f>
        <v>62.5</v>
      </c>
      <c r="L24" s="17">
        <f>1290*C24/1000</f>
        <v>64.5</v>
      </c>
      <c r="M24" s="17">
        <f>36*C24/1000</f>
        <v>1.8</v>
      </c>
    </row>
    <row r="25" spans="1:13" x14ac:dyDescent="0.25">
      <c r="A25" s="12" t="s">
        <v>30</v>
      </c>
      <c r="B25" s="7" t="s">
        <v>0</v>
      </c>
      <c r="C25" s="33">
        <v>30</v>
      </c>
      <c r="D25" s="28">
        <f>85*C25/1000</f>
        <v>2.5499999999999998</v>
      </c>
      <c r="E25" s="28">
        <f>33*C25/1000</f>
        <v>0.99</v>
      </c>
      <c r="F25" s="28">
        <f>425*C25/1000</f>
        <v>12.75</v>
      </c>
      <c r="G25" s="28">
        <f>2590*C25/1000</f>
        <v>77.7</v>
      </c>
      <c r="H25" s="32">
        <f>0</f>
        <v>0</v>
      </c>
      <c r="I25" s="28">
        <f>4.3*C25/1000</f>
        <v>0.129</v>
      </c>
      <c r="J25" s="28">
        <f>4*C25/1000</f>
        <v>0.12</v>
      </c>
      <c r="K25" s="28">
        <f>730*C25/1000</f>
        <v>21.9</v>
      </c>
      <c r="L25" s="28">
        <f>1250*C25/1000</f>
        <v>37.5</v>
      </c>
      <c r="M25" s="28">
        <f>28.3*C25/1000</f>
        <v>0.84899999999999998</v>
      </c>
    </row>
    <row r="26" spans="1:13" x14ac:dyDescent="0.25">
      <c r="A26" s="6">
        <v>338</v>
      </c>
      <c r="B26" s="7" t="s">
        <v>47</v>
      </c>
      <c r="C26" s="33">
        <v>100</v>
      </c>
      <c r="D26" s="17">
        <f>4*C26/1000</f>
        <v>0.4</v>
      </c>
      <c r="E26" s="17">
        <f>4*C26/1000</f>
        <v>0.4</v>
      </c>
      <c r="F26" s="17">
        <f>98*C26/1000</f>
        <v>9.8000000000000007</v>
      </c>
      <c r="G26" s="17">
        <f>470*C26/1000</f>
        <v>47</v>
      </c>
      <c r="H26" s="17">
        <f>0</f>
        <v>0</v>
      </c>
      <c r="I26" s="17">
        <f>0.3*C26/1000</f>
        <v>0.03</v>
      </c>
      <c r="J26" s="17">
        <f>100*C26/1000</f>
        <v>10</v>
      </c>
      <c r="K26" s="17">
        <f>160*C26/1000</f>
        <v>16</v>
      </c>
      <c r="L26" s="17">
        <f>110*C26/1000</f>
        <v>11</v>
      </c>
      <c r="M26" s="17">
        <f>22*C26/1000</f>
        <v>2.2000000000000002</v>
      </c>
    </row>
    <row r="27" spans="1:13" x14ac:dyDescent="0.25">
      <c r="A27" s="25"/>
      <c r="B27" s="9" t="s">
        <v>27</v>
      </c>
      <c r="C27" s="10">
        <f>SUM(C19:C26)</f>
        <v>1020</v>
      </c>
      <c r="D27" s="40">
        <f t="shared" ref="D27:M27" si="1">SUM(D19:D26)</f>
        <v>29.200999999999997</v>
      </c>
      <c r="E27" s="40">
        <f t="shared" si="1"/>
        <v>53.274000000000001</v>
      </c>
      <c r="F27" s="40">
        <f t="shared" si="1"/>
        <v>130.62100000000001</v>
      </c>
      <c r="G27" s="40">
        <f t="shared" si="1"/>
        <v>1149.43</v>
      </c>
      <c r="H27" s="40">
        <f t="shared" si="1"/>
        <v>44</v>
      </c>
      <c r="I27" s="40">
        <f t="shared" si="1"/>
        <v>0.94400000000000006</v>
      </c>
      <c r="J27" s="40">
        <f t="shared" si="1"/>
        <v>60.960999999999999</v>
      </c>
      <c r="K27" s="40">
        <f t="shared" si="1"/>
        <v>285.48</v>
      </c>
      <c r="L27" s="40">
        <f t="shared" si="1"/>
        <v>448.49299999999999</v>
      </c>
      <c r="M27" s="40">
        <f t="shared" si="1"/>
        <v>11.384</v>
      </c>
    </row>
    <row r="28" spans="1:13" ht="18.75" x14ac:dyDescent="0.25">
      <c r="A28" s="25"/>
      <c r="B28" s="14" t="s">
        <v>31</v>
      </c>
      <c r="C28" s="13">
        <f t="shared" ref="C28:M28" si="2">C17+C27</f>
        <v>1615</v>
      </c>
      <c r="D28" s="41">
        <f t="shared" si="2"/>
        <v>60.710999999999999</v>
      </c>
      <c r="E28" s="41">
        <f t="shared" si="2"/>
        <v>85.759</v>
      </c>
      <c r="F28" s="41">
        <f t="shared" si="2"/>
        <v>227.36600000000001</v>
      </c>
      <c r="G28" s="41">
        <f t="shared" si="2"/>
        <v>1973.38</v>
      </c>
      <c r="H28" s="41">
        <f t="shared" si="2"/>
        <v>271.55</v>
      </c>
      <c r="I28" s="41">
        <f t="shared" si="2"/>
        <v>1.4660000000000002</v>
      </c>
      <c r="J28" s="41">
        <f t="shared" si="2"/>
        <v>63.920999999999999</v>
      </c>
      <c r="K28" s="41">
        <f t="shared" si="2"/>
        <v>971.73</v>
      </c>
      <c r="L28" s="41">
        <f t="shared" si="2"/>
        <v>1104.693</v>
      </c>
      <c r="M28" s="41">
        <f t="shared" si="2"/>
        <v>15.718500000000001</v>
      </c>
    </row>
    <row r="29" spans="1:13" ht="18" customHeight="1" x14ac:dyDescent="0.25">
      <c r="A29" s="15"/>
      <c r="B29" s="16" t="s">
        <v>68</v>
      </c>
      <c r="C29" s="17">
        <v>1350</v>
      </c>
      <c r="D29" s="18">
        <v>45</v>
      </c>
      <c r="E29" s="18">
        <v>46</v>
      </c>
      <c r="F29" s="18">
        <v>192</v>
      </c>
      <c r="G29" s="18">
        <v>1360</v>
      </c>
      <c r="H29" s="18">
        <v>450</v>
      </c>
      <c r="I29" s="18">
        <v>0.7</v>
      </c>
      <c r="J29" s="18">
        <v>35</v>
      </c>
      <c r="K29" s="18">
        <v>600</v>
      </c>
      <c r="L29" s="18">
        <v>600</v>
      </c>
      <c r="M29" s="18">
        <v>9</v>
      </c>
    </row>
    <row r="30" spans="1:13" ht="18" customHeight="1" x14ac:dyDescent="0.25">
      <c r="A30" s="19"/>
      <c r="B30" s="20"/>
      <c r="C30" s="21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3" ht="18" customHeight="1" x14ac:dyDescent="0.25">
      <c r="A31" s="19"/>
      <c r="B31" s="20"/>
      <c r="C31" s="21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pans="1:13" ht="18" customHeight="1" x14ac:dyDescent="0.25">
      <c r="A32" s="19"/>
      <c r="B32" s="20"/>
      <c r="C32" s="21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3" ht="18" customHeight="1" x14ac:dyDescent="0.25">
      <c r="A33" s="19"/>
      <c r="B33" s="20"/>
      <c r="C33" s="21"/>
      <c r="D33" s="23"/>
      <c r="E33" s="23"/>
      <c r="F33" s="23"/>
      <c r="G33" s="23"/>
      <c r="H33" s="23"/>
      <c r="I33" s="23"/>
      <c r="J33" s="23"/>
      <c r="K33" s="23"/>
      <c r="L33" s="23"/>
      <c r="M33" s="23"/>
    </row>
  </sheetData>
  <mergeCells count="11">
    <mergeCell ref="A3:B3"/>
    <mergeCell ref="A4:B4"/>
    <mergeCell ref="A5:B5"/>
    <mergeCell ref="K6:M7"/>
    <mergeCell ref="D7:F7"/>
    <mergeCell ref="A6:A8"/>
    <mergeCell ref="B6:B8"/>
    <mergeCell ref="C6:C8"/>
    <mergeCell ref="D6:F6"/>
    <mergeCell ref="G6:G8"/>
    <mergeCell ref="H6:J7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0" zoomScaleNormal="80" workbookViewId="0">
      <selection activeCell="R27" sqref="R27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10" style="1" customWidth="1"/>
    <col min="4" max="6" width="9.28515625" style="1" customWidth="1"/>
    <col min="7" max="7" width="9.5703125" style="1" customWidth="1"/>
    <col min="8" max="8" width="8.7109375" style="1" customWidth="1"/>
    <col min="9" max="9" width="10.42578125" style="1" customWidth="1"/>
    <col min="10" max="10" width="9.28515625" style="1" customWidth="1"/>
    <col min="11" max="11" width="8.5703125" style="1" customWidth="1"/>
    <col min="12" max="13" width="9.28515625" style="1" customWidth="1"/>
    <col min="14" max="16384" width="9.140625" style="1"/>
  </cols>
  <sheetData>
    <row r="1" spans="1:13" ht="18" customHeight="1" x14ac:dyDescent="0.25">
      <c r="A1" s="19"/>
      <c r="B1" s="20"/>
      <c r="C1" s="21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8" customHeight="1" x14ac:dyDescent="0.25">
      <c r="A2" s="19"/>
      <c r="B2" s="20"/>
      <c r="C2" s="21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2.15" customHeight="1" x14ac:dyDescent="0.25"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25">
      <c r="A4" s="70" t="s">
        <v>59</v>
      </c>
      <c r="B4" s="71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x14ac:dyDescent="0.25">
      <c r="A5" s="70" t="s">
        <v>38</v>
      </c>
      <c r="B5" s="71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5.75" thickBot="1" x14ac:dyDescent="0.3">
      <c r="A6" s="72" t="s">
        <v>74</v>
      </c>
      <c r="B6" s="73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x14ac:dyDescent="0.25">
      <c r="A7" s="74" t="s">
        <v>9</v>
      </c>
      <c r="B7" s="74" t="s">
        <v>10</v>
      </c>
      <c r="C7" s="74" t="s">
        <v>11</v>
      </c>
      <c r="D7" s="64" t="s">
        <v>12</v>
      </c>
      <c r="E7" s="65"/>
      <c r="F7" s="66"/>
      <c r="G7" s="79" t="s">
        <v>13</v>
      </c>
      <c r="H7" s="64" t="s">
        <v>14</v>
      </c>
      <c r="I7" s="65"/>
      <c r="J7" s="66"/>
      <c r="K7" s="64" t="s">
        <v>15</v>
      </c>
      <c r="L7" s="65"/>
      <c r="M7" s="66"/>
    </row>
    <row r="8" spans="1:13" ht="15.75" thickBot="1" x14ac:dyDescent="0.3">
      <c r="A8" s="75"/>
      <c r="B8" s="77"/>
      <c r="C8" s="77"/>
      <c r="D8" s="67" t="s">
        <v>16</v>
      </c>
      <c r="E8" s="68"/>
      <c r="F8" s="69"/>
      <c r="G8" s="80"/>
      <c r="H8" s="67"/>
      <c r="I8" s="68"/>
      <c r="J8" s="69"/>
      <c r="K8" s="67"/>
      <c r="L8" s="68"/>
      <c r="M8" s="69"/>
    </row>
    <row r="9" spans="1:13" ht="17.25" thickBot="1" x14ac:dyDescent="0.3">
      <c r="A9" s="76"/>
      <c r="B9" s="78"/>
      <c r="C9" s="78"/>
      <c r="D9" s="30" t="s">
        <v>17</v>
      </c>
      <c r="E9" s="30" t="s">
        <v>18</v>
      </c>
      <c r="F9" s="30" t="s">
        <v>19</v>
      </c>
      <c r="G9" s="81"/>
      <c r="H9" s="30" t="s">
        <v>20</v>
      </c>
      <c r="I9" s="30" t="s">
        <v>41</v>
      </c>
      <c r="J9" s="30" t="s">
        <v>22</v>
      </c>
      <c r="K9" s="30" t="s">
        <v>23</v>
      </c>
      <c r="L9" s="30" t="s">
        <v>40</v>
      </c>
      <c r="M9" s="30" t="s">
        <v>24</v>
      </c>
    </row>
    <row r="10" spans="1:13" ht="18.75" x14ac:dyDescent="0.25">
      <c r="A10" s="3"/>
      <c r="B10" s="4" t="s">
        <v>25</v>
      </c>
      <c r="C10" s="5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x14ac:dyDescent="0.25">
      <c r="A11" s="24">
        <v>219</v>
      </c>
      <c r="B11" s="7" t="s">
        <v>65</v>
      </c>
      <c r="C11" s="33">
        <v>160</v>
      </c>
      <c r="D11" s="17">
        <f>148.3*C11/1000</f>
        <v>23.728000000000002</v>
      </c>
      <c r="E11" s="17">
        <f>70.4*C11/1000</f>
        <v>11.263999999999999</v>
      </c>
      <c r="F11" s="17">
        <f>237.4*C11/1000</f>
        <v>37.984000000000002</v>
      </c>
      <c r="G11" s="17">
        <f>2180*C11/1000</f>
        <v>348.8</v>
      </c>
      <c r="H11" s="17">
        <f>501*C11/1000</f>
        <v>80.16</v>
      </c>
      <c r="I11" s="17">
        <f>0.4*C11/1000</f>
        <v>6.4000000000000001E-2</v>
      </c>
      <c r="J11" s="17">
        <f>1.9*C11/1000</f>
        <v>0.30399999999999999</v>
      </c>
      <c r="K11" s="17">
        <f>974.1*C11/1000</f>
        <v>155.85599999999999</v>
      </c>
      <c r="L11" s="17">
        <f>1400*C11/1000</f>
        <v>224</v>
      </c>
      <c r="M11" s="17">
        <f>4*C11/1000</f>
        <v>0.64</v>
      </c>
    </row>
    <row r="12" spans="1:13" x14ac:dyDescent="0.25">
      <c r="A12" s="24">
        <v>376</v>
      </c>
      <c r="B12" s="7" t="s">
        <v>80</v>
      </c>
      <c r="C12" s="33">
        <v>207</v>
      </c>
      <c r="D12" s="17">
        <f>0.35*C12/1000</f>
        <v>7.2449999999999987E-2</v>
      </c>
      <c r="E12" s="17">
        <f>0.1*C12/1000</f>
        <v>2.0700000000000003E-2</v>
      </c>
      <c r="F12" s="17">
        <f>75*C12/1000</f>
        <v>15.525</v>
      </c>
      <c r="G12" s="17">
        <f>300*C12/1000</f>
        <v>62.1</v>
      </c>
      <c r="H12" s="17">
        <f>0*C12/1000</f>
        <v>0</v>
      </c>
      <c r="I12" s="17">
        <f>0</f>
        <v>0</v>
      </c>
      <c r="J12" s="17">
        <f>0.2*C12/1000</f>
        <v>4.1400000000000006E-2</v>
      </c>
      <c r="K12" s="17">
        <f>55.5*C12/1000</f>
        <v>11.4885</v>
      </c>
      <c r="L12" s="17">
        <f>14*C12/1000</f>
        <v>2.8980000000000001</v>
      </c>
      <c r="M12" s="17">
        <f>1.4*C12/1000</f>
        <v>0.28979999999999995</v>
      </c>
    </row>
    <row r="13" spans="1:13" x14ac:dyDescent="0.25">
      <c r="A13" s="24" t="s">
        <v>26</v>
      </c>
      <c r="B13" s="7" t="s">
        <v>3</v>
      </c>
      <c r="C13" s="33">
        <v>50</v>
      </c>
      <c r="D13" s="17">
        <f>107*C13/1000</f>
        <v>5.35</v>
      </c>
      <c r="E13" s="17">
        <f>45*C13/1000</f>
        <v>2.25</v>
      </c>
      <c r="F13" s="17">
        <f>435*C13/1000</f>
        <v>21.75</v>
      </c>
      <c r="G13" s="17">
        <f>2740*C13/1000</f>
        <v>137</v>
      </c>
      <c r="H13" s="17">
        <f>0</f>
        <v>0</v>
      </c>
      <c r="I13" s="17">
        <f>4.1*C13/1000</f>
        <v>0.20499999999999996</v>
      </c>
      <c r="J13" s="17">
        <f>2*C13/1000</f>
        <v>0.1</v>
      </c>
      <c r="K13" s="17">
        <f>1250*C13/1000</f>
        <v>62.5</v>
      </c>
      <c r="L13" s="17">
        <f>1290*C13/1000</f>
        <v>64.5</v>
      </c>
      <c r="M13" s="17">
        <f>36*C13/1000</f>
        <v>1.8</v>
      </c>
    </row>
    <row r="14" spans="1:13" x14ac:dyDescent="0.25">
      <c r="A14" s="6">
        <v>338</v>
      </c>
      <c r="B14" s="7" t="s">
        <v>47</v>
      </c>
      <c r="C14" s="33">
        <v>100</v>
      </c>
      <c r="D14" s="17">
        <f>4*C14/1000</f>
        <v>0.4</v>
      </c>
      <c r="E14" s="17">
        <f>4*C14/1000</f>
        <v>0.4</v>
      </c>
      <c r="F14" s="17">
        <f>98*C14/1000</f>
        <v>9.8000000000000007</v>
      </c>
      <c r="G14" s="17">
        <f>470*C14/1000</f>
        <v>47</v>
      </c>
      <c r="H14" s="17">
        <f>0</f>
        <v>0</v>
      </c>
      <c r="I14" s="17">
        <f>0.3*C14/1000</f>
        <v>0.03</v>
      </c>
      <c r="J14" s="17">
        <f>100*C14/1000</f>
        <v>10</v>
      </c>
      <c r="K14" s="17">
        <f>160*C14/1000</f>
        <v>16</v>
      </c>
      <c r="L14" s="17">
        <f>110*C14/1000</f>
        <v>11</v>
      </c>
      <c r="M14" s="17">
        <f>22*C14/1000</f>
        <v>2.2000000000000002</v>
      </c>
    </row>
    <row r="15" spans="1:13" x14ac:dyDescent="0.25">
      <c r="A15" s="12" t="s">
        <v>30</v>
      </c>
      <c r="B15" s="7" t="s">
        <v>0</v>
      </c>
      <c r="C15" s="33">
        <v>30</v>
      </c>
      <c r="D15" s="28">
        <f>85*C15/1000</f>
        <v>2.5499999999999998</v>
      </c>
      <c r="E15" s="28">
        <f>33*C15/1000</f>
        <v>0.99</v>
      </c>
      <c r="F15" s="28">
        <f>425*C15/1000</f>
        <v>12.75</v>
      </c>
      <c r="G15" s="28">
        <f>2590*C15/1000</f>
        <v>77.7</v>
      </c>
      <c r="H15" s="32">
        <f>0</f>
        <v>0</v>
      </c>
      <c r="I15" s="28">
        <f>4.3*C15/1000</f>
        <v>0.129</v>
      </c>
      <c r="J15" s="28">
        <f>4*C15/1000</f>
        <v>0.12</v>
      </c>
      <c r="K15" s="28">
        <f>730*C15/1000</f>
        <v>21.9</v>
      </c>
      <c r="L15" s="28">
        <f>1250*C15/1000</f>
        <v>37.5</v>
      </c>
      <c r="M15" s="28">
        <f>28.3*C15/1000</f>
        <v>0.84899999999999998</v>
      </c>
    </row>
    <row r="16" spans="1:13" x14ac:dyDescent="0.25">
      <c r="A16" s="24"/>
      <c r="B16" s="9" t="s">
        <v>27</v>
      </c>
      <c r="C16" s="10">
        <f>SUM(C11:C15)</f>
        <v>547</v>
      </c>
      <c r="D16" s="40">
        <f t="shared" ref="D16:M16" si="0">SUM(D11:D15)</f>
        <v>32.100449999999995</v>
      </c>
      <c r="E16" s="40">
        <f t="shared" si="0"/>
        <v>14.9247</v>
      </c>
      <c r="F16" s="40">
        <f t="shared" si="0"/>
        <v>97.808999999999997</v>
      </c>
      <c r="G16" s="40">
        <f t="shared" si="0"/>
        <v>672.60000000000014</v>
      </c>
      <c r="H16" s="40">
        <f t="shared" si="0"/>
        <v>80.16</v>
      </c>
      <c r="I16" s="40">
        <f t="shared" si="0"/>
        <v>0.42799999999999994</v>
      </c>
      <c r="J16" s="40">
        <f t="shared" si="0"/>
        <v>10.565399999999999</v>
      </c>
      <c r="K16" s="40">
        <f t="shared" si="0"/>
        <v>267.74449999999996</v>
      </c>
      <c r="L16" s="40">
        <f t="shared" si="0"/>
        <v>339.89800000000002</v>
      </c>
      <c r="M16" s="40">
        <f t="shared" si="0"/>
        <v>5.7788000000000004</v>
      </c>
    </row>
    <row r="17" spans="1:13" ht="16.5" customHeight="1" x14ac:dyDescent="0.25">
      <c r="A17" s="24"/>
      <c r="B17" s="11" t="s">
        <v>28</v>
      </c>
      <c r="C17" s="8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x14ac:dyDescent="0.25">
      <c r="A18" s="6">
        <v>57</v>
      </c>
      <c r="B18" s="7" t="s">
        <v>82</v>
      </c>
      <c r="C18" s="33">
        <v>100</v>
      </c>
      <c r="D18" s="17">
        <v>0.64</v>
      </c>
      <c r="E18" s="17">
        <v>1.94</v>
      </c>
      <c r="F18" s="17">
        <v>3.43</v>
      </c>
      <c r="G18" s="17">
        <v>36.5</v>
      </c>
      <c r="H18" s="17">
        <v>0</v>
      </c>
      <c r="I18" s="17">
        <v>0.01</v>
      </c>
      <c r="J18" s="17">
        <v>4.37</v>
      </c>
      <c r="K18" s="17">
        <v>21.01</v>
      </c>
      <c r="L18" s="17">
        <v>18.440000000000001</v>
      </c>
      <c r="M18" s="17">
        <v>0.44</v>
      </c>
    </row>
    <row r="19" spans="1:13" x14ac:dyDescent="0.25">
      <c r="A19" s="24">
        <v>102</v>
      </c>
      <c r="B19" s="7" t="s">
        <v>39</v>
      </c>
      <c r="C19" s="33">
        <v>250</v>
      </c>
      <c r="D19" s="17">
        <f>22*C19/1000</f>
        <v>5.5</v>
      </c>
      <c r="E19" s="17">
        <f>21.1*C19/1000</f>
        <v>5.2750000000000004</v>
      </c>
      <c r="F19" s="17">
        <f>66.1*C19/1000</f>
        <v>16.524999999999999</v>
      </c>
      <c r="G19" s="17">
        <f>593*C19/1000</f>
        <v>148.25</v>
      </c>
      <c r="H19" s="17">
        <f>0</f>
        <v>0</v>
      </c>
      <c r="I19" s="17">
        <f>0.9*C19/1000</f>
        <v>0.22500000000000001</v>
      </c>
      <c r="J19" s="17">
        <f>23.3*C19/1000</f>
        <v>5.8250000000000002</v>
      </c>
      <c r="K19" s="17">
        <f>170.7*C19/1000</f>
        <v>42.674999999999997</v>
      </c>
      <c r="L19" s="17">
        <f>352.4*C19/1000</f>
        <v>88.1</v>
      </c>
      <c r="M19" s="17">
        <f>8.2*C19/1000</f>
        <v>2.0499999999999998</v>
      </c>
    </row>
    <row r="20" spans="1:13" x14ac:dyDescent="0.25">
      <c r="A20" s="24">
        <v>291</v>
      </c>
      <c r="B20" s="7" t="s">
        <v>44</v>
      </c>
      <c r="C20" s="33">
        <v>250</v>
      </c>
      <c r="D20" s="17">
        <f>90.1*C20/1000</f>
        <v>22.524999999999999</v>
      </c>
      <c r="E20" s="17">
        <f>44.7*C20/1000</f>
        <v>11.175000000000001</v>
      </c>
      <c r="F20" s="17">
        <f>182.3*C20/1000</f>
        <v>45.575000000000003</v>
      </c>
      <c r="G20" s="17">
        <f>1493.3*C20/1000</f>
        <v>373.32499999999999</v>
      </c>
      <c r="H20" s="17">
        <f>140*C20/1000</f>
        <v>35</v>
      </c>
      <c r="I20" s="17">
        <f>0.7*C20/1000</f>
        <v>0.17499999999999999</v>
      </c>
      <c r="J20" s="17">
        <f>32.7*C20/1000</f>
        <v>8.1750000000000007</v>
      </c>
      <c r="K20" s="17">
        <f>180.5*C20/1000</f>
        <v>45.125</v>
      </c>
      <c r="L20" s="17">
        <f>946.7*C20/1000</f>
        <v>236.67500000000001</v>
      </c>
      <c r="M20" s="17">
        <f>9.3*C20/1000</f>
        <v>2.3250000000000002</v>
      </c>
    </row>
    <row r="21" spans="1:13" x14ac:dyDescent="0.25">
      <c r="A21" s="24">
        <v>379</v>
      </c>
      <c r="B21" s="7" t="s">
        <v>42</v>
      </c>
      <c r="C21" s="33">
        <v>200</v>
      </c>
      <c r="D21" s="28">
        <f>15.8*C21/1000</f>
        <v>3.16</v>
      </c>
      <c r="E21" s="28">
        <f>13.4*C21/1000</f>
        <v>2.68</v>
      </c>
      <c r="F21" s="28">
        <f>79.7*C21/1000</f>
        <v>15.94</v>
      </c>
      <c r="G21" s="28">
        <f>503*C21/1000</f>
        <v>100.6</v>
      </c>
      <c r="H21" s="28">
        <f>100*C21/1000</f>
        <v>20</v>
      </c>
      <c r="I21" s="28">
        <f>0.22*C21/1000</f>
        <v>4.3999999999999997E-2</v>
      </c>
      <c r="J21" s="28">
        <f>6.5*C21/1000</f>
        <v>1.3</v>
      </c>
      <c r="K21" s="28">
        <f>628.9*C21/1000</f>
        <v>125.78</v>
      </c>
      <c r="L21" s="28">
        <f>450*C21/1000</f>
        <v>90</v>
      </c>
      <c r="M21" s="28">
        <f>0.7*C21/1000</f>
        <v>0.14000000000000001</v>
      </c>
    </row>
    <row r="22" spans="1:13" x14ac:dyDescent="0.25">
      <c r="A22" s="6" t="s">
        <v>26</v>
      </c>
      <c r="B22" s="7" t="s">
        <v>3</v>
      </c>
      <c r="C22" s="33">
        <v>50</v>
      </c>
      <c r="D22" s="17">
        <f>107*C22/1000</f>
        <v>5.35</v>
      </c>
      <c r="E22" s="17">
        <f>45*C22/1000</f>
        <v>2.25</v>
      </c>
      <c r="F22" s="17">
        <f>435*C22/1000</f>
        <v>21.75</v>
      </c>
      <c r="G22" s="17">
        <f>2740*C22/1000</f>
        <v>137</v>
      </c>
      <c r="H22" s="17">
        <f>0</f>
        <v>0</v>
      </c>
      <c r="I22" s="17">
        <f>4.1*C22/1000</f>
        <v>0.20499999999999996</v>
      </c>
      <c r="J22" s="17">
        <f>2*C22/1000</f>
        <v>0.1</v>
      </c>
      <c r="K22" s="17">
        <f>1250*C22/1000</f>
        <v>62.5</v>
      </c>
      <c r="L22" s="17">
        <f>1290*C22/1000</f>
        <v>64.5</v>
      </c>
      <c r="M22" s="17">
        <f>36*C22/1000</f>
        <v>1.8</v>
      </c>
    </row>
    <row r="23" spans="1:13" x14ac:dyDescent="0.25">
      <c r="A23" s="12" t="s">
        <v>30</v>
      </c>
      <c r="B23" s="7" t="s">
        <v>0</v>
      </c>
      <c r="C23" s="33">
        <v>30</v>
      </c>
      <c r="D23" s="28">
        <f>85*C23/1000</f>
        <v>2.5499999999999998</v>
      </c>
      <c r="E23" s="28">
        <f>33*C23/1000</f>
        <v>0.99</v>
      </c>
      <c r="F23" s="28">
        <f>425*C23/1000</f>
        <v>12.75</v>
      </c>
      <c r="G23" s="28">
        <f>2590*C23/1000</f>
        <v>77.7</v>
      </c>
      <c r="H23" s="32">
        <f>0</f>
        <v>0</v>
      </c>
      <c r="I23" s="28">
        <f>4.3*C23/1000</f>
        <v>0.129</v>
      </c>
      <c r="J23" s="28">
        <f>4*C23/1000</f>
        <v>0.12</v>
      </c>
      <c r="K23" s="28">
        <f>730*C23/1000</f>
        <v>21.9</v>
      </c>
      <c r="L23" s="28">
        <f>1250*C23/1000</f>
        <v>37.5</v>
      </c>
      <c r="M23" s="28">
        <f>28.3*C23/1000</f>
        <v>0.84899999999999998</v>
      </c>
    </row>
    <row r="24" spans="1:13" x14ac:dyDescent="0.25">
      <c r="A24" s="6"/>
      <c r="B24" s="7"/>
      <c r="C24" s="33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x14ac:dyDescent="0.25">
      <c r="A25" s="25"/>
      <c r="B25" s="9" t="s">
        <v>27</v>
      </c>
      <c r="C25" s="10">
        <f>SUM(C18:C24)</f>
        <v>880</v>
      </c>
      <c r="D25" s="40">
        <f t="shared" ref="D25:M25" si="1">SUM(D18:D24)</f>
        <v>39.724999999999994</v>
      </c>
      <c r="E25" s="40">
        <f t="shared" si="1"/>
        <v>24.31</v>
      </c>
      <c r="F25" s="40">
        <f t="shared" si="1"/>
        <v>115.97</v>
      </c>
      <c r="G25" s="40">
        <f t="shared" si="1"/>
        <v>873.37500000000011</v>
      </c>
      <c r="H25" s="40">
        <f t="shared" si="1"/>
        <v>55</v>
      </c>
      <c r="I25" s="40">
        <f t="shared" si="1"/>
        <v>0.78800000000000003</v>
      </c>
      <c r="J25" s="40">
        <f t="shared" si="1"/>
        <v>19.890000000000004</v>
      </c>
      <c r="K25" s="40">
        <f t="shared" si="1"/>
        <v>318.99</v>
      </c>
      <c r="L25" s="40">
        <f t="shared" si="1"/>
        <v>535.21500000000003</v>
      </c>
      <c r="M25" s="40">
        <f t="shared" si="1"/>
        <v>7.6039999999999992</v>
      </c>
    </row>
    <row r="26" spans="1:13" ht="18.75" x14ac:dyDescent="0.25">
      <c r="A26" s="25"/>
      <c r="B26" s="14" t="s">
        <v>31</v>
      </c>
      <c r="C26" s="13">
        <f t="shared" ref="C26:M26" si="2">C16+C25</f>
        <v>1427</v>
      </c>
      <c r="D26" s="41">
        <f t="shared" si="2"/>
        <v>71.825449999999989</v>
      </c>
      <c r="E26" s="41">
        <f t="shared" si="2"/>
        <v>39.234699999999997</v>
      </c>
      <c r="F26" s="41">
        <f t="shared" si="2"/>
        <v>213.779</v>
      </c>
      <c r="G26" s="41">
        <f t="shared" si="2"/>
        <v>1545.9750000000004</v>
      </c>
      <c r="H26" s="41">
        <f t="shared" si="2"/>
        <v>135.16</v>
      </c>
      <c r="I26" s="41">
        <f t="shared" si="2"/>
        <v>1.216</v>
      </c>
      <c r="J26" s="41">
        <f t="shared" si="2"/>
        <v>30.455400000000004</v>
      </c>
      <c r="K26" s="41">
        <f t="shared" si="2"/>
        <v>586.73450000000003</v>
      </c>
      <c r="L26" s="41">
        <f t="shared" si="2"/>
        <v>875.11300000000006</v>
      </c>
      <c r="M26" s="41">
        <f t="shared" si="2"/>
        <v>13.3828</v>
      </c>
    </row>
    <row r="27" spans="1:13" ht="25.15" customHeight="1" x14ac:dyDescent="0.25">
      <c r="A27" s="15"/>
      <c r="B27" s="16" t="s">
        <v>68</v>
      </c>
      <c r="C27" s="17">
        <v>1350</v>
      </c>
      <c r="D27" s="18">
        <v>45</v>
      </c>
      <c r="E27" s="18">
        <v>46</v>
      </c>
      <c r="F27" s="18">
        <v>192</v>
      </c>
      <c r="G27" s="18">
        <v>1360</v>
      </c>
      <c r="H27" s="18">
        <v>450</v>
      </c>
      <c r="I27" s="18">
        <v>0.7</v>
      </c>
      <c r="J27" s="18">
        <v>35</v>
      </c>
      <c r="K27" s="18">
        <v>600</v>
      </c>
      <c r="L27" s="18">
        <v>600</v>
      </c>
      <c r="M27" s="18">
        <v>9</v>
      </c>
    </row>
    <row r="28" spans="1:13" ht="18.75" customHeight="1" x14ac:dyDescent="0.25">
      <c r="A28" s="19"/>
      <c r="B28" s="20"/>
      <c r="C28" s="21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 ht="18.75" customHeight="1" x14ac:dyDescent="0.25">
      <c r="A29" s="19"/>
      <c r="B29" s="20"/>
      <c r="C29" s="21"/>
      <c r="D29" s="23"/>
      <c r="E29" s="23"/>
      <c r="F29" s="23"/>
      <c r="G29" s="23"/>
      <c r="H29" s="23"/>
      <c r="I29" s="23"/>
      <c r="J29" s="23"/>
      <c r="K29" s="23"/>
      <c r="L29" s="23"/>
      <c r="M29" s="23"/>
    </row>
  </sheetData>
  <mergeCells count="11">
    <mergeCell ref="H7:J8"/>
    <mergeCell ref="K7:M8"/>
    <mergeCell ref="D8:F8"/>
    <mergeCell ref="A4:B4"/>
    <mergeCell ref="A5:B5"/>
    <mergeCell ref="A6:B6"/>
    <mergeCell ref="A7:A9"/>
    <mergeCell ref="B7:B9"/>
    <mergeCell ref="C7:C9"/>
    <mergeCell ref="D7:F7"/>
    <mergeCell ref="G7:G9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80" zoomScaleNormal="80" workbookViewId="0">
      <selection activeCell="K46" sqref="K46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10" style="1" customWidth="1"/>
    <col min="4" max="6" width="9.28515625" style="1" customWidth="1"/>
    <col min="7" max="7" width="9.5703125" style="1" customWidth="1"/>
    <col min="8" max="8" width="8.7109375" style="1" customWidth="1"/>
    <col min="9" max="9" width="10.42578125" style="1" customWidth="1"/>
    <col min="10" max="10" width="9.28515625" style="1" customWidth="1"/>
    <col min="11" max="11" width="8.5703125" style="1" customWidth="1"/>
    <col min="12" max="13" width="9.28515625" style="1" customWidth="1"/>
    <col min="14" max="16384" width="9.140625" style="1"/>
  </cols>
  <sheetData>
    <row r="1" spans="1:13" ht="18.600000000000001" customHeight="1" x14ac:dyDescent="0.25">
      <c r="A1" s="19"/>
      <c r="B1" s="20"/>
      <c r="C1" s="21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402" hidden="1" customHeight="1" x14ac:dyDescent="0.25">
      <c r="A2" s="19"/>
      <c r="B2" s="20"/>
      <c r="C2" s="21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5">
      <c r="A3" s="70" t="s">
        <v>60</v>
      </c>
      <c r="B3" s="71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25">
      <c r="A4" s="70" t="s">
        <v>38</v>
      </c>
      <c r="B4" s="71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5.75" thickBot="1" x14ac:dyDescent="0.3">
      <c r="A5" s="72" t="s">
        <v>71</v>
      </c>
      <c r="B5" s="73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25">
      <c r="A6" s="74" t="s">
        <v>9</v>
      </c>
      <c r="B6" s="74" t="s">
        <v>10</v>
      </c>
      <c r="C6" s="74" t="s">
        <v>11</v>
      </c>
      <c r="D6" s="64" t="s">
        <v>12</v>
      </c>
      <c r="E6" s="65"/>
      <c r="F6" s="66"/>
      <c r="G6" s="79" t="s">
        <v>13</v>
      </c>
      <c r="H6" s="64" t="s">
        <v>14</v>
      </c>
      <c r="I6" s="65"/>
      <c r="J6" s="66"/>
      <c r="K6" s="64" t="s">
        <v>15</v>
      </c>
      <c r="L6" s="65"/>
      <c r="M6" s="66"/>
    </row>
    <row r="7" spans="1:13" ht="15.75" thickBot="1" x14ac:dyDescent="0.3">
      <c r="A7" s="75"/>
      <c r="B7" s="77"/>
      <c r="C7" s="77"/>
      <c r="D7" s="67" t="s">
        <v>16</v>
      </c>
      <c r="E7" s="68"/>
      <c r="F7" s="69"/>
      <c r="G7" s="80"/>
      <c r="H7" s="67"/>
      <c r="I7" s="68"/>
      <c r="J7" s="69"/>
      <c r="K7" s="67"/>
      <c r="L7" s="68"/>
      <c r="M7" s="69"/>
    </row>
    <row r="8" spans="1:13" ht="17.25" thickBot="1" x14ac:dyDescent="0.3">
      <c r="A8" s="76"/>
      <c r="B8" s="78"/>
      <c r="C8" s="78"/>
      <c r="D8" s="30" t="s">
        <v>17</v>
      </c>
      <c r="E8" s="30" t="s">
        <v>18</v>
      </c>
      <c r="F8" s="30" t="s">
        <v>19</v>
      </c>
      <c r="G8" s="81"/>
      <c r="H8" s="30" t="s">
        <v>20</v>
      </c>
      <c r="I8" s="30" t="s">
        <v>41</v>
      </c>
      <c r="J8" s="30" t="s">
        <v>22</v>
      </c>
      <c r="K8" s="30" t="s">
        <v>23</v>
      </c>
      <c r="L8" s="30" t="s">
        <v>40</v>
      </c>
      <c r="M8" s="30" t="s">
        <v>24</v>
      </c>
    </row>
    <row r="9" spans="1:13" ht="18.75" x14ac:dyDescent="0.25">
      <c r="A9" s="3"/>
      <c r="B9" s="4" t="s">
        <v>25</v>
      </c>
      <c r="C9" s="5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x14ac:dyDescent="0.25">
      <c r="A10" s="6">
        <v>52</v>
      </c>
      <c r="B10" s="7" t="s">
        <v>86</v>
      </c>
      <c r="C10" s="33">
        <v>100</v>
      </c>
      <c r="D10" s="17">
        <v>1.4</v>
      </c>
      <c r="E10" s="17">
        <v>6</v>
      </c>
      <c r="F10" s="17">
        <v>8.3000000000000007</v>
      </c>
      <c r="G10" s="17">
        <v>92.8</v>
      </c>
      <c r="H10" s="17">
        <v>0</v>
      </c>
      <c r="I10" s="17">
        <v>0</v>
      </c>
      <c r="J10" s="17">
        <v>6.7</v>
      </c>
      <c r="K10" s="17">
        <v>35.5</v>
      </c>
      <c r="L10" s="17">
        <v>40.6</v>
      </c>
      <c r="M10" s="17">
        <v>1.3</v>
      </c>
    </row>
    <row r="11" spans="1:13" x14ac:dyDescent="0.25">
      <c r="A11" s="24">
        <v>243</v>
      </c>
      <c r="B11" s="7" t="s">
        <v>50</v>
      </c>
      <c r="C11" s="33">
        <v>220</v>
      </c>
      <c r="D11" s="17">
        <f>16.9*C11/1000</f>
        <v>3.7179999999999995</v>
      </c>
      <c r="E11" s="17">
        <f>109.9*C11/1000</f>
        <v>24.178000000000001</v>
      </c>
      <c r="F11" s="17">
        <f>81.9*C11/1000</f>
        <v>18.018000000000001</v>
      </c>
      <c r="G11" s="17">
        <f>1352.4*C11/1000</f>
        <v>297.52800000000002</v>
      </c>
      <c r="H11" s="17">
        <f>438.1*C11/1000</f>
        <v>96.382000000000005</v>
      </c>
      <c r="I11" s="17">
        <f>0.6*C11/1000</f>
        <v>0.13200000000000001</v>
      </c>
      <c r="J11" s="17">
        <f>119.1*C11/1000</f>
        <v>26.202000000000002</v>
      </c>
      <c r="K11" s="17">
        <f>353.9*C11/1000</f>
        <v>77.858000000000004</v>
      </c>
      <c r="L11" s="17">
        <f>428.6*C11/1000</f>
        <v>94.292000000000002</v>
      </c>
      <c r="M11" s="17">
        <f>5.7*C11/1000</f>
        <v>1.254</v>
      </c>
    </row>
    <row r="12" spans="1:13" x14ac:dyDescent="0.25">
      <c r="A12" s="24">
        <v>385</v>
      </c>
      <c r="B12" s="7" t="s">
        <v>79</v>
      </c>
      <c r="C12" s="33">
        <v>200</v>
      </c>
      <c r="D12" s="28">
        <v>5.8</v>
      </c>
      <c r="E12" s="28">
        <v>5</v>
      </c>
      <c r="F12" s="28">
        <v>9.6</v>
      </c>
      <c r="G12" s="28">
        <v>107</v>
      </c>
      <c r="H12" s="28">
        <v>40</v>
      </c>
      <c r="I12" s="28">
        <v>0.2</v>
      </c>
      <c r="J12" s="28">
        <v>2.6</v>
      </c>
      <c r="K12" s="28">
        <v>20</v>
      </c>
      <c r="L12" s="28">
        <v>0</v>
      </c>
      <c r="M12" s="28">
        <v>0</v>
      </c>
    </row>
    <row r="13" spans="1:13" x14ac:dyDescent="0.25">
      <c r="A13" s="6" t="s">
        <v>26</v>
      </c>
      <c r="B13" s="7" t="s">
        <v>3</v>
      </c>
      <c r="C13" s="33">
        <v>50</v>
      </c>
      <c r="D13" s="17">
        <f>107*C13/1000</f>
        <v>5.35</v>
      </c>
      <c r="E13" s="17">
        <f>45*C13/1000</f>
        <v>2.25</v>
      </c>
      <c r="F13" s="17">
        <f>435*C13/1000</f>
        <v>21.75</v>
      </c>
      <c r="G13" s="17">
        <f>2740*C13/1000</f>
        <v>137</v>
      </c>
      <c r="H13" s="17">
        <f>0</f>
        <v>0</v>
      </c>
      <c r="I13" s="17">
        <f>4.1*C13/1000</f>
        <v>0.20499999999999996</v>
      </c>
      <c r="J13" s="17">
        <f>2*C13/1000</f>
        <v>0.1</v>
      </c>
      <c r="K13" s="17">
        <f>1250*C13/1000</f>
        <v>62.5</v>
      </c>
      <c r="L13" s="17">
        <f>1290*C13/1000</f>
        <v>64.5</v>
      </c>
      <c r="M13" s="17">
        <f>36*C13/1000</f>
        <v>1.8</v>
      </c>
    </row>
    <row r="14" spans="1:13" x14ac:dyDescent="0.25">
      <c r="A14" s="12" t="s">
        <v>30</v>
      </c>
      <c r="B14" s="7" t="s">
        <v>0</v>
      </c>
      <c r="C14" s="33">
        <v>30</v>
      </c>
      <c r="D14" s="28">
        <f>85*C14/1000</f>
        <v>2.5499999999999998</v>
      </c>
      <c r="E14" s="28">
        <f>33*C14/1000</f>
        <v>0.99</v>
      </c>
      <c r="F14" s="28">
        <f>425*C14/1000</f>
        <v>12.75</v>
      </c>
      <c r="G14" s="28">
        <f>2590*C14/1000</f>
        <v>77.7</v>
      </c>
      <c r="H14" s="32">
        <f>0</f>
        <v>0</v>
      </c>
      <c r="I14" s="28">
        <f>4.3*C14/1000</f>
        <v>0.129</v>
      </c>
      <c r="J14" s="28">
        <f>4*C14/1000</f>
        <v>0.12</v>
      </c>
      <c r="K14" s="28">
        <f>730*C14/1000</f>
        <v>21.9</v>
      </c>
      <c r="L14" s="28">
        <f>1250*C14/1000</f>
        <v>37.5</v>
      </c>
      <c r="M14" s="28">
        <f>28.3*C14/1000</f>
        <v>0.84899999999999998</v>
      </c>
    </row>
    <row r="15" spans="1:13" x14ac:dyDescent="0.25">
      <c r="A15" s="24"/>
      <c r="B15" s="7" t="s">
        <v>2</v>
      </c>
      <c r="C15" s="7">
        <v>30</v>
      </c>
      <c r="D15" s="28">
        <v>3.35</v>
      </c>
      <c r="E15" s="28">
        <v>3.7749999999999999</v>
      </c>
      <c r="F15" s="28">
        <v>36.03</v>
      </c>
      <c r="G15" s="28">
        <v>191.5</v>
      </c>
      <c r="H15" s="28">
        <v>20</v>
      </c>
      <c r="I15" s="28">
        <v>0.08</v>
      </c>
      <c r="J15" s="28">
        <v>0</v>
      </c>
      <c r="K15" s="28">
        <v>9.875</v>
      </c>
      <c r="L15" s="28">
        <v>37.484999999999999</v>
      </c>
      <c r="M15" s="28">
        <v>0.71499999999999997</v>
      </c>
    </row>
    <row r="16" spans="1:13" x14ac:dyDescent="0.25">
      <c r="A16" s="24"/>
      <c r="B16" s="7"/>
      <c r="C16" s="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x14ac:dyDescent="0.25">
      <c r="A17" s="24"/>
      <c r="B17" s="9" t="s">
        <v>27</v>
      </c>
      <c r="C17" s="10">
        <f>SUM(C10:C16)</f>
        <v>630</v>
      </c>
      <c r="D17" s="10">
        <f t="shared" ref="D17:M17" si="0">SUM(D10:D16)</f>
        <v>22.168000000000003</v>
      </c>
      <c r="E17" s="10">
        <f t="shared" si="0"/>
        <v>42.192999999999998</v>
      </c>
      <c r="F17" s="10">
        <f t="shared" si="0"/>
        <v>106.44800000000001</v>
      </c>
      <c r="G17" s="10">
        <f t="shared" si="0"/>
        <v>903.52800000000002</v>
      </c>
      <c r="H17" s="10">
        <f t="shared" si="0"/>
        <v>156.38200000000001</v>
      </c>
      <c r="I17" s="10">
        <f t="shared" si="0"/>
        <v>0.74599999999999989</v>
      </c>
      <c r="J17" s="10">
        <f t="shared" si="0"/>
        <v>35.722000000000001</v>
      </c>
      <c r="K17" s="10">
        <f t="shared" si="0"/>
        <v>227.63300000000001</v>
      </c>
      <c r="L17" s="10">
        <f t="shared" si="0"/>
        <v>274.37700000000001</v>
      </c>
      <c r="M17" s="10">
        <f t="shared" si="0"/>
        <v>5.9180000000000001</v>
      </c>
    </row>
    <row r="18" spans="1:13" ht="18.75" x14ac:dyDescent="0.25">
      <c r="A18" s="24"/>
      <c r="B18" s="11" t="s">
        <v>28</v>
      </c>
      <c r="C18" s="8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x14ac:dyDescent="0.25">
      <c r="A19" s="6">
        <v>88</v>
      </c>
      <c r="B19" s="7" t="s">
        <v>29</v>
      </c>
      <c r="C19" s="33">
        <v>250</v>
      </c>
      <c r="D19" s="17">
        <f>7*C19/1000</f>
        <v>1.75</v>
      </c>
      <c r="E19" s="17">
        <f>19.5*C19/1000</f>
        <v>4.875</v>
      </c>
      <c r="F19" s="17">
        <f>23.6*C19/1000</f>
        <v>5.9</v>
      </c>
      <c r="G19" s="17">
        <f>320*C19/1000</f>
        <v>80</v>
      </c>
      <c r="H19" s="17">
        <f>0</f>
        <v>0</v>
      </c>
      <c r="I19" s="17">
        <f>0.2*C19/1000</f>
        <v>0.05</v>
      </c>
      <c r="J19" s="17">
        <f>68.5*C19/1000</f>
        <v>17.125</v>
      </c>
      <c r="K19" s="17">
        <f>202.9*C19/1000</f>
        <v>50.725000000000001</v>
      </c>
      <c r="L19" s="17">
        <f>155.4*C19/1000</f>
        <v>38.85</v>
      </c>
      <c r="M19" s="17">
        <f>2.7*C19/1000</f>
        <v>0.67500000000000004</v>
      </c>
    </row>
    <row r="20" spans="1:13" x14ac:dyDescent="0.25">
      <c r="A20" s="24">
        <v>304</v>
      </c>
      <c r="B20" s="7" t="s">
        <v>5</v>
      </c>
      <c r="C20" s="33">
        <v>180</v>
      </c>
      <c r="D20" s="17">
        <f>24.3*C20/1000</f>
        <v>4.3739999999999997</v>
      </c>
      <c r="E20" s="17">
        <f>35.8*C20/1000</f>
        <v>6.4439999999999991</v>
      </c>
      <c r="F20" s="17">
        <f>244.6*C20/1000</f>
        <v>44.027999999999999</v>
      </c>
      <c r="G20" s="17">
        <f>1398*C20/1000</f>
        <v>251.64</v>
      </c>
      <c r="H20" s="17">
        <f>0</f>
        <v>0</v>
      </c>
      <c r="I20" s="17">
        <f>0.2*C20/1000</f>
        <v>3.5999999999999997E-2</v>
      </c>
      <c r="J20" s="17">
        <f>0</f>
        <v>0</v>
      </c>
      <c r="K20" s="17">
        <f>9.1*C20/1000</f>
        <v>1.6379999999999999</v>
      </c>
      <c r="L20" s="17">
        <f>406.3*C20/1000</f>
        <v>73.134</v>
      </c>
      <c r="M20" s="17">
        <f>3.5*C20/1000</f>
        <v>0.63</v>
      </c>
    </row>
    <row r="21" spans="1:13" x14ac:dyDescent="0.25">
      <c r="A21" s="25">
        <v>260</v>
      </c>
      <c r="B21" s="7" t="s">
        <v>77</v>
      </c>
      <c r="C21" s="33">
        <v>120</v>
      </c>
      <c r="D21" s="46">
        <v>8.25</v>
      </c>
      <c r="E21" s="46">
        <v>12.1</v>
      </c>
      <c r="F21" s="46">
        <v>7.16</v>
      </c>
      <c r="G21" s="46">
        <v>172</v>
      </c>
      <c r="H21" s="46">
        <v>27.89</v>
      </c>
      <c r="I21" s="46">
        <v>1.4</v>
      </c>
      <c r="J21" s="46">
        <v>0.04</v>
      </c>
      <c r="K21" s="46">
        <v>0.08</v>
      </c>
      <c r="L21" s="46">
        <v>0.17</v>
      </c>
      <c r="M21" s="46">
        <v>0</v>
      </c>
    </row>
    <row r="22" spans="1:13" x14ac:dyDescent="0.25">
      <c r="A22" s="24">
        <v>382</v>
      </c>
      <c r="B22" s="7" t="s">
        <v>43</v>
      </c>
      <c r="C22" s="33">
        <v>200</v>
      </c>
      <c r="D22" s="28">
        <f>20.4*C22/1000</f>
        <v>4.0799999999999992</v>
      </c>
      <c r="E22" s="28">
        <f>17.7*C22/1000</f>
        <v>3.54</v>
      </c>
      <c r="F22" s="28">
        <f>87.9*C22/1000</f>
        <v>17.579999999999998</v>
      </c>
      <c r="G22" s="28">
        <f>593*C22/1000</f>
        <v>118.6</v>
      </c>
      <c r="H22" s="28">
        <f>122*C22/1000</f>
        <v>24.4</v>
      </c>
      <c r="I22" s="28">
        <f>0.28*C22/1000</f>
        <v>5.6000000000000008E-2</v>
      </c>
      <c r="J22" s="28">
        <f>7.9*C22/1000</f>
        <v>1.58</v>
      </c>
      <c r="K22" s="28">
        <f>761.1*C22/1000</f>
        <v>152.22</v>
      </c>
      <c r="L22" s="28">
        <f>622.8*C22/1000</f>
        <v>124.55999999999999</v>
      </c>
      <c r="M22" s="28">
        <f>2.4*C22/1000</f>
        <v>0.48</v>
      </c>
    </row>
    <row r="23" spans="1:13" x14ac:dyDescent="0.25">
      <c r="A23" s="6" t="s">
        <v>26</v>
      </c>
      <c r="B23" s="7" t="s">
        <v>3</v>
      </c>
      <c r="C23" s="33">
        <v>50</v>
      </c>
      <c r="D23" s="17">
        <f>107*C23/1000</f>
        <v>5.35</v>
      </c>
      <c r="E23" s="17">
        <f>45*C23/1000</f>
        <v>2.25</v>
      </c>
      <c r="F23" s="17">
        <f>435*C23/1000</f>
        <v>21.75</v>
      </c>
      <c r="G23" s="17">
        <f>2740*C23/1000</f>
        <v>137</v>
      </c>
      <c r="H23" s="17">
        <f>0</f>
        <v>0</v>
      </c>
      <c r="I23" s="17">
        <f>4.1*C23/1000</f>
        <v>0.20499999999999996</v>
      </c>
      <c r="J23" s="17">
        <f>2*C23/1000</f>
        <v>0.1</v>
      </c>
      <c r="K23" s="17">
        <f>1250*C23/1000</f>
        <v>62.5</v>
      </c>
      <c r="L23" s="17">
        <f>1290*C23/1000</f>
        <v>64.5</v>
      </c>
      <c r="M23" s="17">
        <f>36*C23/1000</f>
        <v>1.8</v>
      </c>
    </row>
    <row r="24" spans="1:13" x14ac:dyDescent="0.25">
      <c r="A24" s="12" t="s">
        <v>30</v>
      </c>
      <c r="B24" s="7" t="s">
        <v>0</v>
      </c>
      <c r="C24" s="33">
        <v>30</v>
      </c>
      <c r="D24" s="28">
        <f>85*C24/1000</f>
        <v>2.5499999999999998</v>
      </c>
      <c r="E24" s="28">
        <f>33*C24/1000</f>
        <v>0.99</v>
      </c>
      <c r="F24" s="28">
        <f>425*C24/1000</f>
        <v>12.75</v>
      </c>
      <c r="G24" s="28">
        <f>2590*C24/1000</f>
        <v>77.7</v>
      </c>
      <c r="H24" s="32">
        <f>0</f>
        <v>0</v>
      </c>
      <c r="I24" s="28">
        <f>4.3*C24/1000</f>
        <v>0.129</v>
      </c>
      <c r="J24" s="28">
        <f>4*C24/1000</f>
        <v>0.12</v>
      </c>
      <c r="K24" s="28">
        <f>730*C24/1000</f>
        <v>21.9</v>
      </c>
      <c r="L24" s="28">
        <f>1250*C24/1000</f>
        <v>37.5</v>
      </c>
      <c r="M24" s="28">
        <f>28.3*C24/1000</f>
        <v>0.84899999999999998</v>
      </c>
    </row>
    <row r="25" spans="1:13" x14ac:dyDescent="0.25">
      <c r="A25" s="6">
        <v>338</v>
      </c>
      <c r="B25" s="7" t="s">
        <v>47</v>
      </c>
      <c r="C25" s="33">
        <v>100</v>
      </c>
      <c r="D25" s="17">
        <f>4*C25/1000</f>
        <v>0.4</v>
      </c>
      <c r="E25" s="17">
        <f>4*C25/1000</f>
        <v>0.4</v>
      </c>
      <c r="F25" s="17">
        <f>98*C25/1000</f>
        <v>9.8000000000000007</v>
      </c>
      <c r="G25" s="17">
        <f>470*C25/1000</f>
        <v>47</v>
      </c>
      <c r="H25" s="17">
        <f>0</f>
        <v>0</v>
      </c>
      <c r="I25" s="17">
        <f>0.3*C25/1000</f>
        <v>0.03</v>
      </c>
      <c r="J25" s="17">
        <f>100*C25/1000</f>
        <v>10</v>
      </c>
      <c r="K25" s="17">
        <f>160*C25/1000</f>
        <v>16</v>
      </c>
      <c r="L25" s="17">
        <f>110*C25/1000</f>
        <v>11</v>
      </c>
      <c r="M25" s="17">
        <f>22*C25/1000</f>
        <v>2.2000000000000002</v>
      </c>
    </row>
    <row r="26" spans="1:13" x14ac:dyDescent="0.25">
      <c r="A26" s="25"/>
      <c r="B26" s="9" t="s">
        <v>27</v>
      </c>
      <c r="C26" s="10">
        <f>SUM(C19:C25)</f>
        <v>930</v>
      </c>
      <c r="D26" s="40">
        <f t="shared" ref="D26:M26" si="1">SUM(D19:D25)</f>
        <v>26.753999999999994</v>
      </c>
      <c r="E26" s="40">
        <f t="shared" si="1"/>
        <v>30.598999999999993</v>
      </c>
      <c r="F26" s="40">
        <f t="shared" si="1"/>
        <v>118.96799999999999</v>
      </c>
      <c r="G26" s="40">
        <f t="shared" si="1"/>
        <v>883.94</v>
      </c>
      <c r="H26" s="40">
        <f t="shared" si="1"/>
        <v>52.29</v>
      </c>
      <c r="I26" s="40">
        <f t="shared" si="1"/>
        <v>1.9059999999999999</v>
      </c>
      <c r="J26" s="40">
        <f t="shared" si="1"/>
        <v>28.965</v>
      </c>
      <c r="K26" s="40">
        <f t="shared" si="1"/>
        <v>305.06299999999999</v>
      </c>
      <c r="L26" s="40">
        <f t="shared" si="1"/>
        <v>349.714</v>
      </c>
      <c r="M26" s="40">
        <f t="shared" si="1"/>
        <v>6.6340000000000003</v>
      </c>
    </row>
    <row r="27" spans="1:13" ht="18.75" x14ac:dyDescent="0.25">
      <c r="A27" s="25"/>
      <c r="B27" s="14" t="s">
        <v>31</v>
      </c>
      <c r="C27" s="13">
        <f t="shared" ref="C27:M27" si="2">C17+C26</f>
        <v>1560</v>
      </c>
      <c r="D27" s="41">
        <f t="shared" si="2"/>
        <v>48.921999999999997</v>
      </c>
      <c r="E27" s="41">
        <f t="shared" si="2"/>
        <v>72.791999999999987</v>
      </c>
      <c r="F27" s="41">
        <f t="shared" si="2"/>
        <v>225.416</v>
      </c>
      <c r="G27" s="41">
        <f t="shared" si="2"/>
        <v>1787.4680000000001</v>
      </c>
      <c r="H27" s="41">
        <f t="shared" si="2"/>
        <v>208.672</v>
      </c>
      <c r="I27" s="41">
        <f t="shared" si="2"/>
        <v>2.6519999999999997</v>
      </c>
      <c r="J27" s="41">
        <f t="shared" si="2"/>
        <v>64.686999999999998</v>
      </c>
      <c r="K27" s="41">
        <f t="shared" si="2"/>
        <v>532.69600000000003</v>
      </c>
      <c r="L27" s="41">
        <f t="shared" si="2"/>
        <v>624.09100000000001</v>
      </c>
      <c r="M27" s="41">
        <f t="shared" si="2"/>
        <v>12.552</v>
      </c>
    </row>
    <row r="28" spans="1:13" ht="18" customHeight="1" x14ac:dyDescent="0.25">
      <c r="A28" s="15"/>
      <c r="B28" s="16" t="s">
        <v>68</v>
      </c>
      <c r="C28" s="17">
        <v>1350</v>
      </c>
      <c r="D28" s="18">
        <v>45</v>
      </c>
      <c r="E28" s="18">
        <v>46</v>
      </c>
      <c r="F28" s="18">
        <v>192</v>
      </c>
      <c r="G28" s="18">
        <v>1360</v>
      </c>
      <c r="H28" s="18">
        <v>450</v>
      </c>
      <c r="I28" s="18">
        <v>0.7</v>
      </c>
      <c r="J28" s="18">
        <v>35</v>
      </c>
      <c r="K28" s="18">
        <v>600</v>
      </c>
      <c r="L28" s="18">
        <v>600</v>
      </c>
      <c r="M28" s="18">
        <v>9</v>
      </c>
    </row>
    <row r="29" spans="1:13" ht="18" customHeight="1" x14ac:dyDescent="0.25">
      <c r="A29" s="19"/>
      <c r="B29" s="20"/>
      <c r="C29" s="21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13" ht="18" customHeight="1" x14ac:dyDescent="0.25">
      <c r="A30" s="19"/>
      <c r="B30" s="20"/>
      <c r="C30" s="21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3" ht="18" customHeight="1" x14ac:dyDescent="0.25">
      <c r="A31" s="19"/>
      <c r="B31" s="20"/>
      <c r="C31" s="21"/>
      <c r="D31" s="23"/>
      <c r="E31" s="23"/>
      <c r="F31" s="23"/>
      <c r="G31" s="23"/>
      <c r="H31" s="23"/>
      <c r="I31" s="23"/>
      <c r="J31" s="23"/>
      <c r="K31" s="23"/>
      <c r="L31" s="23"/>
      <c r="M31" s="23"/>
    </row>
  </sheetData>
  <mergeCells count="11">
    <mergeCell ref="A3:B3"/>
    <mergeCell ref="A4:B4"/>
    <mergeCell ref="A5:B5"/>
    <mergeCell ref="K6:M7"/>
    <mergeCell ref="D7:F7"/>
    <mergeCell ref="A6:A8"/>
    <mergeCell ref="B6:B8"/>
    <mergeCell ref="C6:C8"/>
    <mergeCell ref="D6:F6"/>
    <mergeCell ref="G6:G8"/>
    <mergeCell ref="H6:J7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zoomScale="80" zoomScaleNormal="80" workbookViewId="0">
      <selection activeCell="P23" sqref="P23"/>
    </sheetView>
  </sheetViews>
  <sheetFormatPr defaultColWidth="9.140625" defaultRowHeight="15" x14ac:dyDescent="0.25"/>
  <cols>
    <col min="1" max="1" width="9.140625" style="1"/>
    <col min="2" max="2" width="30" style="1" customWidth="1"/>
    <col min="3" max="3" width="10" style="1" customWidth="1"/>
    <col min="4" max="6" width="9.28515625" style="1" customWidth="1"/>
    <col min="7" max="7" width="9.5703125" style="1" customWidth="1"/>
    <col min="8" max="8" width="8.7109375" style="1" customWidth="1"/>
    <col min="9" max="9" width="10.42578125" style="1" customWidth="1"/>
    <col min="10" max="10" width="9.28515625" style="1" customWidth="1"/>
    <col min="11" max="11" width="8.5703125" style="1" customWidth="1"/>
    <col min="12" max="13" width="9.28515625" style="1" customWidth="1"/>
    <col min="14" max="16384" width="9.140625" style="1"/>
  </cols>
  <sheetData>
    <row r="1" spans="1:13" ht="18" customHeight="1" x14ac:dyDescent="0.25">
      <c r="A1" s="19"/>
      <c r="B1" s="20"/>
      <c r="C1" s="21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2.15" customHeight="1" x14ac:dyDescent="0.25">
      <c r="A2" s="19"/>
      <c r="B2" s="20"/>
      <c r="C2" s="21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8.75" x14ac:dyDescent="0.25">
      <c r="A3" s="70" t="s">
        <v>35</v>
      </c>
      <c r="B3" s="71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25">
      <c r="A4" s="70" t="s">
        <v>38</v>
      </c>
      <c r="B4" s="71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5.75" thickBot="1" x14ac:dyDescent="0.3">
      <c r="A5" s="72" t="s">
        <v>73</v>
      </c>
      <c r="B5" s="73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25">
      <c r="A6" s="74" t="s">
        <v>9</v>
      </c>
      <c r="B6" s="74" t="s">
        <v>10</v>
      </c>
      <c r="C6" s="74" t="s">
        <v>11</v>
      </c>
      <c r="D6" s="64" t="s">
        <v>12</v>
      </c>
      <c r="E6" s="65"/>
      <c r="F6" s="66"/>
      <c r="G6" s="79" t="s">
        <v>13</v>
      </c>
      <c r="H6" s="64" t="s">
        <v>14</v>
      </c>
      <c r="I6" s="65"/>
      <c r="J6" s="66"/>
      <c r="K6" s="64" t="s">
        <v>15</v>
      </c>
      <c r="L6" s="65"/>
      <c r="M6" s="66"/>
    </row>
    <row r="7" spans="1:13" ht="15.75" thickBot="1" x14ac:dyDescent="0.3">
      <c r="A7" s="75"/>
      <c r="B7" s="77"/>
      <c r="C7" s="77"/>
      <c r="D7" s="67" t="s">
        <v>16</v>
      </c>
      <c r="E7" s="68"/>
      <c r="F7" s="69"/>
      <c r="G7" s="80"/>
      <c r="H7" s="67"/>
      <c r="I7" s="68"/>
      <c r="J7" s="69"/>
      <c r="K7" s="67"/>
      <c r="L7" s="68"/>
      <c r="M7" s="69"/>
    </row>
    <row r="8" spans="1:13" ht="17.25" thickBot="1" x14ac:dyDescent="0.3">
      <c r="A8" s="76"/>
      <c r="B8" s="78"/>
      <c r="C8" s="78"/>
      <c r="D8" s="30" t="s">
        <v>17</v>
      </c>
      <c r="E8" s="30" t="s">
        <v>18</v>
      </c>
      <c r="F8" s="30" t="s">
        <v>19</v>
      </c>
      <c r="G8" s="81"/>
      <c r="H8" s="30" t="s">
        <v>20</v>
      </c>
      <c r="I8" s="30" t="s">
        <v>41</v>
      </c>
      <c r="J8" s="30" t="s">
        <v>22</v>
      </c>
      <c r="K8" s="30" t="s">
        <v>23</v>
      </c>
      <c r="L8" s="30" t="s">
        <v>40</v>
      </c>
      <c r="M8" s="30" t="s">
        <v>24</v>
      </c>
    </row>
    <row r="9" spans="1:13" ht="18.75" x14ac:dyDescent="0.25">
      <c r="A9" s="3"/>
      <c r="B9" s="4" t="s">
        <v>25</v>
      </c>
      <c r="C9" s="5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x14ac:dyDescent="0.25">
      <c r="A10" s="24">
        <v>304</v>
      </c>
      <c r="B10" s="7" t="s">
        <v>5</v>
      </c>
      <c r="C10" s="33">
        <v>200</v>
      </c>
      <c r="D10" s="17">
        <f>24.3*C10/1000</f>
        <v>4.8600000000000003</v>
      </c>
      <c r="E10" s="17">
        <f>35.8*C10/1000</f>
        <v>7.1599999999999993</v>
      </c>
      <c r="F10" s="17">
        <f>244.6*C10/1000</f>
        <v>48.92</v>
      </c>
      <c r="G10" s="17">
        <f>1398*C10/1000</f>
        <v>279.60000000000002</v>
      </c>
      <c r="H10" s="17">
        <f>0</f>
        <v>0</v>
      </c>
      <c r="I10" s="17">
        <f>0.2*C10/1000</f>
        <v>0.04</v>
      </c>
      <c r="J10" s="17">
        <f>0</f>
        <v>0</v>
      </c>
      <c r="K10" s="17">
        <f>9.1*C10/1000</f>
        <v>1.82</v>
      </c>
      <c r="L10" s="17">
        <f>406.3*C10/1000</f>
        <v>81.260000000000005</v>
      </c>
      <c r="M10" s="17">
        <f>3.5*C10/1000</f>
        <v>0.7</v>
      </c>
    </row>
    <row r="11" spans="1:13" x14ac:dyDescent="0.25">
      <c r="A11" s="24">
        <v>229</v>
      </c>
      <c r="B11" s="7" t="s">
        <v>33</v>
      </c>
      <c r="C11" s="33">
        <v>140</v>
      </c>
      <c r="D11" s="17">
        <f>97.5*C11/1000</f>
        <v>13.65</v>
      </c>
      <c r="E11" s="17">
        <f>49.5*C11/1000</f>
        <v>6.93</v>
      </c>
      <c r="F11" s="17">
        <f>38*C11/1000</f>
        <v>5.32</v>
      </c>
      <c r="G11" s="17">
        <f>1050*C11/1000</f>
        <v>147</v>
      </c>
      <c r="H11" s="17">
        <f>58.2*C11/1000</f>
        <v>8.1479999999999997</v>
      </c>
      <c r="I11" s="17">
        <f>0.5*C11/1000</f>
        <v>7.0000000000000007E-2</v>
      </c>
      <c r="J11" s="17">
        <f>37.3*C11/1000</f>
        <v>5.2220000000000004</v>
      </c>
      <c r="K11" s="17">
        <f>390.7*C11/1000</f>
        <v>54.698</v>
      </c>
      <c r="L11" s="17">
        <f>1621.9*C11/1000</f>
        <v>227.066</v>
      </c>
      <c r="M11" s="17">
        <f>8.5*C11/1000</f>
        <v>1.19</v>
      </c>
    </row>
    <row r="12" spans="1:13" x14ac:dyDescent="0.25">
      <c r="A12" s="24">
        <v>382</v>
      </c>
      <c r="B12" s="7" t="s">
        <v>43</v>
      </c>
      <c r="C12" s="33">
        <v>200</v>
      </c>
      <c r="D12" s="28">
        <f>20.4*C12/1000</f>
        <v>4.0799999999999992</v>
      </c>
      <c r="E12" s="28">
        <f>17.7*C12/1000</f>
        <v>3.54</v>
      </c>
      <c r="F12" s="28">
        <f>87.9*C12/1000</f>
        <v>17.579999999999998</v>
      </c>
      <c r="G12" s="28">
        <f>593*C12/1000</f>
        <v>118.6</v>
      </c>
      <c r="H12" s="28">
        <f>122*C12/1000</f>
        <v>24.4</v>
      </c>
      <c r="I12" s="28">
        <f>0.28*C12/1000</f>
        <v>5.6000000000000008E-2</v>
      </c>
      <c r="J12" s="28">
        <f>7.9*C12/1000</f>
        <v>1.58</v>
      </c>
      <c r="K12" s="28">
        <f>761.1*C12/1000</f>
        <v>152.22</v>
      </c>
      <c r="L12" s="28">
        <f>622.8*C12/1000</f>
        <v>124.55999999999999</v>
      </c>
      <c r="M12" s="28">
        <f>2.4*C12/1000</f>
        <v>0.48</v>
      </c>
    </row>
    <row r="13" spans="1:13" x14ac:dyDescent="0.25">
      <c r="A13" s="6" t="s">
        <v>26</v>
      </c>
      <c r="B13" s="7" t="s">
        <v>3</v>
      </c>
      <c r="C13" s="33">
        <v>50</v>
      </c>
      <c r="D13" s="17">
        <f>107*C13/1000</f>
        <v>5.35</v>
      </c>
      <c r="E13" s="17">
        <f>45*C13/1000</f>
        <v>2.25</v>
      </c>
      <c r="F13" s="17">
        <f>435*C13/1000</f>
        <v>21.75</v>
      </c>
      <c r="G13" s="17">
        <f>2740*C13/1000</f>
        <v>137</v>
      </c>
      <c r="H13" s="17">
        <f>0</f>
        <v>0</v>
      </c>
      <c r="I13" s="17">
        <f>4.1*C13/1000</f>
        <v>0.20499999999999996</v>
      </c>
      <c r="J13" s="17">
        <f>2*C13/1000</f>
        <v>0.1</v>
      </c>
      <c r="K13" s="17">
        <f>1250*C13/1000</f>
        <v>62.5</v>
      </c>
      <c r="L13" s="17">
        <f>1290*C13/1000</f>
        <v>64.5</v>
      </c>
      <c r="M13" s="17">
        <f>36*C13/1000</f>
        <v>1.8</v>
      </c>
    </row>
    <row r="14" spans="1:13" x14ac:dyDescent="0.25">
      <c r="A14" s="12" t="s">
        <v>30</v>
      </c>
      <c r="B14" s="7" t="s">
        <v>0</v>
      </c>
      <c r="C14" s="33">
        <v>30</v>
      </c>
      <c r="D14" s="28">
        <f>85*C14/1000</f>
        <v>2.5499999999999998</v>
      </c>
      <c r="E14" s="28">
        <f>33*C14/1000</f>
        <v>0.99</v>
      </c>
      <c r="F14" s="28">
        <f>425*C14/1000</f>
        <v>12.75</v>
      </c>
      <c r="G14" s="28">
        <f>2590*C14/1000</f>
        <v>77.7</v>
      </c>
      <c r="H14" s="32">
        <f>0</f>
        <v>0</v>
      </c>
      <c r="I14" s="28">
        <f>4.3*C14/1000</f>
        <v>0.129</v>
      </c>
      <c r="J14" s="28">
        <f>4*C14/1000</f>
        <v>0.12</v>
      </c>
      <c r="K14" s="28">
        <f>730*C14/1000</f>
        <v>21.9</v>
      </c>
      <c r="L14" s="28">
        <f>1250*C14/1000</f>
        <v>37.5</v>
      </c>
      <c r="M14" s="28">
        <f>28.3*C14/1000</f>
        <v>0.84899999999999998</v>
      </c>
    </row>
    <row r="15" spans="1:13" x14ac:dyDescent="0.25">
      <c r="A15" s="24"/>
      <c r="B15" s="7"/>
      <c r="C15" s="33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x14ac:dyDescent="0.25">
      <c r="A16" s="24"/>
      <c r="B16" s="9" t="s">
        <v>27</v>
      </c>
      <c r="C16" s="10">
        <f>SUM(C10:C15)</f>
        <v>620</v>
      </c>
      <c r="D16" s="40">
        <f t="shared" ref="D16:M16" si="0">SUM(D10:D15)</f>
        <v>30.49</v>
      </c>
      <c r="E16" s="40">
        <f t="shared" si="0"/>
        <v>20.869999999999997</v>
      </c>
      <c r="F16" s="40">
        <f t="shared" si="0"/>
        <v>106.32</v>
      </c>
      <c r="G16" s="40">
        <f t="shared" si="0"/>
        <v>759.90000000000009</v>
      </c>
      <c r="H16" s="40">
        <f t="shared" si="0"/>
        <v>32.548000000000002</v>
      </c>
      <c r="I16" s="40">
        <f t="shared" si="0"/>
        <v>0.5</v>
      </c>
      <c r="J16" s="40">
        <f t="shared" si="0"/>
        <v>7.0220000000000002</v>
      </c>
      <c r="K16" s="40">
        <f t="shared" si="0"/>
        <v>293.13799999999998</v>
      </c>
      <c r="L16" s="40">
        <f t="shared" si="0"/>
        <v>534.88599999999997</v>
      </c>
      <c r="M16" s="40">
        <f t="shared" si="0"/>
        <v>5.0190000000000001</v>
      </c>
    </row>
    <row r="17" spans="1:13" ht="18.75" x14ac:dyDescent="0.25">
      <c r="A17" s="24"/>
      <c r="B17" s="11" t="s">
        <v>28</v>
      </c>
      <c r="C17" s="8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x14ac:dyDescent="0.25">
      <c r="A18" s="24">
        <v>104</v>
      </c>
      <c r="B18" s="7" t="s">
        <v>51</v>
      </c>
      <c r="C18" s="33">
        <v>250</v>
      </c>
      <c r="D18" s="17">
        <f>8.8*C18/1000</f>
        <v>2.2000000000000002</v>
      </c>
      <c r="E18" s="17">
        <f>11.1*C18/1000</f>
        <v>2.7749999999999999</v>
      </c>
      <c r="F18" s="17">
        <f>61.6*C18/1000</f>
        <v>15.4</v>
      </c>
      <c r="G18" s="17">
        <f>424*C18/1000</f>
        <v>106</v>
      </c>
      <c r="H18" s="17">
        <f>0</f>
        <v>0</v>
      </c>
      <c r="I18" s="17">
        <f>0.5*C18/1000</f>
        <v>0.125</v>
      </c>
      <c r="J18" s="17">
        <f>44.3*C18/1000</f>
        <v>11.074999999999999</v>
      </c>
      <c r="K18" s="17">
        <f>118.8*C18/1000</f>
        <v>29.7</v>
      </c>
      <c r="L18" s="17">
        <f>288.9*C18/1000</f>
        <v>72.224999999999994</v>
      </c>
      <c r="M18" s="17">
        <f>4.6*C18/1000</f>
        <v>1.1499999999999999</v>
      </c>
    </row>
    <row r="19" spans="1:13" x14ac:dyDescent="0.25">
      <c r="A19" s="25">
        <v>204</v>
      </c>
      <c r="B19" s="7" t="s">
        <v>52</v>
      </c>
      <c r="C19" s="33">
        <v>250</v>
      </c>
      <c r="D19" s="46">
        <f>67.7*C19/1000</f>
        <v>16.925000000000001</v>
      </c>
      <c r="E19" s="46">
        <f>79.7*C19/1000</f>
        <v>19.925000000000001</v>
      </c>
      <c r="F19" s="46">
        <f>170.6*C19/1000</f>
        <v>42.65</v>
      </c>
      <c r="G19" s="46">
        <f>1123*C19/1000</f>
        <v>280.75</v>
      </c>
      <c r="H19" s="46">
        <f>576*C19/1000</f>
        <v>144</v>
      </c>
      <c r="I19" s="46">
        <f>0.4*C19/1000</f>
        <v>0.1</v>
      </c>
      <c r="J19" s="46">
        <f>1.1*C19/1000</f>
        <v>0.27500000000000002</v>
      </c>
      <c r="K19" s="46">
        <f>1476*C19/1000</f>
        <v>369</v>
      </c>
      <c r="L19" s="46">
        <f>1010*C19/1000</f>
        <v>252.5</v>
      </c>
      <c r="M19" s="46">
        <f>6.2*C19/1000</f>
        <v>1.55</v>
      </c>
    </row>
    <row r="20" spans="1:13" x14ac:dyDescent="0.25">
      <c r="A20" s="24">
        <v>376</v>
      </c>
      <c r="B20" s="7" t="s">
        <v>83</v>
      </c>
      <c r="C20" s="33">
        <v>200</v>
      </c>
      <c r="D20" s="17">
        <f>0.35*C20/1000</f>
        <v>7.0000000000000007E-2</v>
      </c>
      <c r="E20" s="17">
        <f>0.1*C20/1000</f>
        <v>0.02</v>
      </c>
      <c r="F20" s="17">
        <f>75*C20/1000</f>
        <v>15</v>
      </c>
      <c r="G20" s="17">
        <f>300*C20/1000</f>
        <v>60</v>
      </c>
      <c r="H20" s="17">
        <f>0*C20/1000</f>
        <v>0</v>
      </c>
      <c r="I20" s="17">
        <f>0</f>
        <v>0</v>
      </c>
      <c r="J20" s="17">
        <f>0.2*C20/1000</f>
        <v>0.04</v>
      </c>
      <c r="K20" s="17">
        <f>55.5*C20/1000</f>
        <v>11.1</v>
      </c>
      <c r="L20" s="17">
        <f>14*C20/1000</f>
        <v>2.8</v>
      </c>
      <c r="M20" s="17">
        <f>1.4*C20/1000</f>
        <v>0.28000000000000003</v>
      </c>
    </row>
    <row r="21" spans="1:13" x14ac:dyDescent="0.25">
      <c r="A21" s="6" t="s">
        <v>26</v>
      </c>
      <c r="B21" s="7" t="s">
        <v>3</v>
      </c>
      <c r="C21" s="33">
        <v>50</v>
      </c>
      <c r="D21" s="17">
        <f>107*C21/1000</f>
        <v>5.35</v>
      </c>
      <c r="E21" s="17">
        <f>45*C21/1000</f>
        <v>2.25</v>
      </c>
      <c r="F21" s="17">
        <f>435*C21/1000</f>
        <v>21.75</v>
      </c>
      <c r="G21" s="17">
        <f>2740*C21/1000</f>
        <v>137</v>
      </c>
      <c r="H21" s="17">
        <f>0</f>
        <v>0</v>
      </c>
      <c r="I21" s="17">
        <f>4.1*C21/1000</f>
        <v>0.20499999999999996</v>
      </c>
      <c r="J21" s="17">
        <f>2*C21/1000</f>
        <v>0.1</v>
      </c>
      <c r="K21" s="17">
        <f>1250*C21/1000</f>
        <v>62.5</v>
      </c>
      <c r="L21" s="17">
        <f>1290*C21/1000</f>
        <v>64.5</v>
      </c>
      <c r="M21" s="17">
        <f>36*C21/1000</f>
        <v>1.8</v>
      </c>
    </row>
    <row r="22" spans="1:13" x14ac:dyDescent="0.25">
      <c r="A22" s="12" t="s">
        <v>30</v>
      </c>
      <c r="B22" s="7" t="s">
        <v>0</v>
      </c>
      <c r="C22" s="33">
        <v>30</v>
      </c>
      <c r="D22" s="28">
        <f>85*C22/1000</f>
        <v>2.5499999999999998</v>
      </c>
      <c r="E22" s="28">
        <f>33*C22/1000</f>
        <v>0.99</v>
      </c>
      <c r="F22" s="28">
        <f>425*C22/1000</f>
        <v>12.75</v>
      </c>
      <c r="G22" s="28">
        <f>2590*C22/1000</f>
        <v>77.7</v>
      </c>
      <c r="H22" s="32">
        <f>0</f>
        <v>0</v>
      </c>
      <c r="I22" s="28">
        <f>4.3*C22/1000</f>
        <v>0.129</v>
      </c>
      <c r="J22" s="28">
        <f>4*C22/1000</f>
        <v>0.12</v>
      </c>
      <c r="K22" s="28">
        <f>730*C22/1000</f>
        <v>21.9</v>
      </c>
      <c r="L22" s="28">
        <f>1250*C22/1000</f>
        <v>37.5</v>
      </c>
      <c r="M22" s="28">
        <f>28.3*C22/1000</f>
        <v>0.84899999999999998</v>
      </c>
    </row>
    <row r="23" spans="1:13" x14ac:dyDescent="0.25">
      <c r="A23" s="24"/>
      <c r="B23" s="7"/>
      <c r="C23" s="33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x14ac:dyDescent="0.25">
      <c r="A24" s="25"/>
      <c r="B24" s="9" t="s">
        <v>27</v>
      </c>
      <c r="C24" s="10">
        <f>SUM(C18:C23)</f>
        <v>780</v>
      </c>
      <c r="D24" s="40">
        <f t="shared" ref="D24:M24" si="1">SUM(D18:D23)</f>
        <v>27.095000000000002</v>
      </c>
      <c r="E24" s="40">
        <f t="shared" si="1"/>
        <v>25.959999999999997</v>
      </c>
      <c r="F24" s="40">
        <f t="shared" si="1"/>
        <v>107.55</v>
      </c>
      <c r="G24" s="40">
        <f t="shared" si="1"/>
        <v>661.45</v>
      </c>
      <c r="H24" s="40">
        <f t="shared" si="1"/>
        <v>144</v>
      </c>
      <c r="I24" s="40">
        <f t="shared" si="1"/>
        <v>0.55899999999999994</v>
      </c>
      <c r="J24" s="40">
        <f t="shared" si="1"/>
        <v>11.609999999999998</v>
      </c>
      <c r="K24" s="40">
        <f t="shared" si="1"/>
        <v>494.2</v>
      </c>
      <c r="L24" s="40">
        <f t="shared" si="1"/>
        <v>429.52500000000003</v>
      </c>
      <c r="M24" s="40">
        <f t="shared" si="1"/>
        <v>5.6290000000000004</v>
      </c>
    </row>
    <row r="25" spans="1:13" ht="18.75" x14ac:dyDescent="0.25">
      <c r="A25" s="25"/>
      <c r="B25" s="14" t="s">
        <v>31</v>
      </c>
      <c r="C25" s="13">
        <f t="shared" ref="C25:M25" si="2">C16+C24</f>
        <v>1400</v>
      </c>
      <c r="D25" s="41">
        <f t="shared" si="2"/>
        <v>57.585000000000001</v>
      </c>
      <c r="E25" s="41">
        <f t="shared" si="2"/>
        <v>46.83</v>
      </c>
      <c r="F25" s="41">
        <f t="shared" si="2"/>
        <v>213.87</v>
      </c>
      <c r="G25" s="41">
        <f t="shared" si="2"/>
        <v>1421.3500000000001</v>
      </c>
      <c r="H25" s="41">
        <f t="shared" si="2"/>
        <v>176.548</v>
      </c>
      <c r="I25" s="41">
        <f t="shared" si="2"/>
        <v>1.0589999999999999</v>
      </c>
      <c r="J25" s="41">
        <f t="shared" si="2"/>
        <v>18.631999999999998</v>
      </c>
      <c r="K25" s="41">
        <f t="shared" si="2"/>
        <v>787.33799999999997</v>
      </c>
      <c r="L25" s="41">
        <f t="shared" si="2"/>
        <v>964.41100000000006</v>
      </c>
      <c r="M25" s="41">
        <f t="shared" si="2"/>
        <v>10.648</v>
      </c>
    </row>
    <row r="26" spans="1:13" ht="18" customHeight="1" x14ac:dyDescent="0.25">
      <c r="A26" s="15"/>
      <c r="B26" s="16" t="s">
        <v>68</v>
      </c>
      <c r="C26" s="17">
        <v>1350</v>
      </c>
      <c r="D26" s="18">
        <v>45</v>
      </c>
      <c r="E26" s="18">
        <v>46</v>
      </c>
      <c r="F26" s="18">
        <v>192</v>
      </c>
      <c r="G26" s="18">
        <v>1360</v>
      </c>
      <c r="H26" s="18">
        <v>450</v>
      </c>
      <c r="I26" s="18">
        <v>0.7</v>
      </c>
      <c r="J26" s="18">
        <v>35</v>
      </c>
      <c r="K26" s="18">
        <v>600</v>
      </c>
      <c r="L26" s="18">
        <v>600</v>
      </c>
      <c r="M26" s="18">
        <v>9</v>
      </c>
    </row>
    <row r="27" spans="1:13" ht="18" customHeight="1" x14ac:dyDescent="0.25">
      <c r="A27" s="19"/>
      <c r="B27" s="20"/>
      <c r="C27" s="21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3" ht="18" customHeight="1" x14ac:dyDescent="0.25">
      <c r="A28" s="19"/>
      <c r="B28" s="20"/>
      <c r="C28" s="21"/>
      <c r="D28" s="23"/>
      <c r="E28" s="23"/>
      <c r="F28" s="23"/>
      <c r="G28" s="23"/>
      <c r="H28" s="23"/>
      <c r="I28" s="23"/>
      <c r="J28" s="23"/>
      <c r="K28" s="23"/>
      <c r="L28" s="23"/>
      <c r="M28" s="23"/>
    </row>
  </sheetData>
  <mergeCells count="11">
    <mergeCell ref="H6:J7"/>
    <mergeCell ref="K6:M7"/>
    <mergeCell ref="D7:F7"/>
    <mergeCell ref="A3:B3"/>
    <mergeCell ref="A4:B4"/>
    <mergeCell ref="A5:B5"/>
    <mergeCell ref="A6:A8"/>
    <mergeCell ref="B6:B8"/>
    <mergeCell ref="C6:C8"/>
    <mergeCell ref="D6:F6"/>
    <mergeCell ref="G6:G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1пон</vt:lpstr>
      <vt:lpstr>1вт</vt:lpstr>
      <vt:lpstr>1среда</vt:lpstr>
      <vt:lpstr>1 чет2</vt:lpstr>
      <vt:lpstr>1 пят</vt:lpstr>
      <vt:lpstr>2 пон</vt:lpstr>
      <vt:lpstr>2 вт</vt:lpstr>
      <vt:lpstr>2 среда</vt:lpstr>
      <vt:lpstr>2 чет</vt:lpstr>
      <vt:lpstr>2 пят</vt:lpstr>
      <vt:lpstr>Лист9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2025-09-05T10:42:53Z</dcterms:modified>
</cp:coreProperties>
</file>