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 firstSheet="3" activeTab="4"/>
  </bookViews>
  <sheets>
    <sheet name="Цикличное меню 1-4кл зо" sheetId="10" r:id="rId1"/>
    <sheet name="Распределение по нормам" sheetId="12" r:id="rId2"/>
    <sheet name="Ведомость 12-18 лет" sheetId="11" r:id="rId3"/>
    <sheet name="1 пон" sheetId="17" r:id="rId4"/>
    <sheet name="1 вт" sheetId="19" r:id="rId5"/>
    <sheet name="1 ср" sheetId="18" r:id="rId6"/>
    <sheet name="1 чет" sheetId="20" r:id="rId7"/>
    <sheet name="1 пят" sheetId="21" r:id="rId8"/>
    <sheet name="2 пон" sheetId="22" r:id="rId9"/>
    <sheet name="2 втор" sheetId="23" r:id="rId10"/>
    <sheet name="2 сред" sheetId="24" r:id="rId11"/>
    <sheet name="2 четв" sheetId="25" r:id="rId12"/>
    <sheet name="2 пят" sheetId="15" r:id="rId13"/>
  </sheets>
  <definedNames>
    <definedName name="_xlnm.Print_Area" localSheetId="4">'1 вт'!$A$1:$M$28</definedName>
    <definedName name="_xlnm.Print_Area" localSheetId="3">'1 пон'!$A$1:$M$29</definedName>
    <definedName name="_xlnm.Print_Area" localSheetId="7">'1 пят'!$A$1:$M$30</definedName>
    <definedName name="_xlnm.Print_Area" localSheetId="5">'1 ср'!$A$1:$M$34</definedName>
    <definedName name="_xlnm.Print_Area" localSheetId="6">'1 чет'!$A$1:$M$26</definedName>
    <definedName name="_xlnm.Print_Area" localSheetId="9">'2 втор'!$A$1:$M$32</definedName>
    <definedName name="_xlnm.Print_Area" localSheetId="8">'2 пон'!$A$1:$M$28</definedName>
    <definedName name="_xlnm.Print_Area" localSheetId="12">'2 пят'!$A$1:$M$30</definedName>
    <definedName name="_xlnm.Print_Area" localSheetId="10">'2 сред'!$A$1:$M$31</definedName>
    <definedName name="_xlnm.Print_Area" localSheetId="11">'2 четв'!$A$1:$M$31</definedName>
  </definedNames>
  <calcPr calcId="152511"/>
</workbook>
</file>

<file path=xl/calcChain.xml><?xml version="1.0" encoding="utf-8"?>
<calcChain xmlns="http://schemas.openxmlformats.org/spreadsheetml/2006/main">
  <c r="C24" i="15" l="1"/>
  <c r="C15" i="20"/>
  <c r="C20" i="21"/>
  <c r="M9" i="20" l="1"/>
  <c r="L9" i="20"/>
  <c r="K9" i="20"/>
  <c r="J9" i="20"/>
  <c r="I9" i="20"/>
  <c r="H9" i="20"/>
  <c r="G9" i="20"/>
  <c r="F9" i="20"/>
  <c r="E9" i="20"/>
  <c r="D9" i="20"/>
  <c r="D22" i="18" l="1"/>
  <c r="E22" i="18"/>
  <c r="F22" i="18"/>
  <c r="G22" i="18"/>
  <c r="H22" i="18"/>
  <c r="I22" i="18"/>
  <c r="J22" i="18"/>
  <c r="K22" i="18"/>
  <c r="L22" i="18"/>
  <c r="M22" i="18"/>
  <c r="M10" i="17" l="1"/>
  <c r="L10" i="17"/>
  <c r="K10" i="17"/>
  <c r="J10" i="17"/>
  <c r="I10" i="17"/>
  <c r="H10" i="17"/>
  <c r="G10" i="17"/>
  <c r="F10" i="17"/>
  <c r="E10" i="17"/>
  <c r="D10" i="17"/>
  <c r="M9" i="23" l="1"/>
  <c r="L9" i="23"/>
  <c r="K9" i="23"/>
  <c r="J9" i="23"/>
  <c r="I9" i="23"/>
  <c r="H9" i="23"/>
  <c r="G9" i="23"/>
  <c r="F9" i="23"/>
  <c r="E9" i="23"/>
  <c r="D9" i="23"/>
  <c r="M13" i="18" l="1"/>
  <c r="L13" i="18"/>
  <c r="K13" i="18"/>
  <c r="J13" i="18"/>
  <c r="I13" i="18"/>
  <c r="H13" i="18"/>
  <c r="G13" i="18"/>
  <c r="F13" i="18"/>
  <c r="E13" i="18"/>
  <c r="D13" i="18"/>
  <c r="C17" i="19"/>
  <c r="M13" i="19" l="1"/>
  <c r="L13" i="19"/>
  <c r="K13" i="19"/>
  <c r="J13" i="19"/>
  <c r="I13" i="19"/>
  <c r="H13" i="19"/>
  <c r="G13" i="19"/>
  <c r="F13" i="19"/>
  <c r="E13" i="19"/>
  <c r="D13" i="19"/>
  <c r="C25" i="22" l="1"/>
  <c r="M15" i="22"/>
  <c r="L15" i="22"/>
  <c r="K15" i="22"/>
  <c r="J15" i="22"/>
  <c r="I15" i="22"/>
  <c r="H15" i="22"/>
  <c r="G15" i="22"/>
  <c r="F15" i="22"/>
  <c r="E15" i="22"/>
  <c r="D15" i="22"/>
  <c r="M26" i="18"/>
  <c r="L26" i="18"/>
  <c r="K26" i="18"/>
  <c r="J26" i="18"/>
  <c r="I26" i="18"/>
  <c r="H26" i="18"/>
  <c r="G26" i="18"/>
  <c r="F26" i="18"/>
  <c r="E26" i="18"/>
  <c r="D26" i="18"/>
  <c r="M21" i="25" l="1"/>
  <c r="L21" i="25"/>
  <c r="K21" i="25"/>
  <c r="J21" i="25"/>
  <c r="I21" i="25"/>
  <c r="H21" i="25"/>
  <c r="G21" i="25"/>
  <c r="F21" i="25"/>
  <c r="E21" i="25"/>
  <c r="D21" i="25"/>
  <c r="C15" i="15" l="1"/>
  <c r="C25" i="25"/>
  <c r="C16" i="25"/>
  <c r="C25" i="24"/>
  <c r="C16" i="24"/>
  <c r="C26" i="23"/>
  <c r="C16" i="23"/>
  <c r="C16" i="22"/>
  <c r="C26" i="22" s="1"/>
  <c r="C27" i="21"/>
  <c r="C24" i="20"/>
  <c r="C25" i="20" s="1"/>
  <c r="C27" i="18"/>
  <c r="C17" i="18"/>
  <c r="M18" i="23" l="1"/>
  <c r="L18" i="23"/>
  <c r="K18" i="23"/>
  <c r="J18" i="23"/>
  <c r="I18" i="23"/>
  <c r="H18" i="23"/>
  <c r="G18" i="23"/>
  <c r="F18" i="23"/>
  <c r="E18" i="23"/>
  <c r="D18" i="23"/>
  <c r="M14" i="17"/>
  <c r="L14" i="17"/>
  <c r="K14" i="17"/>
  <c r="J14" i="17"/>
  <c r="I14" i="17"/>
  <c r="H14" i="17"/>
  <c r="G14" i="17"/>
  <c r="F14" i="17"/>
  <c r="E14" i="17"/>
  <c r="D14" i="17"/>
  <c r="M12" i="17"/>
  <c r="L12" i="17"/>
  <c r="K12" i="17"/>
  <c r="J12" i="17"/>
  <c r="I12" i="17"/>
  <c r="H12" i="17"/>
  <c r="G12" i="17"/>
  <c r="F12" i="17"/>
  <c r="E12" i="17"/>
  <c r="D12" i="17"/>
  <c r="M9" i="17"/>
  <c r="L9" i="17"/>
  <c r="K9" i="17"/>
  <c r="J9" i="17"/>
  <c r="I9" i="17"/>
  <c r="H9" i="17"/>
  <c r="G9" i="17"/>
  <c r="F9" i="17"/>
  <c r="E9" i="17"/>
  <c r="D9" i="17"/>
  <c r="M21" i="23" l="1"/>
  <c r="L21" i="23"/>
  <c r="K21" i="23"/>
  <c r="J21" i="23"/>
  <c r="I21" i="23"/>
  <c r="H21" i="23"/>
  <c r="G21" i="23"/>
  <c r="F21" i="23"/>
  <c r="E21" i="23"/>
  <c r="D21" i="23"/>
  <c r="M17" i="20"/>
  <c r="L17" i="20"/>
  <c r="K17" i="20"/>
  <c r="J17" i="20"/>
  <c r="I17" i="20"/>
  <c r="H17" i="20"/>
  <c r="G17" i="20"/>
  <c r="F17" i="20"/>
  <c r="E17" i="20"/>
  <c r="D17" i="20"/>
  <c r="M22" i="21"/>
  <c r="L22" i="21"/>
  <c r="K22" i="21"/>
  <c r="J22" i="21"/>
  <c r="I22" i="21"/>
  <c r="H22" i="21"/>
  <c r="G22" i="21"/>
  <c r="F22" i="21"/>
  <c r="E22" i="21"/>
  <c r="D22" i="21"/>
  <c r="M18" i="22" l="1"/>
  <c r="L18" i="22"/>
  <c r="K18" i="22"/>
  <c r="J18" i="22"/>
  <c r="I18" i="22"/>
  <c r="H18" i="22"/>
  <c r="G18" i="22"/>
  <c r="F18" i="22"/>
  <c r="E18" i="22"/>
  <c r="D18" i="22"/>
  <c r="M16" i="18" l="1"/>
  <c r="L16" i="18"/>
  <c r="K16" i="18"/>
  <c r="J16" i="18"/>
  <c r="I16" i="18"/>
  <c r="H16" i="18"/>
  <c r="G16" i="18"/>
  <c r="F16" i="18"/>
  <c r="E16" i="18"/>
  <c r="D16" i="18"/>
  <c r="M20" i="19"/>
  <c r="L20" i="19"/>
  <c r="K20" i="19"/>
  <c r="J20" i="19"/>
  <c r="I20" i="19"/>
  <c r="H20" i="19"/>
  <c r="G20" i="19"/>
  <c r="F20" i="19"/>
  <c r="E20" i="19"/>
  <c r="D20" i="19"/>
  <c r="M19" i="19"/>
  <c r="L19" i="19"/>
  <c r="K19" i="19"/>
  <c r="J19" i="19"/>
  <c r="I19" i="19"/>
  <c r="H19" i="19"/>
  <c r="G19" i="19"/>
  <c r="F19" i="19"/>
  <c r="E19" i="19"/>
  <c r="D19" i="19"/>
  <c r="M12" i="25" l="1"/>
  <c r="L12" i="25"/>
  <c r="K12" i="25"/>
  <c r="J12" i="25"/>
  <c r="I12" i="25"/>
  <c r="H12" i="25"/>
  <c r="G12" i="25"/>
  <c r="F12" i="25"/>
  <c r="E12" i="25"/>
  <c r="D12" i="25"/>
  <c r="M24" i="24"/>
  <c r="L24" i="24"/>
  <c r="K24" i="24"/>
  <c r="J24" i="24"/>
  <c r="I24" i="24"/>
  <c r="H24" i="24"/>
  <c r="G24" i="24"/>
  <c r="F24" i="24"/>
  <c r="E24" i="24"/>
  <c r="D24" i="24"/>
  <c r="M15" i="21"/>
  <c r="L15" i="21"/>
  <c r="K15" i="21"/>
  <c r="J15" i="21"/>
  <c r="I15" i="21"/>
  <c r="H15" i="21"/>
  <c r="G15" i="21"/>
  <c r="F15" i="21"/>
  <c r="E15" i="21"/>
  <c r="D15" i="21"/>
  <c r="M25" i="19"/>
  <c r="L25" i="19"/>
  <c r="K25" i="19"/>
  <c r="J25" i="19"/>
  <c r="I25" i="19"/>
  <c r="H25" i="19"/>
  <c r="G25" i="19"/>
  <c r="F25" i="19"/>
  <c r="E25" i="19"/>
  <c r="D25" i="19"/>
  <c r="M21" i="22" l="1"/>
  <c r="L21" i="22"/>
  <c r="K21" i="22"/>
  <c r="J21" i="22"/>
  <c r="I21" i="22"/>
  <c r="H21" i="22"/>
  <c r="G21" i="22"/>
  <c r="F21" i="22"/>
  <c r="E21" i="22"/>
  <c r="D21" i="22"/>
  <c r="M23" i="15" l="1"/>
  <c r="L23" i="15"/>
  <c r="K23" i="15"/>
  <c r="J23" i="15"/>
  <c r="I23" i="15"/>
  <c r="H23" i="15"/>
  <c r="G23" i="15"/>
  <c r="F23" i="15"/>
  <c r="E23" i="15"/>
  <c r="D23" i="15"/>
  <c r="M20" i="20"/>
  <c r="L20" i="20"/>
  <c r="K20" i="20"/>
  <c r="J20" i="20"/>
  <c r="I20" i="20"/>
  <c r="H20" i="20"/>
  <c r="G20" i="20"/>
  <c r="F20" i="20"/>
  <c r="E20" i="20"/>
  <c r="D20" i="20"/>
  <c r="M23" i="18"/>
  <c r="L23" i="18"/>
  <c r="K23" i="18"/>
  <c r="J23" i="18"/>
  <c r="I23" i="18"/>
  <c r="H23" i="18"/>
  <c r="G23" i="18"/>
  <c r="F23" i="18"/>
  <c r="E23" i="18"/>
  <c r="D23" i="18"/>
  <c r="M21" i="17"/>
  <c r="L21" i="17"/>
  <c r="K21" i="17"/>
  <c r="J21" i="17"/>
  <c r="I21" i="17"/>
  <c r="H21" i="17"/>
  <c r="G21" i="17"/>
  <c r="F21" i="17"/>
  <c r="E21" i="17"/>
  <c r="D21" i="17"/>
  <c r="M8" i="20" l="1"/>
  <c r="L8" i="20"/>
  <c r="K8" i="20"/>
  <c r="J8" i="20"/>
  <c r="I8" i="20"/>
  <c r="H8" i="20"/>
  <c r="G8" i="20"/>
  <c r="F8" i="20"/>
  <c r="E8" i="20"/>
  <c r="D8" i="20"/>
  <c r="M26" i="19" l="1"/>
  <c r="L26" i="19"/>
  <c r="K26" i="19"/>
  <c r="J26" i="19"/>
  <c r="I26" i="19"/>
  <c r="H26" i="19"/>
  <c r="G26" i="19"/>
  <c r="F26" i="19"/>
  <c r="E26" i="19"/>
  <c r="D26" i="19"/>
  <c r="M15" i="24" l="1"/>
  <c r="L15" i="24"/>
  <c r="K15" i="24"/>
  <c r="J15" i="24"/>
  <c r="I15" i="24"/>
  <c r="H15" i="24"/>
  <c r="G15" i="24"/>
  <c r="F15" i="24"/>
  <c r="E15" i="24"/>
  <c r="D15" i="24"/>
  <c r="M23" i="25" l="1"/>
  <c r="L23" i="25"/>
  <c r="K23" i="25"/>
  <c r="J23" i="25"/>
  <c r="I23" i="25"/>
  <c r="H23" i="25"/>
  <c r="G23" i="25"/>
  <c r="F23" i="25"/>
  <c r="E23" i="25"/>
  <c r="D23" i="25"/>
  <c r="M22" i="25"/>
  <c r="L22" i="25"/>
  <c r="K22" i="25"/>
  <c r="J22" i="25"/>
  <c r="I22" i="25"/>
  <c r="H22" i="25"/>
  <c r="G22" i="25"/>
  <c r="F22" i="25"/>
  <c r="E22" i="25"/>
  <c r="D22" i="25"/>
  <c r="M20" i="25"/>
  <c r="L20" i="25"/>
  <c r="K20" i="25"/>
  <c r="J20" i="25"/>
  <c r="I20" i="25"/>
  <c r="H20" i="25"/>
  <c r="G20" i="25"/>
  <c r="F20" i="25"/>
  <c r="E20" i="25"/>
  <c r="D20" i="25"/>
  <c r="M19" i="25"/>
  <c r="L19" i="25"/>
  <c r="K19" i="25"/>
  <c r="J19" i="25"/>
  <c r="I19" i="25"/>
  <c r="H19" i="25"/>
  <c r="G19" i="25"/>
  <c r="F19" i="25"/>
  <c r="E19" i="25"/>
  <c r="D19" i="25"/>
  <c r="M18" i="25"/>
  <c r="M25" i="25" s="1"/>
  <c r="L18" i="25"/>
  <c r="L25" i="25" s="1"/>
  <c r="K18" i="25"/>
  <c r="K25" i="25" s="1"/>
  <c r="J18" i="25"/>
  <c r="J25" i="25" s="1"/>
  <c r="I18" i="25"/>
  <c r="I25" i="25" s="1"/>
  <c r="H18" i="25"/>
  <c r="H25" i="25" s="1"/>
  <c r="G18" i="25"/>
  <c r="G25" i="25" s="1"/>
  <c r="F18" i="25"/>
  <c r="F25" i="25" s="1"/>
  <c r="E18" i="25"/>
  <c r="E25" i="25" s="1"/>
  <c r="D18" i="25"/>
  <c r="D25" i="25" s="1"/>
  <c r="C26" i="25"/>
  <c r="M14" i="25"/>
  <c r="L14" i="25"/>
  <c r="K14" i="25"/>
  <c r="J14" i="25"/>
  <c r="I14" i="25"/>
  <c r="H14" i="25"/>
  <c r="G14" i="25"/>
  <c r="F14" i="25"/>
  <c r="E14" i="25"/>
  <c r="D14" i="25"/>
  <c r="M13" i="25"/>
  <c r="L13" i="25"/>
  <c r="K13" i="25"/>
  <c r="J13" i="25"/>
  <c r="I13" i="25"/>
  <c r="H13" i="25"/>
  <c r="G13" i="25"/>
  <c r="F13" i="25"/>
  <c r="E13" i="25"/>
  <c r="D13" i="25"/>
  <c r="M11" i="25"/>
  <c r="L11" i="25"/>
  <c r="K11" i="25"/>
  <c r="J11" i="25"/>
  <c r="I11" i="25"/>
  <c r="H11" i="25"/>
  <c r="G11" i="25"/>
  <c r="F11" i="25"/>
  <c r="E11" i="25"/>
  <c r="D11" i="25"/>
  <c r="M10" i="25"/>
  <c r="M16" i="25" s="1"/>
  <c r="L10" i="25"/>
  <c r="L16" i="25" s="1"/>
  <c r="K10" i="25"/>
  <c r="K16" i="25" s="1"/>
  <c r="J10" i="25"/>
  <c r="J16" i="25" s="1"/>
  <c r="I10" i="25"/>
  <c r="I16" i="25" s="1"/>
  <c r="H10" i="25"/>
  <c r="H16" i="25" s="1"/>
  <c r="G10" i="25"/>
  <c r="G16" i="25" s="1"/>
  <c r="F10" i="25"/>
  <c r="F16" i="25" s="1"/>
  <c r="E10" i="25"/>
  <c r="E16" i="25" s="1"/>
  <c r="D10" i="25"/>
  <c r="D16" i="25" s="1"/>
  <c r="M23" i="24"/>
  <c r="L23" i="24"/>
  <c r="K23" i="24"/>
  <c r="J23" i="24"/>
  <c r="I23" i="24"/>
  <c r="H23" i="24"/>
  <c r="G23" i="24"/>
  <c r="F23" i="24"/>
  <c r="E23" i="24"/>
  <c r="D23" i="24"/>
  <c r="M22" i="24"/>
  <c r="L22" i="24"/>
  <c r="K22" i="24"/>
  <c r="J22" i="24"/>
  <c r="I22" i="24"/>
  <c r="H22" i="24"/>
  <c r="G22" i="24"/>
  <c r="F22" i="24"/>
  <c r="E22" i="24"/>
  <c r="D22" i="24"/>
  <c r="M21" i="24"/>
  <c r="L21" i="24"/>
  <c r="K21" i="24"/>
  <c r="J21" i="24"/>
  <c r="I21" i="24"/>
  <c r="H21" i="24"/>
  <c r="G21" i="24"/>
  <c r="F21" i="24"/>
  <c r="E21" i="24"/>
  <c r="D21" i="24"/>
  <c r="M20" i="24"/>
  <c r="L20" i="24"/>
  <c r="K20" i="24"/>
  <c r="J20" i="24"/>
  <c r="I20" i="24"/>
  <c r="H20" i="24"/>
  <c r="G20" i="24"/>
  <c r="F20" i="24"/>
  <c r="E20" i="24"/>
  <c r="D20" i="24"/>
  <c r="M19" i="24"/>
  <c r="M25" i="24" s="1"/>
  <c r="L19" i="24"/>
  <c r="L25" i="24" s="1"/>
  <c r="K19" i="24"/>
  <c r="K25" i="24" s="1"/>
  <c r="J19" i="24"/>
  <c r="J25" i="24" s="1"/>
  <c r="I19" i="24"/>
  <c r="I25" i="24" s="1"/>
  <c r="H19" i="24"/>
  <c r="H25" i="24" s="1"/>
  <c r="G19" i="24"/>
  <c r="G25" i="24" s="1"/>
  <c r="F19" i="24"/>
  <c r="F25" i="24" s="1"/>
  <c r="E19" i="24"/>
  <c r="E25" i="24" s="1"/>
  <c r="D19" i="24"/>
  <c r="D25" i="24" s="1"/>
  <c r="M14" i="24"/>
  <c r="L14" i="24"/>
  <c r="K14" i="24"/>
  <c r="J14" i="24"/>
  <c r="I14" i="24"/>
  <c r="H14" i="24"/>
  <c r="G14" i="24"/>
  <c r="F14" i="24"/>
  <c r="E14" i="24"/>
  <c r="D14" i="24"/>
  <c r="M13" i="24"/>
  <c r="L13" i="24"/>
  <c r="K13" i="24"/>
  <c r="J13" i="24"/>
  <c r="I13" i="24"/>
  <c r="H13" i="24"/>
  <c r="G13" i="24"/>
  <c r="F13" i="24"/>
  <c r="E13" i="24"/>
  <c r="D13" i="24"/>
  <c r="M12" i="24"/>
  <c r="L12" i="24"/>
  <c r="K12" i="24"/>
  <c r="J12" i="24"/>
  <c r="I12" i="24"/>
  <c r="H12" i="24"/>
  <c r="G12" i="24"/>
  <c r="F12" i="24"/>
  <c r="E12" i="24"/>
  <c r="D12" i="24"/>
  <c r="M11" i="24"/>
  <c r="M16" i="24" s="1"/>
  <c r="L11" i="24"/>
  <c r="L16" i="24" s="1"/>
  <c r="K11" i="24"/>
  <c r="K16" i="24" s="1"/>
  <c r="J11" i="24"/>
  <c r="J16" i="24" s="1"/>
  <c r="I11" i="24"/>
  <c r="I16" i="24" s="1"/>
  <c r="H11" i="24"/>
  <c r="H16" i="24" s="1"/>
  <c r="G11" i="24"/>
  <c r="G16" i="24" s="1"/>
  <c r="F11" i="24"/>
  <c r="F16" i="24" s="1"/>
  <c r="E11" i="24"/>
  <c r="E16" i="24" s="1"/>
  <c r="D11" i="24"/>
  <c r="M24" i="23"/>
  <c r="L24" i="23"/>
  <c r="K24" i="23"/>
  <c r="J24" i="23"/>
  <c r="I24" i="23"/>
  <c r="H24" i="23"/>
  <c r="G24" i="23"/>
  <c r="F24" i="23"/>
  <c r="E24" i="23"/>
  <c r="D24" i="23"/>
  <c r="M23" i="23"/>
  <c r="L23" i="23"/>
  <c r="K23" i="23"/>
  <c r="J23" i="23"/>
  <c r="I23" i="23"/>
  <c r="H23" i="23"/>
  <c r="G23" i="23"/>
  <c r="F23" i="23"/>
  <c r="E23" i="23"/>
  <c r="D23" i="23"/>
  <c r="M22" i="23"/>
  <c r="L22" i="23"/>
  <c r="K22" i="23"/>
  <c r="J22" i="23"/>
  <c r="I22" i="23"/>
  <c r="H22" i="23"/>
  <c r="G22" i="23"/>
  <c r="F22" i="23"/>
  <c r="E22" i="23"/>
  <c r="D22" i="23"/>
  <c r="M19" i="23"/>
  <c r="L19" i="23"/>
  <c r="K19" i="23"/>
  <c r="J19" i="23"/>
  <c r="I19" i="23"/>
  <c r="H19" i="23"/>
  <c r="G19" i="23"/>
  <c r="F19" i="23"/>
  <c r="E19" i="23"/>
  <c r="D19" i="23"/>
  <c r="M26" i="23"/>
  <c r="L26" i="23"/>
  <c r="K26" i="23"/>
  <c r="J26" i="23"/>
  <c r="I26" i="23"/>
  <c r="H26" i="23"/>
  <c r="G26" i="23"/>
  <c r="F26" i="23"/>
  <c r="E26" i="23"/>
  <c r="D26" i="23"/>
  <c r="M13" i="23"/>
  <c r="L13" i="23"/>
  <c r="K13" i="23"/>
  <c r="J13" i="23"/>
  <c r="I13" i="23"/>
  <c r="H13" i="23"/>
  <c r="G13" i="23"/>
  <c r="F13" i="23"/>
  <c r="E13" i="23"/>
  <c r="D13" i="23"/>
  <c r="M12" i="23"/>
  <c r="L12" i="23"/>
  <c r="K12" i="23"/>
  <c r="J12" i="23"/>
  <c r="I12" i="23"/>
  <c r="H12" i="23"/>
  <c r="G12" i="23"/>
  <c r="F12" i="23"/>
  <c r="E12" i="23"/>
  <c r="D12" i="23"/>
  <c r="M10" i="23"/>
  <c r="M16" i="23" s="1"/>
  <c r="L10" i="23"/>
  <c r="L16" i="23" s="1"/>
  <c r="K10" i="23"/>
  <c r="K16" i="23" s="1"/>
  <c r="J10" i="23"/>
  <c r="J16" i="23" s="1"/>
  <c r="I10" i="23"/>
  <c r="I16" i="23" s="1"/>
  <c r="H10" i="23"/>
  <c r="G10" i="23"/>
  <c r="G16" i="23" s="1"/>
  <c r="F10" i="23"/>
  <c r="F16" i="23" s="1"/>
  <c r="E10" i="23"/>
  <c r="E16" i="23" s="1"/>
  <c r="D10" i="23"/>
  <c r="D16" i="23" s="1"/>
  <c r="M24" i="22"/>
  <c r="L24" i="22"/>
  <c r="K24" i="22"/>
  <c r="J24" i="22"/>
  <c r="I24" i="22"/>
  <c r="H24" i="22"/>
  <c r="G24" i="22"/>
  <c r="F24" i="22"/>
  <c r="E24" i="22"/>
  <c r="D24" i="22"/>
  <c r="M23" i="22"/>
  <c r="L23" i="22"/>
  <c r="K23" i="22"/>
  <c r="J23" i="22"/>
  <c r="I23" i="22"/>
  <c r="H23" i="22"/>
  <c r="G23" i="22"/>
  <c r="F23" i="22"/>
  <c r="E23" i="22"/>
  <c r="D23" i="22"/>
  <c r="M22" i="22"/>
  <c r="L22" i="22"/>
  <c r="K22" i="22"/>
  <c r="J22" i="22"/>
  <c r="I22" i="22"/>
  <c r="H22" i="22"/>
  <c r="G22" i="22"/>
  <c r="F22" i="22"/>
  <c r="E22" i="22"/>
  <c r="D22" i="22"/>
  <c r="M20" i="22"/>
  <c r="L20" i="22"/>
  <c r="K20" i="22"/>
  <c r="J20" i="22"/>
  <c r="I20" i="22"/>
  <c r="G20" i="22"/>
  <c r="F20" i="22"/>
  <c r="E20" i="22"/>
  <c r="D20" i="22"/>
  <c r="M19" i="22"/>
  <c r="L19" i="22"/>
  <c r="K19" i="22"/>
  <c r="J19" i="22"/>
  <c r="I19" i="22"/>
  <c r="H19" i="22"/>
  <c r="G19" i="22"/>
  <c r="F19" i="22"/>
  <c r="E19" i="22"/>
  <c r="D19" i="22"/>
  <c r="M14" i="22"/>
  <c r="L14" i="22"/>
  <c r="K14" i="22"/>
  <c r="J14" i="22"/>
  <c r="I14" i="22"/>
  <c r="H14" i="22"/>
  <c r="G14" i="22"/>
  <c r="F14" i="22"/>
  <c r="E14" i="22"/>
  <c r="D14" i="22"/>
  <c r="M13" i="22"/>
  <c r="L13" i="22"/>
  <c r="K13" i="22"/>
  <c r="J13" i="22"/>
  <c r="I13" i="22"/>
  <c r="H13" i="22"/>
  <c r="G13" i="22"/>
  <c r="F13" i="22"/>
  <c r="E13" i="22"/>
  <c r="D13" i="22"/>
  <c r="M12" i="22"/>
  <c r="L12" i="22"/>
  <c r="K12" i="22"/>
  <c r="J12" i="22"/>
  <c r="I12" i="22"/>
  <c r="H12" i="22"/>
  <c r="G12" i="22"/>
  <c r="F12" i="22"/>
  <c r="E12" i="22"/>
  <c r="D12" i="22"/>
  <c r="M11" i="22"/>
  <c r="L11" i="22"/>
  <c r="K11" i="22"/>
  <c r="J11" i="22"/>
  <c r="J16" i="22" s="1"/>
  <c r="I11" i="22"/>
  <c r="H11" i="22"/>
  <c r="G11" i="22"/>
  <c r="F11" i="22"/>
  <c r="F16" i="22" s="1"/>
  <c r="E11" i="22"/>
  <c r="D11" i="22"/>
  <c r="M16" i="22"/>
  <c r="L16" i="22"/>
  <c r="K16" i="22"/>
  <c r="I16" i="22"/>
  <c r="H16" i="22"/>
  <c r="G16" i="22"/>
  <c r="E16" i="22"/>
  <c r="D16" i="22"/>
  <c r="M26" i="21"/>
  <c r="L26" i="21"/>
  <c r="K26" i="21"/>
  <c r="J26" i="21"/>
  <c r="I26" i="21"/>
  <c r="H26" i="21"/>
  <c r="G26" i="21"/>
  <c r="F26" i="21"/>
  <c r="E26" i="21"/>
  <c r="D26" i="21"/>
  <c r="M25" i="21"/>
  <c r="L25" i="21"/>
  <c r="K25" i="21"/>
  <c r="J25" i="21"/>
  <c r="I25" i="21"/>
  <c r="H25" i="21"/>
  <c r="G25" i="21"/>
  <c r="F25" i="21"/>
  <c r="E25" i="21"/>
  <c r="D25" i="21"/>
  <c r="M24" i="21"/>
  <c r="L24" i="21"/>
  <c r="K24" i="21"/>
  <c r="J24" i="21"/>
  <c r="I24" i="21"/>
  <c r="H24" i="21"/>
  <c r="G24" i="21"/>
  <c r="F24" i="21"/>
  <c r="E24" i="21"/>
  <c r="D24" i="21"/>
  <c r="M23" i="21"/>
  <c r="M27" i="21" s="1"/>
  <c r="L23" i="21"/>
  <c r="L27" i="21" s="1"/>
  <c r="K23" i="21"/>
  <c r="K27" i="21" s="1"/>
  <c r="J23" i="21"/>
  <c r="I23" i="21"/>
  <c r="I27" i="21" s="1"/>
  <c r="H23" i="21"/>
  <c r="H27" i="21" s="1"/>
  <c r="G23" i="21"/>
  <c r="G27" i="21" s="1"/>
  <c r="F23" i="21"/>
  <c r="E23" i="21"/>
  <c r="E27" i="21" s="1"/>
  <c r="D23" i="21"/>
  <c r="D27" i="21" s="1"/>
  <c r="M18" i="21"/>
  <c r="L18" i="21"/>
  <c r="K18" i="21"/>
  <c r="J18" i="21"/>
  <c r="I18" i="21"/>
  <c r="H18" i="21"/>
  <c r="G18" i="21"/>
  <c r="F18" i="21"/>
  <c r="E18" i="21"/>
  <c r="D18" i="21"/>
  <c r="M16" i="21"/>
  <c r="L16" i="21"/>
  <c r="K16" i="21"/>
  <c r="J16" i="21"/>
  <c r="I16" i="21"/>
  <c r="H16" i="21"/>
  <c r="H20" i="21" s="1"/>
  <c r="H28" i="21" s="1"/>
  <c r="G16" i="21"/>
  <c r="F16" i="21"/>
  <c r="E16" i="21"/>
  <c r="D16" i="21"/>
  <c r="M13" i="21"/>
  <c r="M20" i="21" s="1"/>
  <c r="L13" i="21"/>
  <c r="K13" i="21"/>
  <c r="K20" i="21" s="1"/>
  <c r="J13" i="21"/>
  <c r="J20" i="21" s="1"/>
  <c r="I13" i="21"/>
  <c r="I20" i="21" s="1"/>
  <c r="G13" i="21"/>
  <c r="F13" i="21"/>
  <c r="E13" i="21"/>
  <c r="E20" i="21" s="1"/>
  <c r="D13" i="21"/>
  <c r="M22" i="20"/>
  <c r="L22" i="20"/>
  <c r="K22" i="20"/>
  <c r="J22" i="20"/>
  <c r="I22" i="20"/>
  <c r="H22" i="20"/>
  <c r="G22" i="20"/>
  <c r="F22" i="20"/>
  <c r="E22" i="20"/>
  <c r="D22" i="20"/>
  <c r="M21" i="20"/>
  <c r="L21" i="20"/>
  <c r="K21" i="20"/>
  <c r="J21" i="20"/>
  <c r="I21" i="20"/>
  <c r="H21" i="20"/>
  <c r="G21" i="20"/>
  <c r="F21" i="20"/>
  <c r="E21" i="20"/>
  <c r="D21" i="20"/>
  <c r="M18" i="20"/>
  <c r="M24" i="20" s="1"/>
  <c r="L18" i="20"/>
  <c r="L24" i="20" s="1"/>
  <c r="K18" i="20"/>
  <c r="J18" i="20"/>
  <c r="I18" i="20"/>
  <c r="I24" i="20" s="1"/>
  <c r="H18" i="20"/>
  <c r="G18" i="20"/>
  <c r="G24" i="20" s="1"/>
  <c r="F18" i="20"/>
  <c r="E18" i="20"/>
  <c r="E24" i="20" s="1"/>
  <c r="D18" i="20"/>
  <c r="K24" i="20"/>
  <c r="J24" i="20"/>
  <c r="F24" i="20"/>
  <c r="D24" i="20"/>
  <c r="H24" i="20"/>
  <c r="M12" i="20"/>
  <c r="L12" i="20"/>
  <c r="K12" i="20"/>
  <c r="J12" i="20"/>
  <c r="I12" i="20"/>
  <c r="H12" i="20"/>
  <c r="G12" i="20"/>
  <c r="F12" i="20"/>
  <c r="E12" i="20"/>
  <c r="D12" i="20"/>
  <c r="M11" i="20"/>
  <c r="L11" i="20"/>
  <c r="K11" i="20"/>
  <c r="J11" i="20"/>
  <c r="I11" i="20"/>
  <c r="H11" i="20"/>
  <c r="G11" i="20"/>
  <c r="F11" i="20"/>
  <c r="E11" i="20"/>
  <c r="D11" i="20"/>
  <c r="M10" i="20"/>
  <c r="L10" i="20"/>
  <c r="K10" i="20"/>
  <c r="K15" i="20" s="1"/>
  <c r="J10" i="20"/>
  <c r="J15" i="20" s="1"/>
  <c r="I10" i="20"/>
  <c r="H10" i="20"/>
  <c r="H15" i="20" s="1"/>
  <c r="G10" i="20"/>
  <c r="G15" i="20" s="1"/>
  <c r="F10" i="20"/>
  <c r="F15" i="20" s="1"/>
  <c r="E10" i="20"/>
  <c r="D10" i="20"/>
  <c r="D15" i="20" s="1"/>
  <c r="M24" i="19"/>
  <c r="L24" i="19"/>
  <c r="K24" i="19"/>
  <c r="J24" i="19"/>
  <c r="I24" i="19"/>
  <c r="H24" i="19"/>
  <c r="G24" i="19"/>
  <c r="F24" i="19"/>
  <c r="E24" i="19"/>
  <c r="D24" i="19"/>
  <c r="M23" i="19"/>
  <c r="L23" i="19"/>
  <c r="K23" i="19"/>
  <c r="J23" i="19"/>
  <c r="I23" i="19"/>
  <c r="H23" i="19"/>
  <c r="G23" i="19"/>
  <c r="F23" i="19"/>
  <c r="E23" i="19"/>
  <c r="D23" i="19"/>
  <c r="M16" i="19"/>
  <c r="L16" i="19"/>
  <c r="K16" i="19"/>
  <c r="J16" i="19"/>
  <c r="I16" i="19"/>
  <c r="H16" i="19"/>
  <c r="G16" i="19"/>
  <c r="F16" i="19"/>
  <c r="E16" i="19"/>
  <c r="D16" i="19"/>
  <c r="M15" i="19"/>
  <c r="L15" i="19"/>
  <c r="K15" i="19"/>
  <c r="J15" i="19"/>
  <c r="I15" i="19"/>
  <c r="H15" i="19"/>
  <c r="G15" i="19"/>
  <c r="F15" i="19"/>
  <c r="E15" i="19"/>
  <c r="D15" i="19"/>
  <c r="M14" i="19"/>
  <c r="L14" i="19"/>
  <c r="K14" i="19"/>
  <c r="J14" i="19"/>
  <c r="I14" i="19"/>
  <c r="H14" i="19"/>
  <c r="G14" i="19"/>
  <c r="F14" i="19"/>
  <c r="E14" i="19"/>
  <c r="D14" i="19"/>
  <c r="M12" i="19"/>
  <c r="L12" i="19"/>
  <c r="L17" i="19" s="1"/>
  <c r="K12" i="19"/>
  <c r="K17" i="19" s="1"/>
  <c r="J12" i="19"/>
  <c r="J17" i="19" s="1"/>
  <c r="I12" i="19"/>
  <c r="H12" i="19"/>
  <c r="H17" i="19" s="1"/>
  <c r="G12" i="19"/>
  <c r="G17" i="19" s="1"/>
  <c r="F12" i="19"/>
  <c r="F17" i="19" s="1"/>
  <c r="E12" i="19"/>
  <c r="D12" i="19"/>
  <c r="D17" i="19" s="1"/>
  <c r="M25" i="18"/>
  <c r="L25" i="18"/>
  <c r="K25" i="18"/>
  <c r="J25" i="18"/>
  <c r="I25" i="18"/>
  <c r="H25" i="18"/>
  <c r="G25" i="18"/>
  <c r="F25" i="18"/>
  <c r="E25" i="18"/>
  <c r="D25" i="18"/>
  <c r="M24" i="18"/>
  <c r="L24" i="18"/>
  <c r="K24" i="18"/>
  <c r="J24" i="18"/>
  <c r="I24" i="18"/>
  <c r="H24" i="18"/>
  <c r="G24" i="18"/>
  <c r="F24" i="18"/>
  <c r="E24" i="18"/>
  <c r="D24" i="18"/>
  <c r="M19" i="18"/>
  <c r="M27" i="18" s="1"/>
  <c r="L19" i="18"/>
  <c r="L27" i="18" s="1"/>
  <c r="K19" i="18"/>
  <c r="J19" i="18"/>
  <c r="J27" i="18" s="1"/>
  <c r="I19" i="18"/>
  <c r="H19" i="18"/>
  <c r="H27" i="18" s="1"/>
  <c r="G19" i="18"/>
  <c r="F19" i="18"/>
  <c r="F27" i="18" s="1"/>
  <c r="E19" i="18"/>
  <c r="E27" i="18" s="1"/>
  <c r="D19" i="18"/>
  <c r="D27" i="18" s="1"/>
  <c r="C28" i="18"/>
  <c r="M15" i="18"/>
  <c r="L15" i="18"/>
  <c r="K15" i="18"/>
  <c r="J15" i="18"/>
  <c r="I15" i="18"/>
  <c r="H15" i="18"/>
  <c r="G15" i="18"/>
  <c r="F15" i="18"/>
  <c r="E15" i="18"/>
  <c r="D15" i="18"/>
  <c r="M14" i="18"/>
  <c r="L14" i="18"/>
  <c r="K14" i="18"/>
  <c r="J14" i="18"/>
  <c r="I14" i="18"/>
  <c r="H14" i="18"/>
  <c r="G14" i="18"/>
  <c r="F14" i="18"/>
  <c r="E14" i="18"/>
  <c r="D14" i="18"/>
  <c r="M12" i="18"/>
  <c r="L12" i="18"/>
  <c r="K12" i="18"/>
  <c r="J12" i="18"/>
  <c r="I12" i="18"/>
  <c r="H12" i="18"/>
  <c r="G12" i="18"/>
  <c r="F12" i="18"/>
  <c r="E12" i="18"/>
  <c r="D12" i="18"/>
  <c r="M11" i="18"/>
  <c r="M17" i="18" s="1"/>
  <c r="L11" i="18"/>
  <c r="K11" i="18"/>
  <c r="K17" i="18" s="1"/>
  <c r="J11" i="18"/>
  <c r="J17" i="18" s="1"/>
  <c r="I11" i="18"/>
  <c r="I17" i="18" s="1"/>
  <c r="H11" i="18"/>
  <c r="G11" i="18"/>
  <c r="G17" i="18" s="1"/>
  <c r="F11" i="18"/>
  <c r="F17" i="18" s="1"/>
  <c r="E11" i="18"/>
  <c r="E17" i="18" s="1"/>
  <c r="D11" i="18"/>
  <c r="C24" i="17"/>
  <c r="M23" i="17"/>
  <c r="L23" i="17"/>
  <c r="K23" i="17"/>
  <c r="J23" i="17"/>
  <c r="I23" i="17"/>
  <c r="H23" i="17"/>
  <c r="G23" i="17"/>
  <c r="F23" i="17"/>
  <c r="E23" i="17"/>
  <c r="D23" i="17"/>
  <c r="M22" i="17"/>
  <c r="L22" i="17"/>
  <c r="K22" i="17"/>
  <c r="J22" i="17"/>
  <c r="I22" i="17"/>
  <c r="H22" i="17"/>
  <c r="G22" i="17"/>
  <c r="F22" i="17"/>
  <c r="E22" i="17"/>
  <c r="D22" i="17"/>
  <c r="M18" i="17"/>
  <c r="M24" i="17" s="1"/>
  <c r="L18" i="17"/>
  <c r="L24" i="17" s="1"/>
  <c r="K18" i="17"/>
  <c r="J18" i="17"/>
  <c r="I18" i="17"/>
  <c r="I24" i="17" s="1"/>
  <c r="H18" i="17"/>
  <c r="H24" i="17" s="1"/>
  <c r="G18" i="17"/>
  <c r="F18" i="17"/>
  <c r="F24" i="17" s="1"/>
  <c r="E18" i="17"/>
  <c r="E24" i="17" s="1"/>
  <c r="D18" i="17"/>
  <c r="D24" i="17" s="1"/>
  <c r="C16" i="17"/>
  <c r="M15" i="17"/>
  <c r="L15" i="17"/>
  <c r="K15" i="17"/>
  <c r="J15" i="17"/>
  <c r="I15" i="17"/>
  <c r="H15" i="17"/>
  <c r="G15" i="17"/>
  <c r="F15" i="17"/>
  <c r="E15" i="17"/>
  <c r="D15" i="17"/>
  <c r="M13" i="17"/>
  <c r="L13" i="17"/>
  <c r="K13" i="17"/>
  <c r="K16" i="17" s="1"/>
  <c r="J13" i="17"/>
  <c r="J16" i="17" s="1"/>
  <c r="I13" i="17"/>
  <c r="H13" i="17"/>
  <c r="G13" i="17"/>
  <c r="G16" i="17" s="1"/>
  <c r="F13" i="17"/>
  <c r="F16" i="17" s="1"/>
  <c r="F25" i="17" s="1"/>
  <c r="E13" i="17"/>
  <c r="D13" i="17"/>
  <c r="M16" i="17"/>
  <c r="L16" i="17"/>
  <c r="L25" i="17" s="1"/>
  <c r="I16" i="17"/>
  <c r="I25" i="17" s="1"/>
  <c r="H16" i="17"/>
  <c r="E16" i="17"/>
  <c r="E25" i="17" s="1"/>
  <c r="D16" i="17"/>
  <c r="D25" i="17" s="1"/>
  <c r="J24" i="17" l="1"/>
  <c r="J25" i="17" s="1"/>
  <c r="L15" i="20"/>
  <c r="G24" i="17"/>
  <c r="G25" i="17" s="1"/>
  <c r="K24" i="17"/>
  <c r="K25" i="17" s="1"/>
  <c r="D17" i="18"/>
  <c r="H17" i="18"/>
  <c r="L17" i="18"/>
  <c r="G27" i="18"/>
  <c r="K27" i="18"/>
  <c r="E17" i="19"/>
  <c r="E27" i="19" s="1"/>
  <c r="I17" i="19"/>
  <c r="M17" i="19"/>
  <c r="I15" i="20"/>
  <c r="M15" i="20"/>
  <c r="G20" i="21"/>
  <c r="L20" i="21"/>
  <c r="L28" i="21" s="1"/>
  <c r="F27" i="21"/>
  <c r="J27" i="21"/>
  <c r="J28" i="21"/>
  <c r="H25" i="20"/>
  <c r="D28" i="18"/>
  <c r="F28" i="18"/>
  <c r="H28" i="18"/>
  <c r="J28" i="18"/>
  <c r="L28" i="18"/>
  <c r="M25" i="17"/>
  <c r="C25" i="17"/>
  <c r="E27" i="23"/>
  <c r="I27" i="23"/>
  <c r="M27" i="23"/>
  <c r="E26" i="24"/>
  <c r="I26" i="24"/>
  <c r="M26" i="24"/>
  <c r="E28" i="21"/>
  <c r="G28" i="21"/>
  <c r="H25" i="17"/>
  <c r="C26" i="24"/>
  <c r="C27" i="23"/>
  <c r="D26" i="22"/>
  <c r="F26" i="22"/>
  <c r="H26" i="22"/>
  <c r="J26" i="22"/>
  <c r="L26" i="22"/>
  <c r="E26" i="25"/>
  <c r="G26" i="25"/>
  <c r="I26" i="25"/>
  <c r="K26" i="25"/>
  <c r="M26" i="25"/>
  <c r="D27" i="19"/>
  <c r="F27" i="19"/>
  <c r="J27" i="19"/>
  <c r="L27" i="19"/>
  <c r="D26" i="25"/>
  <c r="F26" i="25"/>
  <c r="H26" i="25"/>
  <c r="J26" i="25"/>
  <c r="L26" i="25"/>
  <c r="D16" i="24"/>
  <c r="D26" i="24" s="1"/>
  <c r="F26" i="24"/>
  <c r="H26" i="24"/>
  <c r="J26" i="24"/>
  <c r="L26" i="24"/>
  <c r="G26" i="24"/>
  <c r="K26" i="24"/>
  <c r="D27" i="23"/>
  <c r="F27" i="23"/>
  <c r="J27" i="23"/>
  <c r="L27" i="23"/>
  <c r="H16" i="23"/>
  <c r="H27" i="23" s="1"/>
  <c r="G27" i="23"/>
  <c r="K27" i="23"/>
  <c r="E26" i="22"/>
  <c r="I26" i="22"/>
  <c r="M26" i="22"/>
  <c r="G26" i="22"/>
  <c r="K26" i="22"/>
  <c r="D20" i="21"/>
  <c r="D28" i="21" s="1"/>
  <c r="F20" i="21"/>
  <c r="F28" i="21" s="1"/>
  <c r="I28" i="21"/>
  <c r="K28" i="21"/>
  <c r="M28" i="21"/>
  <c r="D25" i="20"/>
  <c r="F25" i="20"/>
  <c r="J25" i="20"/>
  <c r="L25" i="20"/>
  <c r="E15" i="20"/>
  <c r="E25" i="20" s="1"/>
  <c r="I25" i="20"/>
  <c r="M25" i="20"/>
  <c r="G25" i="20"/>
  <c r="K25" i="20"/>
  <c r="H27" i="19"/>
  <c r="G27" i="19"/>
  <c r="I27" i="19"/>
  <c r="K27" i="19"/>
  <c r="M27" i="19"/>
  <c r="I27" i="18"/>
  <c r="I28" i="18" s="1"/>
  <c r="E28" i="18"/>
  <c r="G28" i="18"/>
  <c r="K28" i="18"/>
  <c r="M28" i="18"/>
  <c r="M22" i="15" l="1"/>
  <c r="L22" i="15"/>
  <c r="K22" i="15"/>
  <c r="J22" i="15"/>
  <c r="I22" i="15"/>
  <c r="H22" i="15"/>
  <c r="G22" i="15"/>
  <c r="F22" i="15"/>
  <c r="E22" i="15"/>
  <c r="D22" i="15"/>
  <c r="M21" i="15"/>
  <c r="L21" i="15"/>
  <c r="K21" i="15"/>
  <c r="J21" i="15"/>
  <c r="I21" i="15"/>
  <c r="H21" i="15"/>
  <c r="G21" i="15"/>
  <c r="F21" i="15"/>
  <c r="E21" i="15"/>
  <c r="D21" i="15"/>
  <c r="M20" i="15"/>
  <c r="L20" i="15"/>
  <c r="K20" i="15"/>
  <c r="J20" i="15"/>
  <c r="I20" i="15"/>
  <c r="H20" i="15"/>
  <c r="G20" i="15"/>
  <c r="F20" i="15"/>
  <c r="E20" i="15"/>
  <c r="D20" i="15"/>
  <c r="M18" i="15"/>
  <c r="L18" i="15"/>
  <c r="K18" i="15"/>
  <c r="J18" i="15"/>
  <c r="I18" i="15"/>
  <c r="H18" i="15"/>
  <c r="G18" i="15"/>
  <c r="F18" i="15"/>
  <c r="E18" i="15"/>
  <c r="D18" i="15"/>
  <c r="M17" i="15"/>
  <c r="L17" i="15"/>
  <c r="K17" i="15"/>
  <c r="J17" i="15"/>
  <c r="I17" i="15"/>
  <c r="H17" i="15"/>
  <c r="G17" i="15"/>
  <c r="F17" i="15"/>
  <c r="E17" i="15"/>
  <c r="D17" i="15"/>
  <c r="M14" i="15"/>
  <c r="L14" i="15"/>
  <c r="K14" i="15"/>
  <c r="J14" i="15"/>
  <c r="I14" i="15"/>
  <c r="H14" i="15"/>
  <c r="G14" i="15"/>
  <c r="F14" i="15"/>
  <c r="E14" i="15"/>
  <c r="D14" i="15"/>
  <c r="M13" i="15"/>
  <c r="L13" i="15"/>
  <c r="K13" i="15"/>
  <c r="J13" i="15"/>
  <c r="I13" i="15"/>
  <c r="H13" i="15"/>
  <c r="G13" i="15"/>
  <c r="F13" i="15"/>
  <c r="E13" i="15"/>
  <c r="D13" i="15"/>
  <c r="M12" i="15"/>
  <c r="L12" i="15"/>
  <c r="K12" i="15"/>
  <c r="J12" i="15"/>
  <c r="I12" i="15"/>
  <c r="H12" i="15"/>
  <c r="G12" i="15"/>
  <c r="F12" i="15"/>
  <c r="E12" i="15"/>
  <c r="D12" i="15"/>
  <c r="M10" i="15"/>
  <c r="L10" i="15"/>
  <c r="K10" i="15"/>
  <c r="J10" i="15"/>
  <c r="I10" i="15"/>
  <c r="H10" i="15"/>
  <c r="G10" i="15"/>
  <c r="F10" i="15"/>
  <c r="E10" i="15"/>
  <c r="D10" i="15"/>
  <c r="M9" i="15"/>
  <c r="M15" i="15" s="1"/>
  <c r="M25" i="15" s="1"/>
  <c r="L9" i="15"/>
  <c r="K9" i="15"/>
  <c r="K15" i="15" s="1"/>
  <c r="K25" i="15" s="1"/>
  <c r="J9" i="15"/>
  <c r="J15" i="15" s="1"/>
  <c r="I9" i="15"/>
  <c r="I15" i="15" s="1"/>
  <c r="I25" i="15" s="1"/>
  <c r="H9" i="15"/>
  <c r="H15" i="15" s="1"/>
  <c r="G9" i="15"/>
  <c r="G15" i="15" s="1"/>
  <c r="G25" i="15" s="1"/>
  <c r="F9" i="15"/>
  <c r="F15" i="15" s="1"/>
  <c r="F25" i="15" s="1"/>
  <c r="E9" i="15"/>
  <c r="E15" i="15" s="1"/>
  <c r="E25" i="15" s="1"/>
  <c r="D9" i="15"/>
  <c r="D15" i="15" s="1"/>
  <c r="D25" i="15" s="1"/>
  <c r="L15" i="15" l="1"/>
  <c r="H25" i="15"/>
  <c r="J25" i="15"/>
  <c r="L25" i="15"/>
  <c r="M283" i="10"/>
  <c r="L283" i="10"/>
  <c r="K283" i="10"/>
  <c r="J283" i="10"/>
  <c r="I283" i="10"/>
  <c r="H283" i="10"/>
  <c r="G283" i="10"/>
  <c r="F283" i="10"/>
  <c r="E283" i="10"/>
  <c r="D283" i="10"/>
  <c r="M222" i="10"/>
  <c r="L222" i="10"/>
  <c r="K222" i="10"/>
  <c r="J222" i="10"/>
  <c r="I222" i="10"/>
  <c r="H222" i="10"/>
  <c r="G222" i="10"/>
  <c r="F222" i="10"/>
  <c r="E222" i="10"/>
  <c r="D222" i="10"/>
  <c r="H217" i="10"/>
  <c r="H47" i="10"/>
  <c r="E47" i="10"/>
  <c r="M40" i="10"/>
  <c r="L40" i="10"/>
  <c r="K40" i="10"/>
  <c r="J40" i="10"/>
  <c r="I40" i="10"/>
  <c r="H40" i="10"/>
  <c r="G40" i="10"/>
  <c r="F40" i="10"/>
  <c r="E40" i="10"/>
  <c r="D40" i="10"/>
  <c r="M105" i="10"/>
  <c r="L105" i="10"/>
  <c r="K105" i="10"/>
  <c r="J105" i="10"/>
  <c r="I105" i="10"/>
  <c r="H105" i="10"/>
  <c r="G105" i="10"/>
  <c r="F105" i="10"/>
  <c r="E105" i="10"/>
  <c r="D105" i="10"/>
  <c r="M289" i="10" l="1"/>
  <c r="L289" i="10"/>
  <c r="K289" i="10"/>
  <c r="J289" i="10"/>
  <c r="I289" i="10"/>
  <c r="H289" i="10"/>
  <c r="G289" i="10"/>
  <c r="F289" i="10"/>
  <c r="E289" i="10"/>
  <c r="D289" i="10"/>
  <c r="M279" i="10"/>
  <c r="L279" i="10"/>
  <c r="K279" i="10"/>
  <c r="J279" i="10"/>
  <c r="I279" i="10"/>
  <c r="H279" i="10"/>
  <c r="G279" i="10"/>
  <c r="F279" i="10"/>
  <c r="E279" i="10"/>
  <c r="D279" i="10"/>
  <c r="M226" i="10" l="1"/>
  <c r="L226" i="10"/>
  <c r="K226" i="10"/>
  <c r="J226" i="10"/>
  <c r="I226" i="10"/>
  <c r="H226" i="10"/>
  <c r="G226" i="10"/>
  <c r="F226" i="10"/>
  <c r="E226" i="10"/>
  <c r="D226" i="10"/>
  <c r="M162" i="10"/>
  <c r="L162" i="10"/>
  <c r="K162" i="10"/>
  <c r="J162" i="10"/>
  <c r="I162" i="10"/>
  <c r="H162" i="10"/>
  <c r="G162" i="10"/>
  <c r="F162" i="10"/>
  <c r="E162" i="10"/>
  <c r="D162" i="10"/>
  <c r="M70" i="10"/>
  <c r="L70" i="10"/>
  <c r="K70" i="10"/>
  <c r="J70" i="10"/>
  <c r="I70" i="10"/>
  <c r="H70" i="10"/>
  <c r="G70" i="10"/>
  <c r="F70" i="10"/>
  <c r="E70" i="10"/>
  <c r="D70" i="10"/>
  <c r="M48" i="10"/>
  <c r="L48" i="10"/>
  <c r="K48" i="10"/>
  <c r="J48" i="10"/>
  <c r="I48" i="10"/>
  <c r="H48" i="10"/>
  <c r="G48" i="10"/>
  <c r="F48" i="10"/>
  <c r="E48" i="10"/>
  <c r="D48" i="10"/>
  <c r="M39" i="10"/>
  <c r="L39" i="10"/>
  <c r="K39" i="10"/>
  <c r="J39" i="10"/>
  <c r="I39" i="10"/>
  <c r="H39" i="10"/>
  <c r="G39" i="10"/>
  <c r="F39" i="10"/>
  <c r="E39" i="10"/>
  <c r="D39" i="10"/>
  <c r="M218" i="10" l="1"/>
  <c r="L218" i="10"/>
  <c r="K218" i="10"/>
  <c r="J218" i="10"/>
  <c r="I218" i="10"/>
  <c r="H218" i="10"/>
  <c r="G218" i="10"/>
  <c r="F218" i="10"/>
  <c r="E218" i="10"/>
  <c r="D218" i="10"/>
  <c r="M18" i="10" l="1"/>
  <c r="L18" i="10"/>
  <c r="K18" i="10"/>
  <c r="J18" i="10"/>
  <c r="I18" i="10"/>
  <c r="H18" i="10"/>
  <c r="G18" i="10"/>
  <c r="F18" i="10"/>
  <c r="E18" i="10"/>
  <c r="D18" i="10"/>
  <c r="M139" i="10" l="1"/>
  <c r="L139" i="10"/>
  <c r="K139" i="10"/>
  <c r="J139" i="10"/>
  <c r="I139" i="10"/>
  <c r="H139" i="10"/>
  <c r="G139" i="10"/>
  <c r="F139" i="10"/>
  <c r="E139" i="10"/>
  <c r="D139" i="10"/>
  <c r="H136" i="10"/>
  <c r="M71" i="10"/>
  <c r="L71" i="10"/>
  <c r="K71" i="10"/>
  <c r="J71" i="10"/>
  <c r="I71" i="10"/>
  <c r="H71" i="10"/>
  <c r="G71" i="10"/>
  <c r="F71" i="10"/>
  <c r="E71" i="10"/>
  <c r="D71" i="10"/>
  <c r="M41" i="10" l="1"/>
  <c r="L41" i="10"/>
  <c r="K41" i="10"/>
  <c r="J41" i="10"/>
  <c r="I41" i="10"/>
  <c r="H41" i="10"/>
  <c r="G41" i="10"/>
  <c r="F41" i="10"/>
  <c r="E41" i="10"/>
  <c r="D41" i="10"/>
  <c r="C652" i="10" l="1"/>
  <c r="C653" i="10" s="1"/>
  <c r="M650" i="10"/>
  <c r="L650" i="10"/>
  <c r="K650" i="10"/>
  <c r="J650" i="10"/>
  <c r="I650" i="10"/>
  <c r="H650" i="10"/>
  <c r="G650" i="10"/>
  <c r="F650" i="10"/>
  <c r="E650" i="10"/>
  <c r="D650" i="10"/>
  <c r="M649" i="10"/>
  <c r="L649" i="10"/>
  <c r="K649" i="10"/>
  <c r="J649" i="10"/>
  <c r="I649" i="10"/>
  <c r="H649" i="10"/>
  <c r="G649" i="10"/>
  <c r="F649" i="10"/>
  <c r="E649" i="10"/>
  <c r="D649" i="10"/>
  <c r="M648" i="10"/>
  <c r="L648" i="10"/>
  <c r="K648" i="10"/>
  <c r="J648" i="10"/>
  <c r="I648" i="10"/>
  <c r="H648" i="10"/>
  <c r="G648" i="10"/>
  <c r="F648" i="10"/>
  <c r="E648" i="10"/>
  <c r="D648" i="10"/>
  <c r="M647" i="10"/>
  <c r="L647" i="10"/>
  <c r="K647" i="10"/>
  <c r="J647" i="10"/>
  <c r="I647" i="10"/>
  <c r="H647" i="10"/>
  <c r="G647" i="10"/>
  <c r="F647" i="10"/>
  <c r="E647" i="10"/>
  <c r="D647" i="10"/>
  <c r="M646" i="10"/>
  <c r="L646" i="10"/>
  <c r="K646" i="10"/>
  <c r="J646" i="10"/>
  <c r="I646" i="10"/>
  <c r="H646" i="10"/>
  <c r="G646" i="10"/>
  <c r="F646" i="10"/>
  <c r="E646" i="10"/>
  <c r="D646" i="10"/>
  <c r="M645" i="10"/>
  <c r="L645" i="10"/>
  <c r="K645" i="10"/>
  <c r="J645" i="10"/>
  <c r="I645" i="10"/>
  <c r="H645" i="10"/>
  <c r="G645" i="10"/>
  <c r="F645" i="10"/>
  <c r="E645" i="10"/>
  <c r="D645" i="10"/>
  <c r="M644" i="10"/>
  <c r="M652" i="10" s="1"/>
  <c r="M653" i="10" s="1"/>
  <c r="L644" i="10"/>
  <c r="L652" i="10" s="1"/>
  <c r="L653" i="10" s="1"/>
  <c r="K644" i="10"/>
  <c r="K652" i="10" s="1"/>
  <c r="K653" i="10" s="1"/>
  <c r="J644" i="10"/>
  <c r="J652" i="10" s="1"/>
  <c r="J653" i="10" s="1"/>
  <c r="I644" i="10"/>
  <c r="I652" i="10" s="1"/>
  <c r="I653" i="10" s="1"/>
  <c r="H644" i="10"/>
  <c r="G644" i="10"/>
  <c r="G652" i="10" s="1"/>
  <c r="G653" i="10" s="1"/>
  <c r="F644" i="10"/>
  <c r="F652" i="10" s="1"/>
  <c r="F653" i="10" s="1"/>
  <c r="E644" i="10"/>
  <c r="D644" i="10"/>
  <c r="D652" i="10" s="1"/>
  <c r="D653" i="10" s="1"/>
  <c r="H643" i="10"/>
  <c r="E643" i="10"/>
  <c r="C612" i="10"/>
  <c r="C613" i="10" s="1"/>
  <c r="M611" i="10"/>
  <c r="L611" i="10"/>
  <c r="K611" i="10"/>
  <c r="J611" i="10"/>
  <c r="I611" i="10"/>
  <c r="H611" i="10"/>
  <c r="G611" i="10"/>
  <c r="F611" i="10"/>
  <c r="E611" i="10"/>
  <c r="D611" i="10"/>
  <c r="M610" i="10"/>
  <c r="L610" i="10"/>
  <c r="K610" i="10"/>
  <c r="J610" i="10"/>
  <c r="I610" i="10"/>
  <c r="H610" i="10"/>
  <c r="G610" i="10"/>
  <c r="F610" i="10"/>
  <c r="E610" i="10"/>
  <c r="D610" i="10"/>
  <c r="M609" i="10"/>
  <c r="L609" i="10"/>
  <c r="K609" i="10"/>
  <c r="J609" i="10"/>
  <c r="I609" i="10"/>
  <c r="H609" i="10"/>
  <c r="G609" i="10"/>
  <c r="F609" i="10"/>
  <c r="E609" i="10"/>
  <c r="D609" i="10"/>
  <c r="M608" i="10"/>
  <c r="L608" i="10"/>
  <c r="K608" i="10"/>
  <c r="J608" i="10"/>
  <c r="I608" i="10"/>
  <c r="H608" i="10"/>
  <c r="G608" i="10"/>
  <c r="F608" i="10"/>
  <c r="E608" i="10"/>
  <c r="D608" i="10"/>
  <c r="M607" i="10"/>
  <c r="L607" i="10"/>
  <c r="K607" i="10"/>
  <c r="J607" i="10"/>
  <c r="I607" i="10"/>
  <c r="H607" i="10"/>
  <c r="G607" i="10"/>
  <c r="F607" i="10"/>
  <c r="E607" i="10"/>
  <c r="D607" i="10"/>
  <c r="M606" i="10"/>
  <c r="L606" i="10"/>
  <c r="K606" i="10"/>
  <c r="J606" i="10"/>
  <c r="I606" i="10"/>
  <c r="H606" i="10"/>
  <c r="G606" i="10"/>
  <c r="F606" i="10"/>
  <c r="E606" i="10"/>
  <c r="D606" i="10"/>
  <c r="M605" i="10"/>
  <c r="L605" i="10"/>
  <c r="K605" i="10"/>
  <c r="J605" i="10"/>
  <c r="I605" i="10"/>
  <c r="H605" i="10"/>
  <c r="G605" i="10"/>
  <c r="F605" i="10"/>
  <c r="E605" i="10"/>
  <c r="D605" i="10"/>
  <c r="M604" i="10"/>
  <c r="M612" i="10" s="1"/>
  <c r="M613" i="10" s="1"/>
  <c r="L604" i="10"/>
  <c r="L612" i="10" s="1"/>
  <c r="L613" i="10" s="1"/>
  <c r="K604" i="10"/>
  <c r="K612" i="10" s="1"/>
  <c r="K613" i="10" s="1"/>
  <c r="J604" i="10"/>
  <c r="J612" i="10" s="1"/>
  <c r="J613" i="10" s="1"/>
  <c r="I604" i="10"/>
  <c r="I612" i="10" s="1"/>
  <c r="I613" i="10" s="1"/>
  <c r="H604" i="10"/>
  <c r="H612" i="10" s="1"/>
  <c r="H613" i="10" s="1"/>
  <c r="G604" i="10"/>
  <c r="G612" i="10" s="1"/>
  <c r="G613" i="10" s="1"/>
  <c r="F604" i="10"/>
  <c r="F612" i="10" s="1"/>
  <c r="F613" i="10" s="1"/>
  <c r="E604" i="10"/>
  <c r="E612" i="10" s="1"/>
  <c r="E613" i="10" s="1"/>
  <c r="D604" i="10"/>
  <c r="D612" i="10" s="1"/>
  <c r="D613" i="10" s="1"/>
  <c r="C579" i="10"/>
  <c r="C580" i="10" s="1"/>
  <c r="M578" i="10"/>
  <c r="L578" i="10"/>
  <c r="K578" i="10"/>
  <c r="J578" i="10"/>
  <c r="I578" i="10"/>
  <c r="H578" i="10"/>
  <c r="G578" i="10"/>
  <c r="F578" i="10"/>
  <c r="E578" i="10"/>
  <c r="D578" i="10"/>
  <c r="M577" i="10"/>
  <c r="L577" i="10"/>
  <c r="K577" i="10"/>
  <c r="J577" i="10"/>
  <c r="I577" i="10"/>
  <c r="H577" i="10"/>
  <c r="G577" i="10"/>
  <c r="F577" i="10"/>
  <c r="E577" i="10"/>
  <c r="D577" i="10"/>
  <c r="M576" i="10"/>
  <c r="L576" i="10"/>
  <c r="K576" i="10"/>
  <c r="J576" i="10"/>
  <c r="I576" i="10"/>
  <c r="H576" i="10"/>
  <c r="G576" i="10"/>
  <c r="F576" i="10"/>
  <c r="E576" i="10"/>
  <c r="D576" i="10"/>
  <c r="M575" i="10"/>
  <c r="L575" i="10"/>
  <c r="K575" i="10"/>
  <c r="J575" i="10"/>
  <c r="I575" i="10"/>
  <c r="H575" i="10"/>
  <c r="G575" i="10"/>
  <c r="F575" i="10"/>
  <c r="E575" i="10"/>
  <c r="D575" i="10"/>
  <c r="M574" i="10"/>
  <c r="L574" i="10"/>
  <c r="K574" i="10"/>
  <c r="J574" i="10"/>
  <c r="I574" i="10"/>
  <c r="H574" i="10"/>
  <c r="G574" i="10"/>
  <c r="F574" i="10"/>
  <c r="E574" i="10"/>
  <c r="D574" i="10"/>
  <c r="M573" i="10"/>
  <c r="L573" i="10"/>
  <c r="K573" i="10"/>
  <c r="J573" i="10"/>
  <c r="I573" i="10"/>
  <c r="H573" i="10"/>
  <c r="G573" i="10"/>
  <c r="F573" i="10"/>
  <c r="E573" i="10"/>
  <c r="D573" i="10"/>
  <c r="M572" i="10"/>
  <c r="M579" i="10" s="1"/>
  <c r="M580" i="10" s="1"/>
  <c r="L572" i="10"/>
  <c r="L579" i="10" s="1"/>
  <c r="L580" i="10" s="1"/>
  <c r="K572" i="10"/>
  <c r="K579" i="10" s="1"/>
  <c r="K580" i="10" s="1"/>
  <c r="J572" i="10"/>
  <c r="J579" i="10" s="1"/>
  <c r="J580" i="10" s="1"/>
  <c r="I572" i="10"/>
  <c r="I579" i="10" s="1"/>
  <c r="I580" i="10" s="1"/>
  <c r="H572" i="10"/>
  <c r="H579" i="10" s="1"/>
  <c r="H580" i="10" s="1"/>
  <c r="G572" i="10"/>
  <c r="G579" i="10" s="1"/>
  <c r="G580" i="10" s="1"/>
  <c r="F572" i="10"/>
  <c r="F579" i="10" s="1"/>
  <c r="F580" i="10" s="1"/>
  <c r="E572" i="10"/>
  <c r="E579" i="10" s="1"/>
  <c r="E580" i="10" s="1"/>
  <c r="D572" i="10"/>
  <c r="D579" i="10" s="1"/>
  <c r="D580" i="10" s="1"/>
  <c r="C549" i="10"/>
  <c r="C550" i="10" s="1"/>
  <c r="M548" i="10"/>
  <c r="L548" i="10"/>
  <c r="K548" i="10"/>
  <c r="J548" i="10"/>
  <c r="I548" i="10"/>
  <c r="H548" i="10"/>
  <c r="G548" i="10"/>
  <c r="F548" i="10"/>
  <c r="E548" i="10"/>
  <c r="D548" i="10"/>
  <c r="M547" i="10"/>
  <c r="L547" i="10"/>
  <c r="K547" i="10"/>
  <c r="J547" i="10"/>
  <c r="I547" i="10"/>
  <c r="H547" i="10"/>
  <c r="G547" i="10"/>
  <c r="F547" i="10"/>
  <c r="E547" i="10"/>
  <c r="D547" i="10"/>
  <c r="M546" i="10"/>
  <c r="L546" i="10"/>
  <c r="K546" i="10"/>
  <c r="J546" i="10"/>
  <c r="I546" i="10"/>
  <c r="H546" i="10"/>
  <c r="G546" i="10"/>
  <c r="F546" i="10"/>
  <c r="E546" i="10"/>
  <c r="D546" i="10"/>
  <c r="M545" i="10"/>
  <c r="L545" i="10"/>
  <c r="K545" i="10"/>
  <c r="J545" i="10"/>
  <c r="I545" i="10"/>
  <c r="H545" i="10"/>
  <c r="G545" i="10"/>
  <c r="F545" i="10"/>
  <c r="E545" i="10"/>
  <c r="D545" i="10"/>
  <c r="M543" i="10"/>
  <c r="L543" i="10"/>
  <c r="K543" i="10"/>
  <c r="J543" i="10"/>
  <c r="I543" i="10"/>
  <c r="H543" i="10"/>
  <c r="G543" i="10"/>
  <c r="F543" i="10"/>
  <c r="E543" i="10"/>
  <c r="D543" i="10"/>
  <c r="M542" i="10"/>
  <c r="L542" i="10"/>
  <c r="K542" i="10"/>
  <c r="J542" i="10"/>
  <c r="I542" i="10"/>
  <c r="H542" i="10"/>
  <c r="G542" i="10"/>
  <c r="F542" i="10"/>
  <c r="E542" i="10"/>
  <c r="D542" i="10"/>
  <c r="M541" i="10"/>
  <c r="M549" i="10" s="1"/>
  <c r="M550" i="10" s="1"/>
  <c r="L541" i="10"/>
  <c r="L549" i="10" s="1"/>
  <c r="L550" i="10" s="1"/>
  <c r="K541" i="10"/>
  <c r="K549" i="10" s="1"/>
  <c r="K550" i="10" s="1"/>
  <c r="J541" i="10"/>
  <c r="J549" i="10" s="1"/>
  <c r="J550" i="10" s="1"/>
  <c r="I541" i="10"/>
  <c r="I549" i="10" s="1"/>
  <c r="I550" i="10" s="1"/>
  <c r="H541" i="10"/>
  <c r="H549" i="10" s="1"/>
  <c r="H550" i="10" s="1"/>
  <c r="G541" i="10"/>
  <c r="G549" i="10" s="1"/>
  <c r="G550" i="10" s="1"/>
  <c r="F541" i="10"/>
  <c r="F549" i="10" s="1"/>
  <c r="F550" i="10" s="1"/>
  <c r="E541" i="10"/>
  <c r="E549" i="10" s="1"/>
  <c r="E550" i="10" s="1"/>
  <c r="D541" i="10"/>
  <c r="D549" i="10" s="1"/>
  <c r="D550" i="10" s="1"/>
  <c r="C515" i="10"/>
  <c r="C516" i="10" s="1"/>
  <c r="M514" i="10"/>
  <c r="L514" i="10"/>
  <c r="K514" i="10"/>
  <c r="J514" i="10"/>
  <c r="I514" i="10"/>
  <c r="H514" i="10"/>
  <c r="G514" i="10"/>
  <c r="F514" i="10"/>
  <c r="E514" i="10"/>
  <c r="D514" i="10"/>
  <c r="M513" i="10"/>
  <c r="L513" i="10"/>
  <c r="K513" i="10"/>
  <c r="J513" i="10"/>
  <c r="I513" i="10"/>
  <c r="H513" i="10"/>
  <c r="G513" i="10"/>
  <c r="F513" i="10"/>
  <c r="E513" i="10"/>
  <c r="D513" i="10"/>
  <c r="M512" i="10"/>
  <c r="L512" i="10"/>
  <c r="K512" i="10"/>
  <c r="J512" i="10"/>
  <c r="I512" i="10"/>
  <c r="H512" i="10"/>
  <c r="G512" i="10"/>
  <c r="F512" i="10"/>
  <c r="E512" i="10"/>
  <c r="D512" i="10"/>
  <c r="M511" i="10"/>
  <c r="L511" i="10"/>
  <c r="K511" i="10"/>
  <c r="J511" i="10"/>
  <c r="I511" i="10"/>
  <c r="H511" i="10"/>
  <c r="G511" i="10"/>
  <c r="F511" i="10"/>
  <c r="E511" i="10"/>
  <c r="D511" i="10"/>
  <c r="M510" i="10"/>
  <c r="L510" i="10"/>
  <c r="K510" i="10"/>
  <c r="J510" i="10"/>
  <c r="I510" i="10"/>
  <c r="H510" i="10"/>
  <c r="G510" i="10"/>
  <c r="F510" i="10"/>
  <c r="E510" i="10"/>
  <c r="D510" i="10"/>
  <c r="M509" i="10"/>
  <c r="L509" i="10"/>
  <c r="K509" i="10"/>
  <c r="J509" i="10"/>
  <c r="I509" i="10"/>
  <c r="H509" i="10"/>
  <c r="G509" i="10"/>
  <c r="F509" i="10"/>
  <c r="E509" i="10"/>
  <c r="D509" i="10"/>
  <c r="M508" i="10"/>
  <c r="M515" i="10" s="1"/>
  <c r="M516" i="10" s="1"/>
  <c r="L508" i="10"/>
  <c r="L515" i="10" s="1"/>
  <c r="L516" i="10" s="1"/>
  <c r="K508" i="10"/>
  <c r="K515" i="10" s="1"/>
  <c r="K516" i="10" s="1"/>
  <c r="J508" i="10"/>
  <c r="J515" i="10" s="1"/>
  <c r="J516" i="10" s="1"/>
  <c r="I508" i="10"/>
  <c r="I515" i="10" s="1"/>
  <c r="I516" i="10" s="1"/>
  <c r="H508" i="10"/>
  <c r="H515" i="10" s="1"/>
  <c r="H516" i="10" s="1"/>
  <c r="G508" i="10"/>
  <c r="G515" i="10" s="1"/>
  <c r="G516" i="10" s="1"/>
  <c r="F508" i="10"/>
  <c r="F515" i="10" s="1"/>
  <c r="F516" i="10" s="1"/>
  <c r="E508" i="10"/>
  <c r="E515" i="10" s="1"/>
  <c r="E516" i="10" s="1"/>
  <c r="D508" i="10"/>
  <c r="D515" i="10" s="1"/>
  <c r="D516" i="10" s="1"/>
  <c r="C484" i="10"/>
  <c r="C485" i="10" s="1"/>
  <c r="M482" i="10"/>
  <c r="L482" i="10"/>
  <c r="K482" i="10"/>
  <c r="J482" i="10"/>
  <c r="I482" i="10"/>
  <c r="H482" i="10"/>
  <c r="G482" i="10"/>
  <c r="F482" i="10"/>
  <c r="E482" i="10"/>
  <c r="D482" i="10"/>
  <c r="M481" i="10"/>
  <c r="L481" i="10"/>
  <c r="K481" i="10"/>
  <c r="J481" i="10"/>
  <c r="I481" i="10"/>
  <c r="H481" i="10"/>
  <c r="G481" i="10"/>
  <c r="F481" i="10"/>
  <c r="E481" i="10"/>
  <c r="D481" i="10"/>
  <c r="M480" i="10"/>
  <c r="L480" i="10"/>
  <c r="K480" i="10"/>
  <c r="J480" i="10"/>
  <c r="I480" i="10"/>
  <c r="H480" i="10"/>
  <c r="G480" i="10"/>
  <c r="F480" i="10"/>
  <c r="E480" i="10"/>
  <c r="D480" i="10"/>
  <c r="M479" i="10"/>
  <c r="L479" i="10"/>
  <c r="K479" i="10"/>
  <c r="J479" i="10"/>
  <c r="I479" i="10"/>
  <c r="H479" i="10"/>
  <c r="G479" i="10"/>
  <c r="F479" i="10"/>
  <c r="E479" i="10"/>
  <c r="D479" i="10"/>
  <c r="M478" i="10"/>
  <c r="L478" i="10"/>
  <c r="K478" i="10"/>
  <c r="J478" i="10"/>
  <c r="I478" i="10"/>
  <c r="G478" i="10"/>
  <c r="F478" i="10"/>
  <c r="E478" i="10"/>
  <c r="D478" i="10"/>
  <c r="M477" i="10"/>
  <c r="L477" i="10"/>
  <c r="K477" i="10"/>
  <c r="J477" i="10"/>
  <c r="I477" i="10"/>
  <c r="H477" i="10"/>
  <c r="G477" i="10"/>
  <c r="F477" i="10"/>
  <c r="E477" i="10"/>
  <c r="D477" i="10"/>
  <c r="M476" i="10"/>
  <c r="L476" i="10"/>
  <c r="K476" i="10"/>
  <c r="J476" i="10"/>
  <c r="I476" i="10"/>
  <c r="H476" i="10"/>
  <c r="G476" i="10"/>
  <c r="F476" i="10"/>
  <c r="E476" i="10"/>
  <c r="D476" i="10"/>
  <c r="C452" i="10"/>
  <c r="C453" i="10" s="1"/>
  <c r="M451" i="10"/>
  <c r="L451" i="10"/>
  <c r="K451" i="10"/>
  <c r="J451" i="10"/>
  <c r="I451" i="10"/>
  <c r="H451" i="10"/>
  <c r="G451" i="10"/>
  <c r="F451" i="10"/>
  <c r="E451" i="10"/>
  <c r="D451" i="10"/>
  <c r="M450" i="10"/>
  <c r="L450" i="10"/>
  <c r="K450" i="10"/>
  <c r="J450" i="10"/>
  <c r="I450" i="10"/>
  <c r="H450" i="10"/>
  <c r="G450" i="10"/>
  <c r="F450" i="10"/>
  <c r="E450" i="10"/>
  <c r="D450" i="10"/>
  <c r="M449" i="10"/>
  <c r="L449" i="10"/>
  <c r="K449" i="10"/>
  <c r="J449" i="10"/>
  <c r="I449" i="10"/>
  <c r="H449" i="10"/>
  <c r="G449" i="10"/>
  <c r="F449" i="10"/>
  <c r="E449" i="10"/>
  <c r="D449" i="10"/>
  <c r="M448" i="10"/>
  <c r="L448" i="10"/>
  <c r="K448" i="10"/>
  <c r="J448" i="10"/>
  <c r="I448" i="10"/>
  <c r="H448" i="10"/>
  <c r="G448" i="10"/>
  <c r="F448" i="10"/>
  <c r="E448" i="10"/>
  <c r="D448" i="10"/>
  <c r="M447" i="10"/>
  <c r="L447" i="10"/>
  <c r="K447" i="10"/>
  <c r="J447" i="10"/>
  <c r="I447" i="10"/>
  <c r="H447" i="10"/>
  <c r="G447" i="10"/>
  <c r="F447" i="10"/>
  <c r="E447" i="10"/>
  <c r="D447" i="10"/>
  <c r="M446" i="10"/>
  <c r="L446" i="10"/>
  <c r="K446" i="10"/>
  <c r="J446" i="10"/>
  <c r="I446" i="10"/>
  <c r="H446" i="10"/>
  <c r="G446" i="10"/>
  <c r="F446" i="10"/>
  <c r="E446" i="10"/>
  <c r="D446" i="10"/>
  <c r="M445" i="10"/>
  <c r="M452" i="10" s="1"/>
  <c r="M453" i="10" s="1"/>
  <c r="L445" i="10"/>
  <c r="L452" i="10" s="1"/>
  <c r="L453" i="10" s="1"/>
  <c r="K445" i="10"/>
  <c r="K452" i="10" s="1"/>
  <c r="K453" i="10" s="1"/>
  <c r="J445" i="10"/>
  <c r="J452" i="10" s="1"/>
  <c r="J453" i="10" s="1"/>
  <c r="I445" i="10"/>
  <c r="I452" i="10" s="1"/>
  <c r="I453" i="10" s="1"/>
  <c r="H445" i="10"/>
  <c r="H452" i="10" s="1"/>
  <c r="H453" i="10" s="1"/>
  <c r="G445" i="10"/>
  <c r="G452" i="10" s="1"/>
  <c r="G453" i="10" s="1"/>
  <c r="F445" i="10"/>
  <c r="F452" i="10" s="1"/>
  <c r="F453" i="10" s="1"/>
  <c r="E445" i="10"/>
  <c r="E452" i="10" s="1"/>
  <c r="E453" i="10" s="1"/>
  <c r="D445" i="10"/>
  <c r="D452" i="10" s="1"/>
  <c r="D453" i="10" s="1"/>
  <c r="C422" i="10"/>
  <c r="C423" i="10" s="1"/>
  <c r="M421" i="10"/>
  <c r="L421" i="10"/>
  <c r="K421" i="10"/>
  <c r="J421" i="10"/>
  <c r="I421" i="10"/>
  <c r="H421" i="10"/>
  <c r="G421" i="10"/>
  <c r="F421" i="10"/>
  <c r="E421" i="10"/>
  <c r="D421" i="10"/>
  <c r="M420" i="10"/>
  <c r="L420" i="10"/>
  <c r="K420" i="10"/>
  <c r="J420" i="10"/>
  <c r="I420" i="10"/>
  <c r="H420" i="10"/>
  <c r="G420" i="10"/>
  <c r="F420" i="10"/>
  <c r="E420" i="10"/>
  <c r="D420" i="10"/>
  <c r="M419" i="10"/>
  <c r="L419" i="10"/>
  <c r="K419" i="10"/>
  <c r="J419" i="10"/>
  <c r="I419" i="10"/>
  <c r="H419" i="10"/>
  <c r="G419" i="10"/>
  <c r="F419" i="10"/>
  <c r="E419" i="10"/>
  <c r="D419" i="10"/>
  <c r="M418" i="10"/>
  <c r="L418" i="10"/>
  <c r="K418" i="10"/>
  <c r="J418" i="10"/>
  <c r="I418" i="10"/>
  <c r="H418" i="10"/>
  <c r="G418" i="10"/>
  <c r="F418" i="10"/>
  <c r="E418" i="10"/>
  <c r="D418" i="10"/>
  <c r="M417" i="10"/>
  <c r="L417" i="10"/>
  <c r="K417" i="10"/>
  <c r="J417" i="10"/>
  <c r="H417" i="10"/>
  <c r="G417" i="10"/>
  <c r="F417" i="10"/>
  <c r="E417" i="10"/>
  <c r="D417" i="10"/>
  <c r="M416" i="10"/>
  <c r="L416" i="10"/>
  <c r="K416" i="10"/>
  <c r="J416" i="10"/>
  <c r="I416" i="10"/>
  <c r="H416" i="10"/>
  <c r="G416" i="10"/>
  <c r="F416" i="10"/>
  <c r="E416" i="10"/>
  <c r="D416" i="10"/>
  <c r="M415" i="10"/>
  <c r="L415" i="10"/>
  <c r="K415" i="10"/>
  <c r="J415" i="10"/>
  <c r="I415" i="10"/>
  <c r="H415" i="10"/>
  <c r="G415" i="10"/>
  <c r="F415" i="10"/>
  <c r="E415" i="10"/>
  <c r="D415" i="10"/>
  <c r="M414" i="10"/>
  <c r="L414" i="10"/>
  <c r="K414" i="10"/>
  <c r="J414" i="10"/>
  <c r="I414" i="10"/>
  <c r="H414" i="10"/>
  <c r="G414" i="10"/>
  <c r="F414" i="10"/>
  <c r="E414" i="10"/>
  <c r="D414" i="10"/>
  <c r="C388" i="10"/>
  <c r="C389" i="10" s="1"/>
  <c r="M386" i="10"/>
  <c r="L386" i="10"/>
  <c r="K386" i="10"/>
  <c r="J386" i="10"/>
  <c r="I386" i="10"/>
  <c r="H386" i="10"/>
  <c r="G386" i="10"/>
  <c r="F386" i="10"/>
  <c r="E386" i="10"/>
  <c r="D386" i="10"/>
  <c r="M385" i="10"/>
  <c r="L385" i="10"/>
  <c r="K385" i="10"/>
  <c r="J385" i="10"/>
  <c r="I385" i="10"/>
  <c r="H385" i="10"/>
  <c r="G385" i="10"/>
  <c r="F385" i="10"/>
  <c r="E385" i="10"/>
  <c r="D385" i="10"/>
  <c r="M384" i="10"/>
  <c r="L384" i="10"/>
  <c r="K384" i="10"/>
  <c r="J384" i="10"/>
  <c r="I384" i="10"/>
  <c r="H384" i="10"/>
  <c r="G384" i="10"/>
  <c r="F384" i="10"/>
  <c r="E384" i="10"/>
  <c r="D384" i="10"/>
  <c r="M383" i="10"/>
  <c r="L383" i="10"/>
  <c r="K383" i="10"/>
  <c r="J383" i="10"/>
  <c r="I383" i="10"/>
  <c r="H383" i="10"/>
  <c r="G383" i="10"/>
  <c r="F383" i="10"/>
  <c r="E383" i="10"/>
  <c r="D383" i="10"/>
  <c r="M382" i="10"/>
  <c r="L382" i="10"/>
  <c r="K382" i="10"/>
  <c r="J382" i="10"/>
  <c r="I382" i="10"/>
  <c r="H382" i="10"/>
  <c r="G382" i="10"/>
  <c r="F382" i="10"/>
  <c r="E382" i="10"/>
  <c r="D382" i="10"/>
  <c r="M381" i="10"/>
  <c r="M388" i="10" s="1"/>
  <c r="M389" i="10" s="1"/>
  <c r="L381" i="10"/>
  <c r="L388" i="10" s="1"/>
  <c r="L389" i="10" s="1"/>
  <c r="K381" i="10"/>
  <c r="J381" i="10"/>
  <c r="J388" i="10" s="1"/>
  <c r="J389" i="10" s="1"/>
  <c r="I381" i="10"/>
  <c r="I388" i="10" s="1"/>
  <c r="I389" i="10" s="1"/>
  <c r="H381" i="10"/>
  <c r="H388" i="10" s="1"/>
  <c r="H389" i="10" s="1"/>
  <c r="G381" i="10"/>
  <c r="G388" i="10" s="1"/>
  <c r="G389" i="10" s="1"/>
  <c r="F381" i="10"/>
  <c r="F388" i="10" s="1"/>
  <c r="F389" i="10" s="1"/>
  <c r="E381" i="10"/>
  <c r="E388" i="10" s="1"/>
  <c r="E389" i="10" s="1"/>
  <c r="D381" i="10"/>
  <c r="D388" i="10" s="1"/>
  <c r="D389" i="10" s="1"/>
  <c r="C352" i="10"/>
  <c r="C353" i="10" s="1"/>
  <c r="M350" i="10"/>
  <c r="L350" i="10"/>
  <c r="K350" i="10"/>
  <c r="J350" i="10"/>
  <c r="I350" i="10"/>
  <c r="H350" i="10"/>
  <c r="G350" i="10"/>
  <c r="F350" i="10"/>
  <c r="E350" i="10"/>
  <c r="D350" i="10"/>
  <c r="M349" i="10"/>
  <c r="L349" i="10"/>
  <c r="K349" i="10"/>
  <c r="J349" i="10"/>
  <c r="I349" i="10"/>
  <c r="H349" i="10"/>
  <c r="G349" i="10"/>
  <c r="F349" i="10"/>
  <c r="E349" i="10"/>
  <c r="D349" i="10"/>
  <c r="M348" i="10"/>
  <c r="L348" i="10"/>
  <c r="K348" i="10"/>
  <c r="J348" i="10"/>
  <c r="I348" i="10"/>
  <c r="H348" i="10"/>
  <c r="G348" i="10"/>
  <c r="F348" i="10"/>
  <c r="E348" i="10"/>
  <c r="D348" i="10"/>
  <c r="M347" i="10"/>
  <c r="L347" i="10"/>
  <c r="K347" i="10"/>
  <c r="J347" i="10"/>
  <c r="I347" i="10"/>
  <c r="H347" i="10"/>
  <c r="G347" i="10"/>
  <c r="F347" i="10"/>
  <c r="E347" i="10"/>
  <c r="D347" i="10"/>
  <c r="M346" i="10"/>
  <c r="L346" i="10"/>
  <c r="K346" i="10"/>
  <c r="J346" i="10"/>
  <c r="I346" i="10"/>
  <c r="H346" i="10"/>
  <c r="G346" i="10"/>
  <c r="F346" i="10"/>
  <c r="E346" i="10"/>
  <c r="D346" i="10"/>
  <c r="M345" i="10"/>
  <c r="M352" i="10" s="1"/>
  <c r="M353" i="10" s="1"/>
  <c r="L345" i="10"/>
  <c r="L352" i="10" s="1"/>
  <c r="L353" i="10" s="1"/>
  <c r="K345" i="10"/>
  <c r="K352" i="10" s="1"/>
  <c r="K353" i="10" s="1"/>
  <c r="J345" i="10"/>
  <c r="J352" i="10" s="1"/>
  <c r="J353" i="10" s="1"/>
  <c r="I345" i="10"/>
  <c r="I352" i="10" s="1"/>
  <c r="I353" i="10" s="1"/>
  <c r="H345" i="10"/>
  <c r="G345" i="10"/>
  <c r="G352" i="10" s="1"/>
  <c r="G353" i="10" s="1"/>
  <c r="F345" i="10"/>
  <c r="F352" i="10" s="1"/>
  <c r="F353" i="10" s="1"/>
  <c r="E345" i="10"/>
  <c r="E352" i="10" s="1"/>
  <c r="E353" i="10" s="1"/>
  <c r="D345" i="10"/>
  <c r="D352" i="10" s="1"/>
  <c r="D353" i="10" s="1"/>
  <c r="K388" i="10" l="1"/>
  <c r="K389" i="10" s="1"/>
  <c r="H652" i="10"/>
  <c r="H653" i="10" s="1"/>
  <c r="D422" i="10"/>
  <c r="D423" i="10" s="1"/>
  <c r="F422" i="10"/>
  <c r="F423" i="10" s="1"/>
  <c r="H422" i="10"/>
  <c r="H423" i="10" s="1"/>
  <c r="J422" i="10"/>
  <c r="J423" i="10" s="1"/>
  <c r="L422" i="10"/>
  <c r="L423" i="10" s="1"/>
  <c r="E422" i="10"/>
  <c r="E423" i="10" s="1"/>
  <c r="G422" i="10"/>
  <c r="G423" i="10" s="1"/>
  <c r="K422" i="10"/>
  <c r="K423" i="10" s="1"/>
  <c r="M422" i="10"/>
  <c r="M423" i="10" s="1"/>
  <c r="D484" i="10"/>
  <c r="D485" i="10" s="1"/>
  <c r="F484" i="10"/>
  <c r="F485" i="10" s="1"/>
  <c r="H484" i="10"/>
  <c r="H485" i="10" s="1"/>
  <c r="J484" i="10"/>
  <c r="J485" i="10" s="1"/>
  <c r="E652" i="10"/>
  <c r="E653" i="10" s="1"/>
  <c r="L484" i="10"/>
  <c r="L485" i="10" s="1"/>
  <c r="H352" i="10"/>
  <c r="H353" i="10" s="1"/>
  <c r="E484" i="10"/>
  <c r="E485" i="10" s="1"/>
  <c r="G484" i="10"/>
  <c r="G485" i="10" s="1"/>
  <c r="I484" i="10"/>
  <c r="I485" i="10" s="1"/>
  <c r="K484" i="10"/>
  <c r="K485" i="10" s="1"/>
  <c r="M484" i="10"/>
  <c r="M485" i="10" s="1"/>
  <c r="I422" i="10"/>
  <c r="I423" i="10" s="1"/>
  <c r="M262" i="10"/>
  <c r="L262" i="10"/>
  <c r="K262" i="10"/>
  <c r="J262" i="10"/>
  <c r="I262" i="10"/>
  <c r="H262" i="10"/>
  <c r="G262" i="10"/>
  <c r="F262" i="10"/>
  <c r="E262" i="10"/>
  <c r="D262" i="10"/>
  <c r="N16" i="12"/>
  <c r="V16" i="12" s="1"/>
  <c r="N10" i="12" l="1"/>
  <c r="AO10" i="12" s="1"/>
  <c r="AE10" i="12"/>
  <c r="M287" i="10"/>
  <c r="L287" i="10"/>
  <c r="K287" i="10"/>
  <c r="J287" i="10"/>
  <c r="I287" i="10"/>
  <c r="G287" i="10"/>
  <c r="F287" i="10"/>
  <c r="E287" i="10"/>
  <c r="D287" i="10"/>
  <c r="H287" i="10"/>
  <c r="AJ10" i="12" l="1"/>
  <c r="M286" i="10"/>
  <c r="L286" i="10"/>
  <c r="K286" i="10"/>
  <c r="J286" i="10"/>
  <c r="I286" i="10"/>
  <c r="H286" i="10"/>
  <c r="G286" i="10"/>
  <c r="F286" i="10"/>
  <c r="E286" i="10"/>
  <c r="D286" i="10"/>
  <c r="M258" i="10"/>
  <c r="L258" i="10"/>
  <c r="K258" i="10"/>
  <c r="J258" i="10"/>
  <c r="I258" i="10"/>
  <c r="H258" i="10"/>
  <c r="G258" i="10"/>
  <c r="F258" i="10"/>
  <c r="E258" i="10"/>
  <c r="D258" i="10"/>
  <c r="M259" i="10" l="1"/>
  <c r="L259" i="10"/>
  <c r="K259" i="10"/>
  <c r="J259" i="10"/>
  <c r="I259" i="10"/>
  <c r="H259" i="10"/>
  <c r="G259" i="10"/>
  <c r="F259" i="10"/>
  <c r="E259" i="10"/>
  <c r="D259" i="10"/>
  <c r="M257" i="10"/>
  <c r="L257" i="10"/>
  <c r="K257" i="10"/>
  <c r="J257" i="10"/>
  <c r="I257" i="10"/>
  <c r="G257" i="10"/>
  <c r="F257" i="10"/>
  <c r="E257" i="10"/>
  <c r="D257" i="10"/>
  <c r="H257" i="10"/>
  <c r="M230" i="10" l="1"/>
  <c r="L230" i="10"/>
  <c r="K230" i="10"/>
  <c r="J230" i="10"/>
  <c r="I230" i="10"/>
  <c r="H230" i="10"/>
  <c r="G230" i="10"/>
  <c r="F230" i="10"/>
  <c r="E230" i="10"/>
  <c r="D230" i="10"/>
  <c r="M227" i="10"/>
  <c r="L227" i="10"/>
  <c r="K227" i="10"/>
  <c r="J227" i="10"/>
  <c r="I227" i="10"/>
  <c r="H227" i="10"/>
  <c r="G227" i="10"/>
  <c r="F227" i="10"/>
  <c r="E227" i="10"/>
  <c r="D227" i="10"/>
  <c r="M197" i="10"/>
  <c r="L197" i="10"/>
  <c r="K197" i="10"/>
  <c r="J197" i="10"/>
  <c r="I197" i="10"/>
  <c r="H197" i="10"/>
  <c r="G197" i="10"/>
  <c r="F197" i="10"/>
  <c r="E197" i="10"/>
  <c r="D197" i="10"/>
  <c r="M170" i="10"/>
  <c r="L170" i="10"/>
  <c r="K170" i="10"/>
  <c r="J170" i="10"/>
  <c r="I170" i="10"/>
  <c r="H170" i="10"/>
  <c r="G170" i="10"/>
  <c r="F170" i="10"/>
  <c r="E170" i="10"/>
  <c r="D170" i="10"/>
  <c r="M77" i="10" l="1"/>
  <c r="L77" i="10"/>
  <c r="K77" i="10"/>
  <c r="J77" i="10"/>
  <c r="I77" i="10"/>
  <c r="H77" i="10"/>
  <c r="G77" i="10"/>
  <c r="F77" i="10"/>
  <c r="E77" i="10"/>
  <c r="D77" i="10"/>
  <c r="M50" i="10"/>
  <c r="L50" i="10"/>
  <c r="K50" i="10"/>
  <c r="J50" i="10"/>
  <c r="I50" i="10"/>
  <c r="H50" i="10"/>
  <c r="G50" i="10"/>
  <c r="F50" i="10"/>
  <c r="E50" i="10"/>
  <c r="D50" i="10"/>
  <c r="M21" i="10" l="1"/>
  <c r="L21" i="10"/>
  <c r="K21" i="10"/>
  <c r="J21" i="10"/>
  <c r="I21" i="10"/>
  <c r="H21" i="10"/>
  <c r="G21" i="10"/>
  <c r="F21" i="10"/>
  <c r="E21" i="10"/>
  <c r="D21" i="10"/>
  <c r="N38" i="12" l="1"/>
  <c r="N48" i="12"/>
  <c r="N26" i="12"/>
  <c r="N32" i="12"/>
  <c r="AH38" i="12" l="1"/>
  <c r="S38" i="12"/>
  <c r="Y38" i="12"/>
  <c r="AK38" i="12"/>
  <c r="U38" i="12"/>
  <c r="AB38" i="12"/>
  <c r="AP38" i="12"/>
  <c r="AA32" i="12"/>
  <c r="AP32" i="12"/>
  <c r="U32" i="12"/>
  <c r="U48" i="12"/>
  <c r="T48" i="12"/>
  <c r="AG48" i="12"/>
  <c r="V26" i="12"/>
  <c r="AA26" i="12"/>
  <c r="AB26" i="12"/>
  <c r="AK26" i="12"/>
  <c r="AP26" i="12"/>
  <c r="W26" i="12"/>
  <c r="M291" i="10"/>
  <c r="L291" i="10"/>
  <c r="K291" i="10"/>
  <c r="J291" i="10"/>
  <c r="I291" i="10"/>
  <c r="H291" i="10"/>
  <c r="G291" i="10"/>
  <c r="F291" i="10"/>
  <c r="E291" i="10"/>
  <c r="D291" i="10"/>
  <c r="M290" i="10"/>
  <c r="L290" i="10"/>
  <c r="K290" i="10"/>
  <c r="J290" i="10"/>
  <c r="I290" i="10"/>
  <c r="H290" i="10"/>
  <c r="G290" i="10"/>
  <c r="F290" i="10"/>
  <c r="E290" i="10"/>
  <c r="D290" i="10"/>
  <c r="M288" i="10"/>
  <c r="L288" i="10"/>
  <c r="K288" i="10"/>
  <c r="J288" i="10"/>
  <c r="I288" i="10"/>
  <c r="H288" i="10"/>
  <c r="G288" i="10"/>
  <c r="F288" i="10"/>
  <c r="E288" i="10"/>
  <c r="D288" i="10"/>
  <c r="M282" i="10"/>
  <c r="L282" i="10"/>
  <c r="K282" i="10"/>
  <c r="J282" i="10"/>
  <c r="I282" i="10"/>
  <c r="H282" i="10"/>
  <c r="G282" i="10"/>
  <c r="F282" i="10"/>
  <c r="E282" i="10"/>
  <c r="D282" i="10"/>
  <c r="M281" i="10"/>
  <c r="L281" i="10"/>
  <c r="K281" i="10"/>
  <c r="J281" i="10"/>
  <c r="I281" i="10"/>
  <c r="H281" i="10"/>
  <c r="G281" i="10"/>
  <c r="F281" i="10"/>
  <c r="E281" i="10"/>
  <c r="D281" i="10"/>
  <c r="M280" i="10"/>
  <c r="L280" i="10"/>
  <c r="K280" i="10"/>
  <c r="J280" i="10"/>
  <c r="I280" i="10"/>
  <c r="H280" i="10"/>
  <c r="G280" i="10"/>
  <c r="F280" i="10"/>
  <c r="E280" i="10"/>
  <c r="D280" i="10"/>
  <c r="M278" i="10"/>
  <c r="L278" i="10"/>
  <c r="K278" i="10"/>
  <c r="J278" i="10"/>
  <c r="I278" i="10"/>
  <c r="H278" i="10"/>
  <c r="G278" i="10"/>
  <c r="F278" i="10"/>
  <c r="E278" i="10"/>
  <c r="D278" i="10"/>
  <c r="M277" i="10"/>
  <c r="L277" i="10"/>
  <c r="K277" i="10"/>
  <c r="J277" i="10"/>
  <c r="I277" i="10"/>
  <c r="H277" i="10"/>
  <c r="G277" i="10"/>
  <c r="F277" i="10"/>
  <c r="E277" i="10"/>
  <c r="D277" i="10"/>
  <c r="M261" i="10"/>
  <c r="L261" i="10"/>
  <c r="K261" i="10"/>
  <c r="J261" i="10"/>
  <c r="I261" i="10"/>
  <c r="H261" i="10"/>
  <c r="G261" i="10"/>
  <c r="F261" i="10"/>
  <c r="E261" i="10"/>
  <c r="D261" i="10"/>
  <c r="M260" i="10"/>
  <c r="L260" i="10"/>
  <c r="K260" i="10"/>
  <c r="J260" i="10"/>
  <c r="I260" i="10"/>
  <c r="H260" i="10"/>
  <c r="G260" i="10"/>
  <c r="F260" i="10"/>
  <c r="E260" i="10"/>
  <c r="D260" i="10"/>
  <c r="M256" i="10"/>
  <c r="L256" i="10"/>
  <c r="K256" i="10"/>
  <c r="J256" i="10"/>
  <c r="I256" i="10"/>
  <c r="H256" i="10"/>
  <c r="G256" i="10"/>
  <c r="F256" i="10"/>
  <c r="E256" i="10"/>
  <c r="D256" i="10"/>
  <c r="M252" i="10"/>
  <c r="L252" i="10"/>
  <c r="K252" i="10"/>
  <c r="J252" i="10"/>
  <c r="I252" i="10"/>
  <c r="H252" i="10"/>
  <c r="G252" i="10"/>
  <c r="F252" i="10"/>
  <c r="E252" i="10"/>
  <c r="D252" i="10"/>
  <c r="M251" i="10"/>
  <c r="L251" i="10"/>
  <c r="K251" i="10"/>
  <c r="J251" i="10"/>
  <c r="I251" i="10"/>
  <c r="H251" i="10"/>
  <c r="G251" i="10"/>
  <c r="F251" i="10"/>
  <c r="E251" i="10"/>
  <c r="D251" i="10"/>
  <c r="M250" i="10"/>
  <c r="L250" i="10"/>
  <c r="K250" i="10"/>
  <c r="J250" i="10"/>
  <c r="I250" i="10"/>
  <c r="H250" i="10"/>
  <c r="G250" i="10"/>
  <c r="F250" i="10"/>
  <c r="E250" i="10"/>
  <c r="D250" i="10"/>
  <c r="M249" i="10"/>
  <c r="L249" i="10"/>
  <c r="K249" i="10"/>
  <c r="J249" i="10"/>
  <c r="I249" i="10"/>
  <c r="H249" i="10"/>
  <c r="G249" i="10"/>
  <c r="F249" i="10"/>
  <c r="E249" i="10"/>
  <c r="D249" i="10"/>
  <c r="M248" i="10"/>
  <c r="L248" i="10"/>
  <c r="K248" i="10"/>
  <c r="J248" i="10"/>
  <c r="I248" i="10"/>
  <c r="H248" i="10"/>
  <c r="G248" i="10"/>
  <c r="F248" i="10"/>
  <c r="E248" i="10"/>
  <c r="D248" i="10"/>
  <c r="M233" i="10" l="1"/>
  <c r="L233" i="10"/>
  <c r="K233" i="10"/>
  <c r="J233" i="10"/>
  <c r="I233" i="10"/>
  <c r="H233" i="10"/>
  <c r="G233" i="10"/>
  <c r="F233" i="10"/>
  <c r="E233" i="10"/>
  <c r="D233" i="10"/>
  <c r="M232" i="10"/>
  <c r="L232" i="10"/>
  <c r="K232" i="10"/>
  <c r="J232" i="10"/>
  <c r="I232" i="10"/>
  <c r="H232" i="10"/>
  <c r="G232" i="10"/>
  <c r="F232" i="10"/>
  <c r="E232" i="10"/>
  <c r="D232" i="10"/>
  <c r="M231" i="10"/>
  <c r="L231" i="10"/>
  <c r="K231" i="10"/>
  <c r="J231" i="10"/>
  <c r="I231" i="10"/>
  <c r="H231" i="10"/>
  <c r="G231" i="10"/>
  <c r="F231" i="10"/>
  <c r="E231" i="10"/>
  <c r="D231" i="10"/>
  <c r="M229" i="10"/>
  <c r="L229" i="10"/>
  <c r="K229" i="10"/>
  <c r="J229" i="10"/>
  <c r="I229" i="10"/>
  <c r="H229" i="10"/>
  <c r="G229" i="10"/>
  <c r="F229" i="10"/>
  <c r="E229" i="10"/>
  <c r="D229" i="10"/>
  <c r="M228" i="10"/>
  <c r="L228" i="10"/>
  <c r="K228" i="10"/>
  <c r="J228" i="10"/>
  <c r="I228" i="10"/>
  <c r="H228" i="10"/>
  <c r="G228" i="10"/>
  <c r="F228" i="10"/>
  <c r="E228" i="10"/>
  <c r="D228" i="10"/>
  <c r="C224" i="10"/>
  <c r="M221" i="10"/>
  <c r="L221" i="10"/>
  <c r="K221" i="10"/>
  <c r="J221" i="10"/>
  <c r="I221" i="10"/>
  <c r="H221" i="10"/>
  <c r="G221" i="10"/>
  <c r="F221" i="10"/>
  <c r="E221" i="10"/>
  <c r="D221" i="10"/>
  <c r="M220" i="10"/>
  <c r="L220" i="10"/>
  <c r="K220" i="10"/>
  <c r="J220" i="10"/>
  <c r="I220" i="10"/>
  <c r="H220" i="10"/>
  <c r="G220" i="10"/>
  <c r="F220" i="10"/>
  <c r="E220" i="10"/>
  <c r="D220" i="10"/>
  <c r="M219" i="10"/>
  <c r="L219" i="10"/>
  <c r="K219" i="10"/>
  <c r="J219" i="10"/>
  <c r="I219" i="10"/>
  <c r="H219" i="10"/>
  <c r="G219" i="10"/>
  <c r="F219" i="10"/>
  <c r="E219" i="10"/>
  <c r="D219" i="10"/>
  <c r="M202" i="10"/>
  <c r="L202" i="10"/>
  <c r="K202" i="10"/>
  <c r="J202" i="10"/>
  <c r="I202" i="10"/>
  <c r="H202" i="10"/>
  <c r="G202" i="10"/>
  <c r="F202" i="10"/>
  <c r="E202" i="10"/>
  <c r="D202" i="10"/>
  <c r="M201" i="10"/>
  <c r="L201" i="10"/>
  <c r="K201" i="10"/>
  <c r="J201" i="10"/>
  <c r="I201" i="10"/>
  <c r="H201" i="10"/>
  <c r="G201" i="10"/>
  <c r="F201" i="10"/>
  <c r="E201" i="10"/>
  <c r="D201" i="10"/>
  <c r="M200" i="10"/>
  <c r="L200" i="10"/>
  <c r="K200" i="10"/>
  <c r="J200" i="10"/>
  <c r="I200" i="10"/>
  <c r="H200" i="10"/>
  <c r="G200" i="10"/>
  <c r="F200" i="10"/>
  <c r="E200" i="10"/>
  <c r="D200" i="10"/>
  <c r="M199" i="10"/>
  <c r="L199" i="10"/>
  <c r="K199" i="10"/>
  <c r="J199" i="10"/>
  <c r="I199" i="10"/>
  <c r="H199" i="10"/>
  <c r="G199" i="10"/>
  <c r="F199" i="10"/>
  <c r="E199" i="10"/>
  <c r="D199" i="10"/>
  <c r="M198" i="10"/>
  <c r="L198" i="10"/>
  <c r="K198" i="10"/>
  <c r="J198" i="10"/>
  <c r="I198" i="10"/>
  <c r="H198" i="10"/>
  <c r="G198" i="10"/>
  <c r="F198" i="10"/>
  <c r="E198" i="10"/>
  <c r="D198" i="10"/>
  <c r="M192" i="10"/>
  <c r="L192" i="10"/>
  <c r="K192" i="10"/>
  <c r="J192" i="10"/>
  <c r="I192" i="10"/>
  <c r="H192" i="10"/>
  <c r="G192" i="10"/>
  <c r="F192" i="10"/>
  <c r="E192" i="10"/>
  <c r="D192" i="10"/>
  <c r="M191" i="10"/>
  <c r="L191" i="10"/>
  <c r="K191" i="10"/>
  <c r="J191" i="10"/>
  <c r="I191" i="10"/>
  <c r="H191" i="10"/>
  <c r="G191" i="10"/>
  <c r="F191" i="10"/>
  <c r="E191" i="10"/>
  <c r="D191" i="10"/>
  <c r="M190" i="10"/>
  <c r="L190" i="10"/>
  <c r="K190" i="10"/>
  <c r="J190" i="10"/>
  <c r="I190" i="10"/>
  <c r="H190" i="10"/>
  <c r="G190" i="10"/>
  <c r="F190" i="10"/>
  <c r="E190" i="10"/>
  <c r="D190" i="10"/>
  <c r="M189" i="10"/>
  <c r="L189" i="10"/>
  <c r="K189" i="10"/>
  <c r="J189" i="10"/>
  <c r="I189" i="10"/>
  <c r="H189" i="10"/>
  <c r="G189" i="10"/>
  <c r="F189" i="10"/>
  <c r="E189" i="10"/>
  <c r="D189" i="10"/>
  <c r="M188" i="10"/>
  <c r="L188" i="10"/>
  <c r="K188" i="10"/>
  <c r="J188" i="10"/>
  <c r="I188" i="10"/>
  <c r="H188" i="10"/>
  <c r="G188" i="10"/>
  <c r="F188" i="10"/>
  <c r="E188" i="10"/>
  <c r="D188" i="10"/>
  <c r="M169" i="10"/>
  <c r="L169" i="10"/>
  <c r="K169" i="10"/>
  <c r="J169" i="10"/>
  <c r="I169" i="10"/>
  <c r="H169" i="10"/>
  <c r="G169" i="10"/>
  <c r="F169" i="10"/>
  <c r="E169" i="10"/>
  <c r="D169" i="10"/>
  <c r="M224" i="10" l="1"/>
  <c r="I224" i="10"/>
  <c r="K224" i="10"/>
  <c r="F224" i="10"/>
  <c r="E224" i="10"/>
  <c r="G224" i="10"/>
  <c r="J224" i="10"/>
  <c r="D224" i="10"/>
  <c r="H224" i="10"/>
  <c r="L224" i="10"/>
  <c r="M172" i="10"/>
  <c r="L172" i="10"/>
  <c r="K172" i="10"/>
  <c r="J172" i="10"/>
  <c r="I172" i="10"/>
  <c r="H172" i="10"/>
  <c r="G172" i="10"/>
  <c r="F172" i="10"/>
  <c r="E172" i="10"/>
  <c r="D172" i="10"/>
  <c r="M171" i="10"/>
  <c r="L171" i="10"/>
  <c r="K171" i="10"/>
  <c r="J171" i="10"/>
  <c r="I171" i="10"/>
  <c r="H171" i="10"/>
  <c r="G171" i="10"/>
  <c r="F171" i="10"/>
  <c r="E171" i="10"/>
  <c r="D171" i="10"/>
  <c r="M168" i="10"/>
  <c r="L168" i="10"/>
  <c r="K168" i="10"/>
  <c r="J168" i="10"/>
  <c r="I168" i="10"/>
  <c r="G168" i="10"/>
  <c r="F168" i="10"/>
  <c r="E168" i="10"/>
  <c r="D168" i="10"/>
  <c r="M167" i="10"/>
  <c r="L167" i="10"/>
  <c r="K167" i="10"/>
  <c r="J167" i="10"/>
  <c r="I167" i="10"/>
  <c r="H167" i="10"/>
  <c r="G167" i="10"/>
  <c r="F167" i="10"/>
  <c r="E167" i="10"/>
  <c r="D167" i="10"/>
  <c r="M161" i="10"/>
  <c r="L161" i="10"/>
  <c r="K161" i="10"/>
  <c r="J161" i="10"/>
  <c r="I161" i="10"/>
  <c r="H161" i="10"/>
  <c r="G161" i="10"/>
  <c r="F161" i="10"/>
  <c r="E161" i="10"/>
  <c r="D161" i="10"/>
  <c r="M160" i="10"/>
  <c r="L160" i="10"/>
  <c r="K160" i="10"/>
  <c r="J160" i="10"/>
  <c r="I160" i="10"/>
  <c r="H160" i="10"/>
  <c r="G160" i="10"/>
  <c r="F160" i="10"/>
  <c r="E160" i="10"/>
  <c r="D160" i="10"/>
  <c r="M159" i="10"/>
  <c r="L159" i="10"/>
  <c r="K159" i="10"/>
  <c r="J159" i="10"/>
  <c r="I159" i="10"/>
  <c r="H159" i="10"/>
  <c r="G159" i="10"/>
  <c r="F159" i="10"/>
  <c r="E159" i="10"/>
  <c r="D159" i="10"/>
  <c r="M157" i="10"/>
  <c r="L157" i="10"/>
  <c r="K157" i="10"/>
  <c r="J157" i="10"/>
  <c r="I157" i="10"/>
  <c r="H157" i="10"/>
  <c r="G157" i="10"/>
  <c r="F157" i="10"/>
  <c r="E157" i="10"/>
  <c r="D157" i="10"/>
  <c r="M142" i="10"/>
  <c r="L142" i="10"/>
  <c r="K142" i="10"/>
  <c r="J142" i="10"/>
  <c r="I142" i="10"/>
  <c r="H142" i="10"/>
  <c r="G142" i="10"/>
  <c r="F142" i="10"/>
  <c r="E142" i="10"/>
  <c r="D142" i="10"/>
  <c r="M141" i="10"/>
  <c r="L141" i="10"/>
  <c r="K141" i="10"/>
  <c r="J141" i="10"/>
  <c r="I141" i="10"/>
  <c r="H141" i="10"/>
  <c r="G141" i="10"/>
  <c r="F141" i="10"/>
  <c r="E141" i="10"/>
  <c r="D141" i="10"/>
  <c r="M140" i="10"/>
  <c r="L140" i="10"/>
  <c r="K140" i="10"/>
  <c r="J140" i="10"/>
  <c r="I140" i="10"/>
  <c r="H140" i="10"/>
  <c r="G140" i="10"/>
  <c r="F140" i="10"/>
  <c r="E140" i="10"/>
  <c r="D140" i="10"/>
  <c r="M133" i="10"/>
  <c r="L133" i="10"/>
  <c r="K133" i="10"/>
  <c r="J133" i="10"/>
  <c r="I133" i="10"/>
  <c r="H133" i="10"/>
  <c r="G133" i="10"/>
  <c r="F133" i="10"/>
  <c r="E133" i="10"/>
  <c r="D133" i="10"/>
  <c r="M132" i="10"/>
  <c r="L132" i="10"/>
  <c r="K132" i="10"/>
  <c r="J132" i="10"/>
  <c r="I132" i="10"/>
  <c r="H132" i="10"/>
  <c r="G132" i="10"/>
  <c r="F132" i="10"/>
  <c r="E132" i="10"/>
  <c r="D132" i="10"/>
  <c r="M131" i="10"/>
  <c r="L131" i="10"/>
  <c r="K131" i="10"/>
  <c r="J131" i="10"/>
  <c r="I131" i="10"/>
  <c r="H131" i="10"/>
  <c r="G131" i="10"/>
  <c r="F131" i="10"/>
  <c r="E131" i="10"/>
  <c r="D131" i="10"/>
  <c r="M130" i="10"/>
  <c r="L130" i="10"/>
  <c r="K130" i="10"/>
  <c r="J130" i="10"/>
  <c r="I130" i="10"/>
  <c r="H130" i="10"/>
  <c r="G130" i="10"/>
  <c r="F130" i="10"/>
  <c r="E130" i="10"/>
  <c r="D130" i="10"/>
  <c r="M129" i="10"/>
  <c r="L129" i="10"/>
  <c r="K129" i="10"/>
  <c r="J129" i="10"/>
  <c r="I129" i="10"/>
  <c r="H129" i="10"/>
  <c r="G129" i="10"/>
  <c r="F129" i="10"/>
  <c r="E129" i="10"/>
  <c r="D129" i="10"/>
  <c r="M128" i="10" l="1"/>
  <c r="L128" i="10"/>
  <c r="K128" i="10"/>
  <c r="I128" i="10"/>
  <c r="G128" i="10"/>
  <c r="F128" i="10"/>
  <c r="E128" i="10"/>
  <c r="D128" i="10"/>
  <c r="J128" i="10"/>
  <c r="H128" i="10"/>
  <c r="M127" i="10" l="1"/>
  <c r="L127" i="10"/>
  <c r="K127" i="10"/>
  <c r="J127" i="10"/>
  <c r="I127" i="10"/>
  <c r="H127" i="10"/>
  <c r="G127" i="10"/>
  <c r="F127" i="10"/>
  <c r="E127" i="10"/>
  <c r="D127" i="10"/>
  <c r="M111" i="10"/>
  <c r="L111" i="10"/>
  <c r="K111" i="10"/>
  <c r="J111" i="10"/>
  <c r="I111" i="10"/>
  <c r="H111" i="10"/>
  <c r="G111" i="10"/>
  <c r="F111" i="10"/>
  <c r="E111" i="10"/>
  <c r="D111" i="10"/>
  <c r="M110" i="10"/>
  <c r="L110" i="10"/>
  <c r="K110" i="10"/>
  <c r="J110" i="10"/>
  <c r="I110" i="10"/>
  <c r="H110" i="10"/>
  <c r="G110" i="10"/>
  <c r="F110" i="10"/>
  <c r="E110" i="10"/>
  <c r="D110" i="10"/>
  <c r="M109" i="10"/>
  <c r="L109" i="10"/>
  <c r="K109" i="10"/>
  <c r="J109" i="10"/>
  <c r="I109" i="10"/>
  <c r="H109" i="10"/>
  <c r="G109" i="10"/>
  <c r="F109" i="10"/>
  <c r="E109" i="10"/>
  <c r="D109" i="10"/>
  <c r="M108" i="10"/>
  <c r="L108" i="10"/>
  <c r="K108" i="10"/>
  <c r="J108" i="10"/>
  <c r="I108" i="10"/>
  <c r="H108" i="10"/>
  <c r="G108" i="10"/>
  <c r="F108" i="10"/>
  <c r="E108" i="10"/>
  <c r="D108" i="10"/>
  <c r="M100" i="10"/>
  <c r="L100" i="10"/>
  <c r="K100" i="10"/>
  <c r="J100" i="10"/>
  <c r="I100" i="10"/>
  <c r="H100" i="10"/>
  <c r="G100" i="10"/>
  <c r="F100" i="10"/>
  <c r="E100" i="10"/>
  <c r="D100" i="10"/>
  <c r="M99" i="10"/>
  <c r="L99" i="10"/>
  <c r="K99" i="10"/>
  <c r="J99" i="10"/>
  <c r="I99" i="10"/>
  <c r="H99" i="10"/>
  <c r="G99" i="10"/>
  <c r="F99" i="10"/>
  <c r="E99" i="10"/>
  <c r="D99" i="10"/>
  <c r="J97" i="10"/>
  <c r="M97" i="10"/>
  <c r="L97" i="10"/>
  <c r="K97" i="10"/>
  <c r="I97" i="10"/>
  <c r="H97" i="10"/>
  <c r="G97" i="10"/>
  <c r="F97" i="10"/>
  <c r="E97" i="10"/>
  <c r="D97" i="10"/>
  <c r="M96" i="10" l="1"/>
  <c r="L96" i="10"/>
  <c r="K96" i="10"/>
  <c r="J96" i="10"/>
  <c r="I96" i="10"/>
  <c r="H96" i="10"/>
  <c r="G96" i="10"/>
  <c r="F96" i="10"/>
  <c r="E96" i="10"/>
  <c r="D96" i="10"/>
  <c r="M81" i="10"/>
  <c r="L81" i="10"/>
  <c r="K81" i="10"/>
  <c r="J81" i="10"/>
  <c r="I81" i="10"/>
  <c r="H81" i="10"/>
  <c r="G81" i="10"/>
  <c r="F81" i="10"/>
  <c r="E81" i="10"/>
  <c r="D81" i="10"/>
  <c r="M80" i="10"/>
  <c r="L80" i="10"/>
  <c r="K80" i="10"/>
  <c r="J80" i="10"/>
  <c r="I80" i="10"/>
  <c r="H80" i="10"/>
  <c r="G80" i="10"/>
  <c r="F80" i="10"/>
  <c r="E80" i="10"/>
  <c r="D80" i="10"/>
  <c r="M79" i="10"/>
  <c r="L79" i="10"/>
  <c r="K79" i="10"/>
  <c r="J79" i="10"/>
  <c r="I79" i="10"/>
  <c r="H79" i="10"/>
  <c r="G79" i="10"/>
  <c r="F79" i="10"/>
  <c r="E79" i="10"/>
  <c r="D79" i="10"/>
  <c r="M73" i="10"/>
  <c r="L73" i="10"/>
  <c r="K73" i="10"/>
  <c r="J73" i="10"/>
  <c r="I73" i="10"/>
  <c r="H73" i="10"/>
  <c r="G73" i="10"/>
  <c r="F73" i="10"/>
  <c r="E73" i="10"/>
  <c r="D73" i="10"/>
  <c r="M72" i="10"/>
  <c r="L72" i="10"/>
  <c r="K72" i="10"/>
  <c r="J72" i="10"/>
  <c r="I72" i="10"/>
  <c r="H72" i="10"/>
  <c r="G72" i="10"/>
  <c r="F72" i="10"/>
  <c r="E72" i="10"/>
  <c r="D72" i="10"/>
  <c r="M69" i="10"/>
  <c r="L69" i="10"/>
  <c r="K69" i="10"/>
  <c r="J69" i="10"/>
  <c r="I69" i="10"/>
  <c r="G69" i="10"/>
  <c r="F69" i="10"/>
  <c r="E69" i="10"/>
  <c r="D69" i="10"/>
  <c r="M52" i="10" l="1"/>
  <c r="L52" i="10"/>
  <c r="K52" i="10"/>
  <c r="J52" i="10"/>
  <c r="I52" i="10"/>
  <c r="H52" i="10"/>
  <c r="G52" i="10"/>
  <c r="F52" i="10"/>
  <c r="E52" i="10"/>
  <c r="D52" i="10"/>
  <c r="M51" i="10"/>
  <c r="L51" i="10"/>
  <c r="K51" i="10"/>
  <c r="J51" i="10"/>
  <c r="I51" i="10"/>
  <c r="H51" i="10"/>
  <c r="G51" i="10"/>
  <c r="F51" i="10"/>
  <c r="E51" i="10"/>
  <c r="D51" i="10"/>
  <c r="M49" i="10" l="1"/>
  <c r="L49" i="10"/>
  <c r="K49" i="10"/>
  <c r="J49" i="10"/>
  <c r="I49" i="10"/>
  <c r="H49" i="10"/>
  <c r="G49" i="10"/>
  <c r="F49" i="10"/>
  <c r="E49" i="10"/>
  <c r="D49" i="10"/>
  <c r="M43" i="10"/>
  <c r="L43" i="10"/>
  <c r="K43" i="10"/>
  <c r="J43" i="10"/>
  <c r="I43" i="10"/>
  <c r="H43" i="10"/>
  <c r="G43" i="10"/>
  <c r="F43" i="10"/>
  <c r="E43" i="10"/>
  <c r="D43" i="10"/>
  <c r="M42" i="10"/>
  <c r="L42" i="10"/>
  <c r="K42" i="10"/>
  <c r="J42" i="10"/>
  <c r="I42" i="10"/>
  <c r="H42" i="10"/>
  <c r="G42" i="10"/>
  <c r="F42" i="10"/>
  <c r="E42" i="10"/>
  <c r="D42" i="10"/>
  <c r="M23" i="10" l="1"/>
  <c r="L23" i="10"/>
  <c r="K23" i="10"/>
  <c r="J23" i="10"/>
  <c r="I23" i="10"/>
  <c r="H23" i="10"/>
  <c r="G23" i="10"/>
  <c r="F23" i="10"/>
  <c r="E23" i="10"/>
  <c r="D23" i="10"/>
  <c r="M22" i="10"/>
  <c r="L22" i="10"/>
  <c r="K22" i="10"/>
  <c r="J22" i="10"/>
  <c r="I22" i="10"/>
  <c r="H22" i="10"/>
  <c r="G22" i="10"/>
  <c r="F22" i="10"/>
  <c r="E22" i="10"/>
  <c r="D22" i="10"/>
  <c r="M20" i="10"/>
  <c r="L20" i="10"/>
  <c r="K20" i="10"/>
  <c r="J20" i="10"/>
  <c r="I20" i="10"/>
  <c r="H20" i="10"/>
  <c r="G20" i="10"/>
  <c r="F20" i="10"/>
  <c r="E20" i="10"/>
  <c r="D20" i="10"/>
  <c r="M19" i="10"/>
  <c r="L19" i="10"/>
  <c r="K19" i="10"/>
  <c r="J19" i="10"/>
  <c r="I19" i="10"/>
  <c r="H19" i="10"/>
  <c r="G19" i="10"/>
  <c r="F19" i="10"/>
  <c r="E19" i="10"/>
  <c r="D19" i="10"/>
  <c r="M13" i="10"/>
  <c r="L13" i="10"/>
  <c r="K13" i="10"/>
  <c r="J13" i="10"/>
  <c r="I13" i="10"/>
  <c r="H13" i="10"/>
  <c r="G13" i="10"/>
  <c r="F13" i="10"/>
  <c r="E13" i="10"/>
  <c r="D13" i="10"/>
  <c r="N2" i="12" l="1"/>
  <c r="Q2" i="12" l="1"/>
  <c r="AP2" i="12"/>
  <c r="AO2" i="12"/>
  <c r="AF2" i="12"/>
  <c r="N18" i="12" l="1"/>
  <c r="AC18" i="12" s="1"/>
  <c r="N14" i="12" l="1"/>
  <c r="U14" i="12" s="1"/>
  <c r="M33" i="11" l="1"/>
  <c r="O33" i="11" s="1"/>
  <c r="M34" i="11"/>
  <c r="O34" i="11" s="1"/>
  <c r="M35" i="11"/>
  <c r="O35" i="11" s="1"/>
  <c r="M36" i="11"/>
  <c r="O36" i="11" s="1"/>
  <c r="O37" i="11"/>
  <c r="M38" i="11"/>
  <c r="O38" i="11" s="1"/>
  <c r="M39" i="11"/>
  <c r="O39" i="11" s="1"/>
  <c r="M40" i="11"/>
  <c r="O40" i="11" s="1"/>
  <c r="M41" i="11"/>
  <c r="O41" i="11" s="1"/>
  <c r="M42" i="11"/>
  <c r="O42" i="11" s="1"/>
  <c r="M43" i="11"/>
  <c r="O43" i="11" s="1"/>
  <c r="M44" i="11"/>
  <c r="O44" i="11" s="1"/>
  <c r="M45" i="11"/>
  <c r="O45" i="11" s="1"/>
  <c r="M46" i="11"/>
  <c r="O46" i="11" s="1"/>
  <c r="M47" i="11"/>
  <c r="O47" i="11" s="1"/>
  <c r="M48" i="11"/>
  <c r="O48" i="11" s="1"/>
  <c r="M49" i="11"/>
  <c r="O49" i="11" s="1"/>
  <c r="M50" i="11"/>
  <c r="O50" i="11" s="1"/>
  <c r="M51" i="11"/>
  <c r="O51" i="11" s="1"/>
  <c r="M52" i="11"/>
  <c r="O52" i="11" s="1"/>
  <c r="M53" i="11"/>
  <c r="O53" i="11" s="1"/>
  <c r="M54" i="11"/>
  <c r="O54" i="11" s="1"/>
  <c r="M55" i="11"/>
  <c r="O55" i="11" s="1"/>
  <c r="M56" i="11"/>
  <c r="O56" i="11" s="1"/>
  <c r="M57" i="11"/>
  <c r="O57" i="11" s="1"/>
  <c r="M58" i="11"/>
  <c r="O58" i="11" s="1"/>
  <c r="M59" i="11"/>
  <c r="O59" i="11" s="1"/>
  <c r="M60" i="11"/>
  <c r="O60" i="11" s="1"/>
  <c r="M32" i="11"/>
  <c r="O32" i="11" l="1"/>
  <c r="N49" i="12"/>
  <c r="N47" i="12"/>
  <c r="N46" i="12"/>
  <c r="N45" i="12"/>
  <c r="N44" i="12"/>
  <c r="N43" i="12"/>
  <c r="Q43" i="12" s="1"/>
  <c r="N42" i="12"/>
  <c r="N41" i="12"/>
  <c r="N40" i="12"/>
  <c r="N39" i="12"/>
  <c r="N37" i="12"/>
  <c r="N36" i="12"/>
  <c r="N35" i="12"/>
  <c r="N34" i="12"/>
  <c r="N33" i="12"/>
  <c r="N31" i="12"/>
  <c r="N30" i="12"/>
  <c r="N29" i="12"/>
  <c r="N28" i="12"/>
  <c r="N27" i="12"/>
  <c r="N25" i="12"/>
  <c r="N24" i="12"/>
  <c r="N23" i="12"/>
  <c r="N22" i="12"/>
  <c r="N21" i="12"/>
  <c r="AB21" i="12" s="1"/>
  <c r="N20" i="12"/>
  <c r="AB20" i="12" s="1"/>
  <c r="N19" i="12"/>
  <c r="AS19" i="12" s="1"/>
  <c r="AS51" i="12" s="1"/>
  <c r="N17" i="12"/>
  <c r="AC17" i="12" s="1"/>
  <c r="N15" i="12"/>
  <c r="N13" i="12"/>
  <c r="U13" i="12" s="1"/>
  <c r="N12" i="12"/>
  <c r="AR12" i="12" s="1"/>
  <c r="N11" i="12"/>
  <c r="AQ11" i="12" s="1"/>
  <c r="N9" i="12"/>
  <c r="N8" i="12"/>
  <c r="N7" i="12"/>
  <c r="AE7" i="12" s="1"/>
  <c r="Q6" i="12"/>
  <c r="N5" i="12"/>
  <c r="AN5" i="12" s="1"/>
  <c r="N4" i="12"/>
  <c r="N3" i="12"/>
  <c r="AB39" i="12" l="1"/>
  <c r="AK39" i="12"/>
  <c r="AH39" i="12"/>
  <c r="W39" i="12"/>
  <c r="AA39" i="12"/>
  <c r="AP39" i="12"/>
  <c r="S47" i="12"/>
  <c r="AH47" i="12"/>
  <c r="W47" i="12"/>
  <c r="AK47" i="12"/>
  <c r="AO23" i="12"/>
  <c r="AB23" i="12"/>
  <c r="AK28" i="12"/>
  <c r="AA28" i="12"/>
  <c r="AP28" i="12"/>
  <c r="AB28" i="12"/>
  <c r="AF28" i="12"/>
  <c r="AO8" i="12"/>
  <c r="AD8" i="12"/>
  <c r="AK24" i="12"/>
  <c r="AH24" i="12"/>
  <c r="AB24" i="12"/>
  <c r="AP24" i="12"/>
  <c r="AP29" i="12"/>
  <c r="AA29" i="12"/>
  <c r="AK29" i="12"/>
  <c r="AG29" i="12"/>
  <c r="AB29" i="12"/>
  <c r="AO46" i="12"/>
  <c r="U46" i="12"/>
  <c r="AP46" i="12"/>
  <c r="AH46" i="12"/>
  <c r="AB46" i="12"/>
  <c r="AO9" i="12"/>
  <c r="AC9" i="12"/>
  <c r="AK25" i="12"/>
  <c r="AO25" i="12"/>
  <c r="AP25" i="12"/>
  <c r="AB25" i="12"/>
  <c r="AO40" i="12"/>
  <c r="Z40" i="12"/>
  <c r="AP40" i="12"/>
  <c r="AB40" i="12"/>
  <c r="AK40" i="12"/>
  <c r="AQ47" i="12"/>
  <c r="AB47" i="12"/>
  <c r="AP47" i="12"/>
  <c r="AB22" i="12"/>
  <c r="AP22" i="12"/>
  <c r="AO22" i="12"/>
  <c r="AK22" i="12"/>
  <c r="AF27" i="12"/>
  <c r="AA27" i="12"/>
  <c r="AP27" i="12"/>
  <c r="AB27" i="12"/>
  <c r="AK27" i="12"/>
  <c r="AF36" i="12"/>
  <c r="AK36" i="12"/>
  <c r="X36" i="12"/>
  <c r="AB36" i="12"/>
  <c r="AH44" i="12"/>
  <c r="AP44" i="12"/>
  <c r="V44" i="12"/>
  <c r="AO44" i="12"/>
  <c r="R44" i="12"/>
  <c r="AK44" i="12"/>
  <c r="U49" i="12"/>
  <c r="AG49" i="12"/>
  <c r="AP49" i="12"/>
  <c r="AQ45" i="12"/>
  <c r="AP45" i="12"/>
  <c r="AK45" i="12"/>
  <c r="W45" i="12"/>
  <c r="AB30" i="12"/>
  <c r="AP30" i="12"/>
  <c r="AA30" i="12"/>
  <c r="AK30" i="12"/>
  <c r="S30" i="12"/>
  <c r="AH30" i="12"/>
  <c r="AH37" i="12"/>
  <c r="Y37" i="12"/>
  <c r="AB37" i="12"/>
  <c r="AP37" i="12"/>
  <c r="S37" i="12"/>
  <c r="AK37" i="12"/>
  <c r="U37" i="12"/>
  <c r="AP33" i="12"/>
  <c r="AA33" i="12"/>
  <c r="Q33" i="12"/>
  <c r="U33" i="12"/>
  <c r="Q5" i="12"/>
  <c r="AO5" i="12"/>
  <c r="Z41" i="12"/>
  <c r="AK41" i="12"/>
  <c r="AP41" i="12"/>
  <c r="AQ41" i="12"/>
  <c r="U31" i="12"/>
  <c r="AF31" i="12"/>
  <c r="AP31" i="12"/>
  <c r="AL3" i="12"/>
  <c r="AO3" i="12"/>
  <c r="AP42" i="12"/>
  <c r="V42" i="12"/>
  <c r="U42" i="12"/>
  <c r="Q42" i="12"/>
  <c r="AH34" i="12"/>
  <c r="AP34" i="12"/>
  <c r="V34" i="12"/>
  <c r="R34" i="12"/>
  <c r="AO34" i="12"/>
  <c r="Q4" i="12"/>
  <c r="AM4" i="12"/>
  <c r="AO4" i="12"/>
  <c r="AK35" i="12"/>
  <c r="AB35" i="12"/>
  <c r="AA35" i="12"/>
  <c r="X35" i="12"/>
  <c r="AH35" i="12"/>
  <c r="AP35" i="12"/>
  <c r="AP36" i="12"/>
  <c r="M10" i="10"/>
  <c r="L10" i="10"/>
  <c r="K10" i="10"/>
  <c r="J10" i="10"/>
  <c r="I10" i="10"/>
  <c r="H10" i="10"/>
  <c r="G10" i="10"/>
  <c r="F10" i="10"/>
  <c r="E10" i="10"/>
  <c r="D10" i="10"/>
  <c r="M9" i="10"/>
  <c r="L9" i="10"/>
  <c r="K9" i="10"/>
  <c r="J9" i="10"/>
  <c r="I9" i="10"/>
  <c r="H9" i="10"/>
  <c r="G9" i="10"/>
  <c r="F9" i="10"/>
  <c r="E9" i="10"/>
  <c r="D9" i="10"/>
  <c r="M158" i="10"/>
  <c r="L158" i="10"/>
  <c r="L164" i="10" s="1"/>
  <c r="K158" i="10"/>
  <c r="J158" i="10"/>
  <c r="I158" i="10"/>
  <c r="H158" i="10"/>
  <c r="H164" i="10" s="1"/>
  <c r="G158" i="10"/>
  <c r="F158" i="10"/>
  <c r="E158" i="10"/>
  <c r="D158" i="10"/>
  <c r="D164" i="10" s="1"/>
  <c r="J78" i="10"/>
  <c r="M138" i="10"/>
  <c r="L138" i="10"/>
  <c r="K138" i="10"/>
  <c r="J138" i="10"/>
  <c r="I138" i="10"/>
  <c r="H138" i="10"/>
  <c r="G138" i="10"/>
  <c r="F138" i="10"/>
  <c r="E138" i="10"/>
  <c r="D138" i="10"/>
  <c r="M137" i="10"/>
  <c r="L137" i="10"/>
  <c r="K137" i="10"/>
  <c r="J137" i="10"/>
  <c r="I137" i="10"/>
  <c r="H137" i="10"/>
  <c r="G137" i="10"/>
  <c r="F137" i="10"/>
  <c r="E137" i="10"/>
  <c r="D137" i="10"/>
  <c r="M8" i="10"/>
  <c r="L8" i="10"/>
  <c r="K8" i="10"/>
  <c r="J8" i="10"/>
  <c r="I8" i="10"/>
  <c r="H8" i="10"/>
  <c r="G8" i="10"/>
  <c r="F8" i="10"/>
  <c r="E8" i="10"/>
  <c r="D8" i="10"/>
  <c r="M104" i="10"/>
  <c r="L104" i="10"/>
  <c r="K104" i="10"/>
  <c r="J104" i="10"/>
  <c r="I104" i="10"/>
  <c r="H104" i="10"/>
  <c r="G104" i="10"/>
  <c r="F104" i="10"/>
  <c r="E104" i="10"/>
  <c r="D104" i="10"/>
  <c r="M78" i="10"/>
  <c r="L78" i="10"/>
  <c r="K78" i="10"/>
  <c r="I78" i="10"/>
  <c r="H78" i="10"/>
  <c r="G78" i="10"/>
  <c r="F78" i="10"/>
  <c r="E78" i="10"/>
  <c r="D78" i="10"/>
  <c r="M76" i="10"/>
  <c r="L76" i="10"/>
  <c r="K76" i="10"/>
  <c r="J76" i="10"/>
  <c r="I76" i="10"/>
  <c r="H76" i="10"/>
  <c r="G76" i="10"/>
  <c r="F76" i="10"/>
  <c r="E76" i="10"/>
  <c r="D76" i="10"/>
  <c r="K45" i="10"/>
  <c r="J45" i="10"/>
  <c r="G45" i="10"/>
  <c r="F45" i="10"/>
  <c r="M12" i="10"/>
  <c r="L12" i="10"/>
  <c r="K12" i="10"/>
  <c r="J12" i="10"/>
  <c r="I12" i="10"/>
  <c r="H12" i="10"/>
  <c r="G12" i="10"/>
  <c r="F12" i="10"/>
  <c r="E12" i="10"/>
  <c r="D12" i="10"/>
  <c r="M11" i="10"/>
  <c r="L11" i="10"/>
  <c r="K11" i="10"/>
  <c r="J11" i="10"/>
  <c r="I11" i="10"/>
  <c r="H11" i="10"/>
  <c r="G11" i="10"/>
  <c r="F11" i="10"/>
  <c r="E11" i="10"/>
  <c r="D11" i="10"/>
  <c r="H17" i="10"/>
  <c r="E17" i="10"/>
  <c r="C292" i="10"/>
  <c r="C284" i="10"/>
  <c r="C263" i="10"/>
  <c r="C254" i="10"/>
  <c r="C234" i="10"/>
  <c r="C203" i="10"/>
  <c r="C194" i="10"/>
  <c r="C173" i="10"/>
  <c r="C164" i="10"/>
  <c r="C143" i="10"/>
  <c r="C134" i="10"/>
  <c r="C112" i="10"/>
  <c r="C102" i="10"/>
  <c r="C82" i="10"/>
  <c r="C74" i="10"/>
  <c r="C53" i="10"/>
  <c r="C45" i="10"/>
  <c r="C25" i="10"/>
  <c r="C15" i="10"/>
  <c r="C264" i="10" l="1"/>
  <c r="M25" i="10"/>
  <c r="G143" i="10"/>
  <c r="D25" i="10"/>
  <c r="H25" i="10"/>
  <c r="H143" i="10"/>
  <c r="L143" i="10"/>
  <c r="E164" i="10"/>
  <c r="I164" i="10"/>
  <c r="M164" i="10"/>
  <c r="G194" i="10"/>
  <c r="K194" i="10"/>
  <c r="G284" i="10"/>
  <c r="K284" i="10"/>
  <c r="G53" i="10"/>
  <c r="G54" i="10" s="1"/>
  <c r="D82" i="10"/>
  <c r="H82" i="10"/>
  <c r="L82" i="10"/>
  <c r="F102" i="10"/>
  <c r="J102" i="10"/>
  <c r="D112" i="10"/>
  <c r="H112" i="10"/>
  <c r="F134" i="10"/>
  <c r="J134" i="10"/>
  <c r="K143" i="10"/>
  <c r="F194" i="10"/>
  <c r="J194" i="10"/>
  <c r="D203" i="10"/>
  <c r="H203" i="10"/>
  <c r="L203" i="10"/>
  <c r="F284" i="10"/>
  <c r="J284" i="10"/>
  <c r="E25" i="10"/>
  <c r="I25" i="10"/>
  <c r="K53" i="10"/>
  <c r="K54" i="10" s="1"/>
  <c r="D74" i="10"/>
  <c r="H74" i="10"/>
  <c r="L74" i="10"/>
  <c r="L112" i="10"/>
  <c r="D173" i="10"/>
  <c r="D174" i="10" s="1"/>
  <c r="L173" i="10"/>
  <c r="L174" i="10" s="1"/>
  <c r="G234" i="10"/>
  <c r="F263" i="10"/>
  <c r="J254" i="10"/>
  <c r="G292" i="10"/>
  <c r="D53" i="10"/>
  <c r="L53" i="10"/>
  <c r="E74" i="10"/>
  <c r="M74" i="10"/>
  <c r="E82" i="10"/>
  <c r="M82" i="10"/>
  <c r="G102" i="10"/>
  <c r="E112" i="10"/>
  <c r="K134" i="10"/>
  <c r="D143" i="10"/>
  <c r="I173" i="10"/>
  <c r="E203" i="10"/>
  <c r="M203" i="10"/>
  <c r="D234" i="10"/>
  <c r="L234" i="10"/>
  <c r="K263" i="10"/>
  <c r="G254" i="10"/>
  <c r="H292" i="10"/>
  <c r="C293" i="10"/>
  <c r="K25" i="10"/>
  <c r="D45" i="10"/>
  <c r="H45" i="10"/>
  <c r="L45" i="10"/>
  <c r="E53" i="10"/>
  <c r="I53" i="10"/>
  <c r="M53" i="10"/>
  <c r="F74" i="10"/>
  <c r="J74" i="10"/>
  <c r="F82" i="10"/>
  <c r="J82" i="10"/>
  <c r="I112" i="10"/>
  <c r="D102" i="10"/>
  <c r="H102" i="10"/>
  <c r="L102" i="10"/>
  <c r="F112" i="10"/>
  <c r="J112" i="10"/>
  <c r="D134" i="10"/>
  <c r="H134" i="10"/>
  <c r="L134" i="10"/>
  <c r="E143" i="10"/>
  <c r="I143" i="10"/>
  <c r="M143" i="10"/>
  <c r="F164" i="10"/>
  <c r="J164" i="10"/>
  <c r="F173" i="10"/>
  <c r="J173" i="10"/>
  <c r="D194" i="10"/>
  <c r="H194" i="10"/>
  <c r="L194" i="10"/>
  <c r="F203" i="10"/>
  <c r="J203" i="10"/>
  <c r="E234" i="10"/>
  <c r="I234" i="10"/>
  <c r="M234" i="10"/>
  <c r="D263" i="10"/>
  <c r="H263" i="10"/>
  <c r="L263" i="10"/>
  <c r="D254" i="10"/>
  <c r="H254" i="10"/>
  <c r="L254" i="10"/>
  <c r="D284" i="10"/>
  <c r="H284" i="10"/>
  <c r="L284" i="10"/>
  <c r="E292" i="10"/>
  <c r="I292" i="10"/>
  <c r="M292" i="10"/>
  <c r="H173" i="10"/>
  <c r="H174" i="10" s="1"/>
  <c r="K234" i="10"/>
  <c r="J263" i="10"/>
  <c r="F254" i="10"/>
  <c r="K292" i="10"/>
  <c r="H53" i="10"/>
  <c r="I74" i="10"/>
  <c r="I82" i="10"/>
  <c r="K102" i="10"/>
  <c r="M112" i="10"/>
  <c r="G134" i="10"/>
  <c r="E173" i="10"/>
  <c r="M173" i="10"/>
  <c r="I203" i="10"/>
  <c r="H234" i="10"/>
  <c r="G263" i="10"/>
  <c r="K254" i="10"/>
  <c r="D292" i="10"/>
  <c r="L292" i="10"/>
  <c r="G25" i="10"/>
  <c r="E45" i="10"/>
  <c r="I45" i="10"/>
  <c r="M45" i="10"/>
  <c r="F53" i="10"/>
  <c r="F54" i="10" s="1"/>
  <c r="J53" i="10"/>
  <c r="J54" i="10" s="1"/>
  <c r="G74" i="10"/>
  <c r="K74" i="10"/>
  <c r="G82" i="10"/>
  <c r="K82" i="10"/>
  <c r="E102" i="10"/>
  <c r="I102" i="10"/>
  <c r="M102" i="10"/>
  <c r="G112" i="10"/>
  <c r="K112" i="10"/>
  <c r="E134" i="10"/>
  <c r="I134" i="10"/>
  <c r="M134" i="10"/>
  <c r="F143" i="10"/>
  <c r="J143" i="10"/>
  <c r="G164" i="10"/>
  <c r="K164" i="10"/>
  <c r="G173" i="10"/>
  <c r="K173" i="10"/>
  <c r="E194" i="10"/>
  <c r="I194" i="10"/>
  <c r="M194" i="10"/>
  <c r="G203" i="10"/>
  <c r="K203" i="10"/>
  <c r="F234" i="10"/>
  <c r="J234" i="10"/>
  <c r="E263" i="10"/>
  <c r="I263" i="10"/>
  <c r="M263" i="10"/>
  <c r="E254" i="10"/>
  <c r="I254" i="10"/>
  <c r="M254" i="10"/>
  <c r="E284" i="10"/>
  <c r="I284" i="10"/>
  <c r="M284" i="10"/>
  <c r="F292" i="10"/>
  <c r="J292" i="10"/>
  <c r="F25" i="10"/>
  <c r="L25" i="10"/>
  <c r="J25" i="10"/>
  <c r="I15" i="10"/>
  <c r="F15" i="10"/>
  <c r="J15" i="10"/>
  <c r="G15" i="10"/>
  <c r="K15" i="10"/>
  <c r="D15" i="10"/>
  <c r="H15" i="10"/>
  <c r="L15" i="10"/>
  <c r="E15" i="10"/>
  <c r="M15" i="10"/>
  <c r="C235" i="10"/>
  <c r="C204" i="10"/>
  <c r="C174" i="10"/>
  <c r="C144" i="10"/>
  <c r="C83" i="10"/>
  <c r="C113" i="10"/>
  <c r="C54" i="10"/>
  <c r="C26" i="10"/>
  <c r="M26" i="10" l="1"/>
  <c r="L8" i="11" s="1"/>
  <c r="M264" i="10"/>
  <c r="E113" i="10"/>
  <c r="D11" i="11" s="1"/>
  <c r="D26" i="10"/>
  <c r="C8" i="11" s="1"/>
  <c r="I26" i="10"/>
  <c r="H8" i="11" s="1"/>
  <c r="K293" i="10"/>
  <c r="J19" i="11" s="1"/>
  <c r="M204" i="10"/>
  <c r="L16" i="11" s="1"/>
  <c r="L204" i="10"/>
  <c r="K16" i="11" s="1"/>
  <c r="J204" i="10"/>
  <c r="I16" i="11" s="1"/>
  <c r="F204" i="10"/>
  <c r="E16" i="11" s="1"/>
  <c r="E174" i="10"/>
  <c r="D15" i="11" s="1"/>
  <c r="M174" i="10"/>
  <c r="L15" i="11" s="1"/>
  <c r="G144" i="10"/>
  <c r="F12" i="11" s="1"/>
  <c r="H144" i="10"/>
  <c r="G12" i="11" s="1"/>
  <c r="L144" i="10"/>
  <c r="K12" i="11" s="1"/>
  <c r="F144" i="10"/>
  <c r="E12" i="11" s="1"/>
  <c r="H113" i="10"/>
  <c r="G11" i="11" s="1"/>
  <c r="J113" i="10"/>
  <c r="I11" i="11" s="1"/>
  <c r="F113" i="10"/>
  <c r="E11" i="11" s="1"/>
  <c r="I144" i="10"/>
  <c r="H12" i="11" s="1"/>
  <c r="G204" i="10"/>
  <c r="F16" i="11" s="1"/>
  <c r="H26" i="10"/>
  <c r="G8" i="11" s="1"/>
  <c r="F264" i="10"/>
  <c r="E18" i="11" s="1"/>
  <c r="E235" i="10"/>
  <c r="D17" i="11" s="1"/>
  <c r="J144" i="10"/>
  <c r="I12" i="11" s="1"/>
  <c r="K264" i="10"/>
  <c r="J18" i="11" s="1"/>
  <c r="I293" i="10"/>
  <c r="H19" i="11" s="1"/>
  <c r="E264" i="10"/>
  <c r="D18" i="11" s="1"/>
  <c r="K204" i="10"/>
  <c r="J16" i="11" s="1"/>
  <c r="E204" i="10"/>
  <c r="D16" i="11" s="1"/>
  <c r="L293" i="10"/>
  <c r="K19" i="11" s="1"/>
  <c r="H264" i="10"/>
  <c r="G18" i="11" s="1"/>
  <c r="M235" i="10"/>
  <c r="L17" i="11" s="1"/>
  <c r="L113" i="10"/>
  <c r="K11" i="11" s="1"/>
  <c r="I174" i="10"/>
  <c r="H15" i="11" s="1"/>
  <c r="F293" i="10"/>
  <c r="E19" i="11" s="1"/>
  <c r="G293" i="10"/>
  <c r="F19" i="11" s="1"/>
  <c r="J293" i="10"/>
  <c r="I19" i="11" s="1"/>
  <c r="E293" i="10"/>
  <c r="D19" i="11" s="1"/>
  <c r="G264" i="10"/>
  <c r="F18" i="11" s="1"/>
  <c r="G174" i="10"/>
  <c r="F15" i="11" s="1"/>
  <c r="D235" i="10"/>
  <c r="C17" i="11" s="1"/>
  <c r="H204" i="10"/>
  <c r="G16" i="11" s="1"/>
  <c r="D113" i="10"/>
  <c r="C11" i="11" s="1"/>
  <c r="K144" i="10"/>
  <c r="J12" i="11" s="1"/>
  <c r="E26" i="10"/>
  <c r="D8" i="11" s="1"/>
  <c r="K26" i="10"/>
  <c r="J8" i="11" s="1"/>
  <c r="D204" i="10"/>
  <c r="C16" i="11" s="1"/>
  <c r="G235" i="10"/>
  <c r="F17" i="11" s="1"/>
  <c r="D54" i="10"/>
  <c r="C9" i="11" s="1"/>
  <c r="I54" i="10"/>
  <c r="H9" i="11" s="1"/>
  <c r="F26" i="10"/>
  <c r="E8" i="11" s="1"/>
  <c r="M113" i="10"/>
  <c r="L11" i="11" s="1"/>
  <c r="H54" i="10"/>
  <c r="G9" i="11" s="1"/>
  <c r="G26" i="10"/>
  <c r="F8" i="11" s="1"/>
  <c r="J235" i="10"/>
  <c r="I17" i="11" s="1"/>
  <c r="D293" i="10"/>
  <c r="C19" i="11" s="1"/>
  <c r="J174" i="10"/>
  <c r="I15" i="11" s="1"/>
  <c r="H235" i="10"/>
  <c r="G17" i="11" s="1"/>
  <c r="M293" i="10"/>
  <c r="L19" i="11" s="1"/>
  <c r="I264" i="10"/>
  <c r="H18" i="11" s="1"/>
  <c r="F235" i="10"/>
  <c r="E17" i="11" s="1"/>
  <c r="I204" i="10"/>
  <c r="H16" i="11" s="1"/>
  <c r="K174" i="10"/>
  <c r="J15" i="11" s="1"/>
  <c r="M144" i="10"/>
  <c r="L12" i="11" s="1"/>
  <c r="E54" i="10"/>
  <c r="D9" i="11" s="1"/>
  <c r="L235" i="10"/>
  <c r="K17" i="11" s="1"/>
  <c r="K235" i="10"/>
  <c r="J17" i="11" s="1"/>
  <c r="L264" i="10"/>
  <c r="K18" i="11" s="1"/>
  <c r="F174" i="10"/>
  <c r="E15" i="11" s="1"/>
  <c r="I113" i="10"/>
  <c r="H11" i="11" s="1"/>
  <c r="L54" i="10"/>
  <c r="K9" i="11" s="1"/>
  <c r="G113" i="10"/>
  <c r="F11" i="11" s="1"/>
  <c r="E144" i="10"/>
  <c r="D12" i="11" s="1"/>
  <c r="M54" i="10"/>
  <c r="L9" i="11" s="1"/>
  <c r="K113" i="10"/>
  <c r="J11" i="11" s="1"/>
  <c r="H293" i="10"/>
  <c r="G19" i="11" s="1"/>
  <c r="D264" i="10"/>
  <c r="C18" i="11" s="1"/>
  <c r="I235" i="10"/>
  <c r="H17" i="11" s="1"/>
  <c r="D144" i="10"/>
  <c r="C12" i="11" s="1"/>
  <c r="J264" i="10"/>
  <c r="I18" i="11" s="1"/>
  <c r="J26" i="10"/>
  <c r="I8" i="11" s="1"/>
  <c r="L26" i="10"/>
  <c r="K8" i="11" s="1"/>
  <c r="H83" i="10"/>
  <c r="G10" i="11" s="1"/>
  <c r="G15" i="11"/>
  <c r="C15" i="11"/>
  <c r="K15" i="11"/>
  <c r="E83" i="10"/>
  <c r="D10" i="11" s="1"/>
  <c r="E9" i="11"/>
  <c r="F83" i="10"/>
  <c r="E10" i="11" s="1"/>
  <c r="D83" i="10"/>
  <c r="C10" i="11" s="1"/>
  <c r="M83" i="10"/>
  <c r="L10" i="11" s="1"/>
  <c r="I83" i="10"/>
  <c r="H10" i="11" s="1"/>
  <c r="J83" i="10"/>
  <c r="I10" i="11" s="1"/>
  <c r="K83" i="10"/>
  <c r="J10" i="11" s="1"/>
  <c r="G83" i="10"/>
  <c r="F10" i="11" s="1"/>
  <c r="L83" i="10"/>
  <c r="K10" i="11" s="1"/>
  <c r="J9" i="11"/>
  <c r="F9" i="11"/>
  <c r="I9" i="11"/>
  <c r="L18" i="11"/>
  <c r="D13" i="11" l="1"/>
  <c r="D14" i="11" s="1"/>
  <c r="H20" i="11"/>
  <c r="H21" i="11" s="1"/>
  <c r="C13" i="11"/>
  <c r="C14" i="11" s="1"/>
  <c r="D20" i="11"/>
  <c r="D21" i="11" s="1"/>
  <c r="E20" i="11"/>
  <c r="E21" i="11" s="1"/>
  <c r="G20" i="11"/>
  <c r="G21" i="11" s="1"/>
  <c r="J13" i="11"/>
  <c r="J14" i="11" s="1"/>
  <c r="J20" i="11"/>
  <c r="J21" i="11" s="1"/>
  <c r="L20" i="11"/>
  <c r="L21" i="11" s="1"/>
  <c r="G13" i="11"/>
  <c r="G14" i="11" s="1"/>
  <c r="I13" i="11"/>
  <c r="I14" i="11" s="1"/>
  <c r="H22" i="11"/>
  <c r="H23" i="11" s="1"/>
  <c r="F20" i="11"/>
  <c r="F21" i="11" s="1"/>
  <c r="F22" i="11"/>
  <c r="F23" i="11" s="1"/>
  <c r="E13" i="11"/>
  <c r="E14" i="11" s="1"/>
  <c r="F13" i="11"/>
  <c r="F14" i="11" s="1"/>
  <c r="H13" i="11"/>
  <c r="H14" i="11" s="1"/>
  <c r="L13" i="11"/>
  <c r="L14" i="11" s="1"/>
  <c r="J22" i="11"/>
  <c r="J23" i="11" s="1"/>
  <c r="I22" i="11"/>
  <c r="I23" i="11" s="1"/>
  <c r="E22" i="11"/>
  <c r="E23" i="11" s="1"/>
  <c r="K22" i="11"/>
  <c r="K23" i="11" s="1"/>
  <c r="I20" i="11"/>
  <c r="I21" i="11" s="1"/>
  <c r="C22" i="11"/>
  <c r="C23" i="11" s="1"/>
  <c r="D22" i="11"/>
  <c r="D23" i="11" s="1"/>
  <c r="K13" i="11"/>
  <c r="K14" i="11" s="1"/>
  <c r="C20" i="11"/>
  <c r="C21" i="11" s="1"/>
  <c r="G22" i="11"/>
  <c r="G23" i="11" s="1"/>
  <c r="L22" i="11"/>
  <c r="L23" i="11" s="1"/>
  <c r="K20" i="11"/>
  <c r="K21" i="11" s="1"/>
</calcChain>
</file>

<file path=xl/sharedStrings.xml><?xml version="1.0" encoding="utf-8"?>
<sst xmlns="http://schemas.openxmlformats.org/spreadsheetml/2006/main" count="1396" uniqueCount="190">
  <si>
    <t>с __________ по ____________</t>
  </si>
  <si>
    <t>п/п</t>
  </si>
  <si>
    <t>Наименование группы пищевой продукции</t>
  </si>
  <si>
    <t>Хлеб ржаной</t>
  </si>
  <si>
    <t>Мука пшеничная</t>
  </si>
  <si>
    <t>Крупы, бобовые</t>
  </si>
  <si>
    <t>Макаронные изделия</t>
  </si>
  <si>
    <t>Картофель</t>
  </si>
  <si>
    <t>Сухофрукты</t>
  </si>
  <si>
    <t>Сыр</t>
  </si>
  <si>
    <t>Сметана</t>
  </si>
  <si>
    <t>Масло сливочное</t>
  </si>
  <si>
    <t>Масло растительное</t>
  </si>
  <si>
    <t>Кондитерские изделия</t>
  </si>
  <si>
    <t>Чай</t>
  </si>
  <si>
    <t>Какао-порошок</t>
  </si>
  <si>
    <t>Кофейный напиток</t>
  </si>
  <si>
    <t>Крахмал</t>
  </si>
  <si>
    <t>Сахар</t>
  </si>
  <si>
    <t xml:space="preserve">Овощи </t>
  </si>
  <si>
    <t xml:space="preserve">ХИМИЧЕСКИЙ СОСТАВ </t>
  </si>
  <si>
    <t>Молоко и кисломолочные пр-ты</t>
  </si>
  <si>
    <t>Творог</t>
  </si>
  <si>
    <t>Масло сливочное     </t>
  </si>
  <si>
    <t>Яйцо (шт) </t>
  </si>
  <si>
    <t xml:space="preserve">Мясо </t>
  </si>
  <si>
    <t>Птица</t>
  </si>
  <si>
    <t>Субпродукты говяжьи</t>
  </si>
  <si>
    <t>Рыба (филе)</t>
  </si>
  <si>
    <t xml:space="preserve">Фрукты свежие </t>
  </si>
  <si>
    <t>Сок фруктовый</t>
  </si>
  <si>
    <t>Дрожжи</t>
  </si>
  <si>
    <t>Соль</t>
  </si>
  <si>
    <t>Хлеб белый</t>
  </si>
  <si>
    <t>Чай с сахаром</t>
  </si>
  <si>
    <t>Масло</t>
  </si>
  <si>
    <t>Огурец свежий</t>
  </si>
  <si>
    <t>Компот из сухофруктов</t>
  </si>
  <si>
    <t>Сок</t>
  </si>
  <si>
    <t>Рис отварной</t>
  </si>
  <si>
    <t>Котлета рыбная</t>
  </si>
  <si>
    <t>Рассольник Ленинградский</t>
  </si>
  <si>
    <t>Картофельное пюре</t>
  </si>
  <si>
    <t>Вторник</t>
  </si>
  <si>
    <t>Понедельник</t>
  </si>
  <si>
    <t>Среда</t>
  </si>
  <si>
    <t>Четверг</t>
  </si>
  <si>
    <t>Пятница</t>
  </si>
  <si>
    <r>
      <t>Неделя:</t>
    </r>
    <r>
      <rPr>
        <sz val="11"/>
        <color theme="1"/>
        <rFont val="Times New Roman"/>
        <family val="1"/>
        <charset val="204"/>
      </rPr>
      <t xml:space="preserve"> первая</t>
    </r>
  </si>
  <si>
    <t>№ рецептуры</t>
  </si>
  <si>
    <t>Прием пищи, наименование блюда</t>
  </si>
  <si>
    <t>Масса порции</t>
  </si>
  <si>
    <t>Пищевые</t>
  </si>
  <si>
    <t>Энергетическая ценность</t>
  </si>
  <si>
    <t>Витамины ( мг)</t>
  </si>
  <si>
    <t>Минеральные вещества (мг)</t>
  </si>
  <si>
    <t>вещества</t>
  </si>
  <si>
    <t>Б</t>
  </si>
  <si>
    <t>Ж</t>
  </si>
  <si>
    <t>У</t>
  </si>
  <si>
    <t>А</t>
  </si>
  <si>
    <r>
      <t>В</t>
    </r>
    <r>
      <rPr>
        <vertAlign val="subscript"/>
        <sz val="12"/>
        <color theme="1"/>
        <rFont val="Times New Roman"/>
        <family val="1"/>
        <charset val="204"/>
      </rPr>
      <t>1</t>
    </r>
  </si>
  <si>
    <t>С</t>
  </si>
  <si>
    <t>Са</t>
  </si>
  <si>
    <t>Fe</t>
  </si>
  <si>
    <t>Завтрак</t>
  </si>
  <si>
    <t>1\1</t>
  </si>
  <si>
    <t>итого</t>
  </si>
  <si>
    <t>Обед</t>
  </si>
  <si>
    <t>Щи из свежей капусты</t>
  </si>
  <si>
    <t>1\2</t>
  </si>
  <si>
    <t>ИТОГО за день</t>
  </si>
  <si>
    <t>Борщ</t>
  </si>
  <si>
    <t>Рыба тушеная с овощами</t>
  </si>
  <si>
    <t>Компот из свежих яблок</t>
  </si>
  <si>
    <r>
      <t xml:space="preserve">День: </t>
    </r>
    <r>
      <rPr>
        <b/>
        <sz val="14"/>
        <color theme="1"/>
        <rFont val="Times New Roman"/>
        <family val="1"/>
        <charset val="204"/>
      </rPr>
      <t>Четверг</t>
    </r>
  </si>
  <si>
    <t>Компот из св. яблок</t>
  </si>
  <si>
    <r>
      <t xml:space="preserve">День: </t>
    </r>
    <r>
      <rPr>
        <b/>
        <sz val="14"/>
        <color theme="1"/>
        <rFont val="Times New Roman"/>
        <family val="1"/>
        <charset val="204"/>
      </rPr>
      <t>Пятница</t>
    </r>
  </si>
  <si>
    <t xml:space="preserve">Котлета рыбная </t>
  </si>
  <si>
    <r>
      <t>Неделя:</t>
    </r>
    <r>
      <rPr>
        <sz val="11"/>
        <color theme="1"/>
        <rFont val="Times New Roman"/>
        <family val="1"/>
        <charset val="204"/>
      </rPr>
      <t xml:space="preserve"> вторая</t>
    </r>
  </si>
  <si>
    <t>Суп картофел с бобовыми</t>
  </si>
  <si>
    <t>P</t>
  </si>
  <si>
    <t>Норматив по САНПиН (75%)</t>
  </si>
  <si>
    <t>Помидора свежая</t>
  </si>
  <si>
    <r>
      <t>В</t>
    </r>
    <r>
      <rPr>
        <vertAlign val="subscript"/>
        <sz val="11"/>
        <color theme="1"/>
        <rFont val="Times New Roman"/>
        <family val="1"/>
        <charset val="204"/>
      </rPr>
      <t>1</t>
    </r>
  </si>
  <si>
    <t>Рагу из птицы</t>
  </si>
  <si>
    <t>Пищевая ценность</t>
  </si>
  <si>
    <t>Среднее на 1 неделе</t>
  </si>
  <si>
    <t>Отклонение от норматива</t>
  </si>
  <si>
    <t>Среднее на 2 неделе</t>
  </si>
  <si>
    <t>Среднее за 10 дней</t>
  </si>
  <si>
    <t>Отклонение от нормы за 10 дней</t>
  </si>
  <si>
    <t>Количество потребленной продукции в нетто по дням в граммах на одного человека</t>
  </si>
  <si>
    <t>Рагу из овощей</t>
  </si>
  <si>
    <t>Сырники из творога</t>
  </si>
  <si>
    <t>Кофейный напиток с молоком</t>
  </si>
  <si>
    <t>Омлет натуральный</t>
  </si>
  <si>
    <t>Суп картоф. с макарон. изд</t>
  </si>
  <si>
    <t>Какао с молоком</t>
  </si>
  <si>
    <t>Плов из птицы</t>
  </si>
  <si>
    <t>Каша вязкая молочная гречневая</t>
  </si>
  <si>
    <t>ЛЕТНЕ-ОСЕННИЙ ПЕРИОД</t>
  </si>
  <si>
    <t xml:space="preserve">УТВЕРЖДАЮ    </t>
  </si>
  <si>
    <t xml:space="preserve">                                                </t>
  </si>
  <si>
    <t xml:space="preserve"> ____________________________</t>
  </si>
  <si>
    <t>"_____"___________ 20     г.</t>
  </si>
  <si>
    <t xml:space="preserve"> Руководитель  "______________________"</t>
  </si>
  <si>
    <t>Салат из белокочанной капусты</t>
  </si>
  <si>
    <t>Салат из моркови с сахаром</t>
  </si>
  <si>
    <t>Наименование блюда</t>
  </si>
  <si>
    <t>Выход</t>
  </si>
  <si>
    <t>Кол-во</t>
  </si>
  <si>
    <t>Молоко и кислом. пр-ты</t>
  </si>
  <si>
    <t>Яйцо (гр) </t>
  </si>
  <si>
    <t>Компот из свеж яблок</t>
  </si>
  <si>
    <t>Суп картоф с бобовыми</t>
  </si>
  <si>
    <t>Суп картофел с макаронами</t>
  </si>
  <si>
    <t>Рыба тушенная с овощами</t>
  </si>
  <si>
    <t>ИТОГО за 10 дней</t>
  </si>
  <si>
    <t>Напиток кофейный с молоком</t>
  </si>
  <si>
    <t>Сок плодовый</t>
  </si>
  <si>
    <t xml:space="preserve">Щи из свежей капусты </t>
  </si>
  <si>
    <t xml:space="preserve">Борщ  </t>
  </si>
  <si>
    <t>Отклонение от нормы в % (+/-)</t>
  </si>
  <si>
    <t>Йогурт</t>
  </si>
  <si>
    <t>Варенники ленивые с сахаром</t>
  </si>
  <si>
    <t>Печень по-строгановски</t>
  </si>
  <si>
    <t>Котлета мясная</t>
  </si>
  <si>
    <t>Капуста тушеная</t>
  </si>
  <si>
    <t>Тефтели</t>
  </si>
  <si>
    <t>Макароны отварные</t>
  </si>
  <si>
    <t>Фрукты</t>
  </si>
  <si>
    <t xml:space="preserve">ПРИМЕРНОЕ ДЕСЯТИДНЕВНОЕ МЕНЮ ДЛЯ ПИТАНИЯ ОБУЧАЮЩИХСЯ В
МУНИЦИПАЛЬНЫХ БЮДЖЕТНЫХ ОБРАЗОВАТЕЛЬНЫХ УЧЕРЕЖДЕНИЯХ  
ЧЕРНОМОРСКОГО РАЙОНА
(Возрастная категория детей от 12 до 18 лет)
</t>
  </si>
  <si>
    <t>Печень говяжья по-строгановски</t>
  </si>
  <si>
    <t>Котлета рубленая (свин окорок)</t>
  </si>
  <si>
    <t>Сок (штучный)</t>
  </si>
  <si>
    <t>Йогурт (штучный)</t>
  </si>
  <si>
    <t>Тефтели (говядина)</t>
  </si>
  <si>
    <t>Ведомость контроля за рационом питания детей в возрасте от 12 до 18 лет</t>
  </si>
  <si>
    <t>Норма (нетто, гр). Режим питания 2-х разовое</t>
  </si>
  <si>
    <t>Кисель из сока</t>
  </si>
  <si>
    <t>Молоко сгущеное</t>
  </si>
  <si>
    <t>Рагу из свинины</t>
  </si>
  <si>
    <t>Суп картофел с фрикадельками</t>
  </si>
  <si>
    <t>Макароны отварные с сыром</t>
  </si>
  <si>
    <t>Картофель отварной</t>
  </si>
  <si>
    <t>Кисель из сока плодового</t>
  </si>
  <si>
    <t xml:space="preserve">Сок </t>
  </si>
  <si>
    <t>Яйцо вареное</t>
  </si>
  <si>
    <t>Яйцо</t>
  </si>
  <si>
    <t xml:space="preserve"> Пюре картофельное</t>
  </si>
  <si>
    <t>Запеканка из творога</t>
  </si>
  <si>
    <t>Огурец соленый</t>
  </si>
  <si>
    <t>День: Понедельник</t>
  </si>
  <si>
    <t>День: Вторник</t>
  </si>
  <si>
    <t>День: Среда</t>
  </si>
  <si>
    <t>День: Четверг</t>
  </si>
  <si>
    <t>Салат из свеклы соленым огурцом</t>
  </si>
  <si>
    <t>Плов</t>
  </si>
  <si>
    <t>Винегрет</t>
  </si>
  <si>
    <t>День:Понедельник</t>
  </si>
  <si>
    <t>Салат витаминый -2</t>
  </si>
  <si>
    <t>Запеканка из творога со сгущеным молоком</t>
  </si>
  <si>
    <t>Каша молочная вязкая овсяная(геркулес)</t>
  </si>
  <si>
    <t>День: Пятница</t>
  </si>
  <si>
    <r>
      <t>Возрастная категория:</t>
    </r>
    <r>
      <rPr>
        <sz val="11"/>
        <color theme="1"/>
        <rFont val="Times New Roman"/>
        <family val="1"/>
        <charset val="204"/>
      </rPr>
      <t xml:space="preserve">  7-11лет</t>
    </r>
  </si>
  <si>
    <r>
      <t xml:space="preserve">День: </t>
    </r>
    <r>
      <rPr>
        <b/>
        <sz val="14"/>
        <color theme="1"/>
        <rFont val="Times New Roman"/>
        <family val="1"/>
        <charset val="204"/>
      </rPr>
      <t>Понедельник</t>
    </r>
  </si>
  <si>
    <t>День:Вторник</t>
  </si>
  <si>
    <r>
      <t>Возрастная категория:</t>
    </r>
    <r>
      <rPr>
        <sz val="11"/>
        <color theme="1"/>
        <rFont val="Times New Roman"/>
        <family val="1"/>
        <charset val="204"/>
      </rPr>
      <t xml:space="preserve">  7-11 лет</t>
    </r>
  </si>
  <si>
    <r>
      <t>Возрастная категория:</t>
    </r>
    <r>
      <rPr>
        <sz val="11"/>
        <color theme="1"/>
        <rFont val="Times New Roman"/>
        <family val="1"/>
        <charset val="204"/>
      </rPr>
      <t xml:space="preserve"> 7-11 лет</t>
    </r>
  </si>
  <si>
    <t xml:space="preserve">Норматив по САНПиН </t>
  </si>
  <si>
    <r>
      <t>Возрастная категория:</t>
    </r>
    <r>
      <rPr>
        <sz val="11"/>
        <color theme="1"/>
        <rFont val="Times New Roman"/>
        <family val="1"/>
        <charset val="204"/>
      </rPr>
      <t xml:space="preserve">  7--11 лет</t>
    </r>
  </si>
  <si>
    <t>Кисломолочный напиток</t>
  </si>
  <si>
    <t>Каша гречневая рассыпчатая</t>
  </si>
  <si>
    <t>Гуляш</t>
  </si>
  <si>
    <t>Овощи по сезону</t>
  </si>
  <si>
    <t>Каша молочная рисовая</t>
  </si>
  <si>
    <t>Вареники ленивые с творогом и  сметаной</t>
  </si>
  <si>
    <t>Молоко кипяченое</t>
  </si>
  <si>
    <t>Чай с сахаром и лимоном</t>
  </si>
  <si>
    <t>Каша рассыпчатая"Артек"</t>
  </si>
  <si>
    <t>Икра кабачковая(пром.пр-во)</t>
  </si>
  <si>
    <t>Гуляш из свинины</t>
  </si>
  <si>
    <t>Салат из свеклы</t>
  </si>
  <si>
    <t xml:space="preserve">Чай с сахаром </t>
  </si>
  <si>
    <t>Салат из свеклы с яблоками</t>
  </si>
  <si>
    <t>Жаркое по домашнему</t>
  </si>
  <si>
    <t>С-т из белокачанной  капусты</t>
  </si>
  <si>
    <t>Суп картофельный с рыбными  консервами</t>
  </si>
  <si>
    <t>Каша вязкая молочная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</si>
</sst>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%"/>
    <numFmt numFmtId="167" formatCode="0.0_ ;[Red]\-0.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vertAlign val="subscript"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48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top"/>
    </xf>
    <xf numFmtId="0" fontId="10" fillId="4" borderId="17" xfId="0" applyFont="1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top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13" fillId="4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164" fontId="14" fillId="4" borderId="1" xfId="0" applyNumberFormat="1" applyFont="1" applyFill="1" applyBorder="1" applyAlignment="1">
      <alignment horizontal="center" vertical="top" wrapText="1"/>
    </xf>
    <xf numFmtId="0" fontId="6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center" vertical="top" wrapText="1"/>
    </xf>
    <xf numFmtId="1" fontId="14" fillId="4" borderId="0" xfId="0" applyNumberFormat="1" applyFont="1" applyFill="1" applyBorder="1" applyAlignment="1">
      <alignment horizontal="center" vertical="top" wrapText="1"/>
    </xf>
    <xf numFmtId="164" fontId="14" fillId="4" borderId="0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center" wrapText="1"/>
    </xf>
    <xf numFmtId="0" fontId="0" fillId="4" borderId="0" xfId="0" applyFont="1" applyFill="1" applyAlignment="1">
      <alignment vertical="top"/>
    </xf>
    <xf numFmtId="0" fontId="5" fillId="4" borderId="17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center" wrapText="1"/>
    </xf>
    <xf numFmtId="0" fontId="0" fillId="0" borderId="20" xfId="0" applyBorder="1"/>
    <xf numFmtId="0" fontId="8" fillId="0" borderId="20" xfId="0" applyFont="1" applyBorder="1"/>
    <xf numFmtId="0" fontId="8" fillId="5" borderId="20" xfId="0" applyFont="1" applyFill="1" applyBorder="1"/>
    <xf numFmtId="0" fontId="6" fillId="5" borderId="20" xfId="0" applyFont="1" applyFill="1" applyBorder="1"/>
    <xf numFmtId="0" fontId="6" fillId="5" borderId="21" xfId="0" applyFont="1" applyFill="1" applyBorder="1"/>
    <xf numFmtId="0" fontId="8" fillId="5" borderId="19" xfId="0" applyFont="1" applyFill="1" applyBorder="1"/>
    <xf numFmtId="165" fontId="5" fillId="0" borderId="7" xfId="0" applyNumberFormat="1" applyFont="1" applyBorder="1" applyAlignment="1">
      <alignment horizontal="center" vertical="center"/>
    </xf>
    <xf numFmtId="165" fontId="10" fillId="5" borderId="7" xfId="0" applyNumberFormat="1" applyFont="1" applyFill="1" applyBorder="1" applyAlignment="1">
      <alignment horizontal="center" vertical="center"/>
    </xf>
    <xf numFmtId="165" fontId="5" fillId="5" borderId="7" xfId="0" applyNumberFormat="1" applyFont="1" applyFill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5" fontId="17" fillId="5" borderId="1" xfId="0" applyNumberFormat="1" applyFont="1" applyFill="1" applyBorder="1" applyAlignment="1">
      <alignment horizontal="center" vertical="top" wrapText="1"/>
    </xf>
    <xf numFmtId="165" fontId="7" fillId="5" borderId="7" xfId="0" applyNumberFormat="1" applyFont="1" applyFill="1" applyBorder="1" applyAlignment="1">
      <alignment horizontal="center" vertical="center"/>
    </xf>
    <xf numFmtId="166" fontId="7" fillId="5" borderId="22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top" wrapText="1"/>
    </xf>
    <xf numFmtId="165" fontId="17" fillId="5" borderId="6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18" fillId="0" borderId="1" xfId="0" applyFont="1" applyFill="1" applyBorder="1"/>
    <xf numFmtId="0" fontId="5" fillId="0" borderId="0" xfId="0" applyFont="1"/>
    <xf numFmtId="49" fontId="5" fillId="0" borderId="0" xfId="0" applyNumberFormat="1" applyFont="1"/>
    <xf numFmtId="49" fontId="5" fillId="0" borderId="0" xfId="0" applyNumberFormat="1" applyFont="1" applyAlignment="1"/>
    <xf numFmtId="49" fontId="6" fillId="0" borderId="0" xfId="0" applyNumberFormat="1" applyFont="1" applyAlignment="1">
      <alignment horizontal="left" wrapText="1"/>
    </xf>
    <xf numFmtId="0" fontId="13" fillId="0" borderId="0" xfId="0" applyFont="1"/>
    <xf numFmtId="49" fontId="13" fillId="0" borderId="0" xfId="0" applyNumberFormat="1" applyFont="1"/>
    <xf numFmtId="49" fontId="13" fillId="0" borderId="0" xfId="0" applyNumberFormat="1" applyFont="1" applyAlignment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1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0" fillId="0" borderId="33" xfId="0" applyFill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/>
    <xf numFmtId="0" fontId="0" fillId="0" borderId="3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8" fillId="0" borderId="1" xfId="0" applyFont="1" applyBorder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textRotation="90"/>
    </xf>
    <xf numFmtId="0" fontId="8" fillId="0" borderId="28" xfId="0" applyFont="1" applyBorder="1" applyAlignment="1">
      <alignment horizontal="center" vertical="center" textRotation="90"/>
    </xf>
    <xf numFmtId="0" fontId="8" fillId="0" borderId="29" xfId="0" applyFont="1" applyBorder="1" applyAlignment="1">
      <alignment horizontal="center" vertical="center" textRotation="90"/>
    </xf>
    <xf numFmtId="0" fontId="8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/>
    </xf>
    <xf numFmtId="165" fontId="0" fillId="0" borderId="39" xfId="0" applyNumberFormat="1" applyBorder="1" applyAlignment="1">
      <alignment horizontal="center"/>
    </xf>
    <xf numFmtId="165" fontId="0" fillId="0" borderId="40" xfId="0" applyNumberFormat="1" applyBorder="1" applyAlignment="1">
      <alignment horizontal="center"/>
    </xf>
    <xf numFmtId="167" fontId="6" fillId="0" borderId="3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44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top" wrapText="1"/>
    </xf>
    <xf numFmtId="2" fontId="5" fillId="4" borderId="1" xfId="0" applyNumberFormat="1" applyFont="1" applyFill="1" applyBorder="1" applyAlignment="1">
      <alignment horizontal="center" vertical="top" wrapText="1"/>
    </xf>
    <xf numFmtId="9" fontId="7" fillId="5" borderId="22" xfId="0" applyNumberFormat="1" applyFont="1" applyFill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3" borderId="3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vertical="top" wrapText="1"/>
    </xf>
    <xf numFmtId="0" fontId="5" fillId="0" borderId="1" xfId="0" applyFont="1" applyFill="1" applyBorder="1" applyAlignment="1">
      <alignment wrapText="1"/>
    </xf>
    <xf numFmtId="16" fontId="5" fillId="4" borderId="1" xfId="0" applyNumberFormat="1" applyFont="1" applyFill="1" applyBorder="1" applyAlignment="1">
      <alignment horizontal="center" vertical="center" wrapText="1"/>
    </xf>
    <xf numFmtId="0" fontId="21" fillId="4" borderId="0" xfId="0" applyFont="1" applyFill="1" applyAlignment="1">
      <alignment vertical="top"/>
    </xf>
    <xf numFmtId="0" fontId="5" fillId="0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2" fontId="14" fillId="0" borderId="1" xfId="0" applyNumberFormat="1" applyFont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5" fillId="4" borderId="1" xfId="0" applyNumberFormat="1" applyFont="1" applyFill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right" vertical="top"/>
    </xf>
    <xf numFmtId="1" fontId="6" fillId="0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1" fontId="15" fillId="0" borderId="1" xfId="0" applyNumberFormat="1" applyFont="1" applyBorder="1" applyAlignment="1">
      <alignment horizontal="center" vertical="top" wrapText="1"/>
    </xf>
    <xf numFmtId="164" fontId="15" fillId="0" borderId="1" xfId="0" applyNumberFormat="1" applyFont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 vertical="top" wrapText="1"/>
    </xf>
    <xf numFmtId="0" fontId="6" fillId="4" borderId="0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1" fontId="14" fillId="0" borderId="1" xfId="0" applyNumberFormat="1" applyFont="1" applyBorder="1" applyAlignment="1">
      <alignment vertical="top" wrapText="1"/>
    </xf>
    <xf numFmtId="0" fontId="10" fillId="4" borderId="17" xfId="0" applyFont="1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9" fillId="4" borderId="5" xfId="0" applyFont="1" applyFill="1" applyBorder="1" applyAlignment="1">
      <alignment vertical="top" wrapText="1"/>
    </xf>
    <xf numFmtId="0" fontId="13" fillId="4" borderId="5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2" fontId="14" fillId="0" borderId="1" xfId="0" applyNumberFormat="1" applyFont="1" applyBorder="1" applyAlignment="1">
      <alignment vertical="top" wrapText="1"/>
    </xf>
    <xf numFmtId="0" fontId="5" fillId="4" borderId="1" xfId="0" applyNumberFormat="1" applyFont="1" applyFill="1" applyBorder="1" applyAlignment="1">
      <alignment vertical="top" wrapText="1"/>
    </xf>
    <xf numFmtId="0" fontId="14" fillId="0" borderId="1" xfId="0" applyNumberFormat="1" applyFont="1" applyBorder="1" applyAlignment="1">
      <alignment vertical="top" wrapText="1"/>
    </xf>
    <xf numFmtId="1" fontId="14" fillId="4" borderId="0" xfId="0" applyNumberFormat="1" applyFont="1" applyFill="1" applyBorder="1" applyAlignment="1">
      <alignment horizontal="center" vertical="top"/>
    </xf>
    <xf numFmtId="0" fontId="22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164" fontId="23" fillId="0" borderId="1" xfId="0" applyNumberFormat="1" applyFont="1" applyBorder="1" applyAlignment="1">
      <alignment horizontal="center" vertical="top" wrapText="1"/>
    </xf>
    <xf numFmtId="0" fontId="24" fillId="4" borderId="0" xfId="0" applyFont="1" applyFill="1" applyAlignment="1">
      <alignment vertical="top"/>
    </xf>
    <xf numFmtId="16" fontId="5" fillId="0" borderId="1" xfId="0" applyNumberFormat="1" applyFont="1" applyFill="1" applyBorder="1" applyAlignment="1">
      <alignment vertical="top"/>
    </xf>
    <xf numFmtId="0" fontId="10" fillId="4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vertical="center"/>
    </xf>
    <xf numFmtId="0" fontId="0" fillId="3" borderId="0" xfId="0" applyFill="1" applyAlignment="1"/>
    <xf numFmtId="0" fontId="6" fillId="3" borderId="8" xfId="0" applyFont="1" applyFill="1" applyBorder="1" applyAlignment="1">
      <alignment vertical="center"/>
    </xf>
    <xf numFmtId="0" fontId="0" fillId="3" borderId="8" xfId="0" applyFill="1" applyBorder="1" applyAlignment="1"/>
    <xf numFmtId="0" fontId="11" fillId="0" borderId="13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5" fillId="4" borderId="9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center" vertical="top" wrapText="1"/>
    </xf>
    <xf numFmtId="0" fontId="5" fillId="4" borderId="16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4" borderId="14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4" borderId="15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/>
    </xf>
    <xf numFmtId="49" fontId="5" fillId="0" borderId="0" xfId="0" applyNumberFormat="1" applyFont="1" applyAlignment="1"/>
    <xf numFmtId="0" fontId="0" fillId="0" borderId="0" xfId="0" applyAlignment="1"/>
    <xf numFmtId="0" fontId="20" fillId="2" borderId="3" xfId="0" applyFont="1" applyFill="1" applyBorder="1" applyAlignment="1">
      <alignment horizontal="center" vertical="center" textRotation="89" wrapText="1"/>
    </xf>
    <xf numFmtId="0" fontId="3" fillId="0" borderId="3" xfId="0" applyFont="1" applyBorder="1" applyAlignment="1">
      <alignment vertical="center" textRotation="89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9" xfId="0" applyFont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vertical="center" textRotation="90" wrapText="1"/>
    </xf>
    <xf numFmtId="0" fontId="19" fillId="0" borderId="30" xfId="0" applyFont="1" applyBorder="1" applyAlignment="1">
      <alignment horizontal="center" vertical="center" textRotation="90" wrapText="1"/>
    </xf>
    <xf numFmtId="0" fontId="19" fillId="0" borderId="7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top" wrapText="1"/>
    </xf>
    <xf numFmtId="0" fontId="5" fillId="4" borderId="24" xfId="0" applyFont="1" applyFill="1" applyBorder="1" applyAlignment="1">
      <alignment horizontal="center" vertical="top" wrapText="1"/>
    </xf>
    <xf numFmtId="0" fontId="5" fillId="4" borderId="25" xfId="0" applyFont="1" applyFill="1" applyBorder="1" applyAlignment="1">
      <alignment horizontal="center" vertical="top" wrapText="1"/>
    </xf>
    <xf numFmtId="0" fontId="5" fillId="4" borderId="2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6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6" fillId="3" borderId="8" xfId="0" applyFont="1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10" fillId="4" borderId="10" xfId="0" applyFont="1" applyFill="1" applyBorder="1" applyAlignment="1">
      <alignment vertical="top" wrapText="1"/>
    </xf>
    <xf numFmtId="0" fontId="10" fillId="4" borderId="11" xfId="0" applyFont="1" applyFill="1" applyBorder="1" applyAlignment="1">
      <alignment vertical="top" wrapText="1"/>
    </xf>
    <xf numFmtId="0" fontId="10" fillId="4" borderId="12" xfId="0" applyFont="1" applyFill="1" applyBorder="1" applyAlignment="1">
      <alignment vertical="top" wrapText="1"/>
    </xf>
    <xf numFmtId="0" fontId="10" fillId="4" borderId="9" xfId="0" applyFont="1" applyFill="1" applyBorder="1" applyAlignment="1">
      <alignment vertical="top" wrapText="1"/>
    </xf>
    <xf numFmtId="0" fontId="10" fillId="4" borderId="13" xfId="0" applyFont="1" applyFill="1" applyBorder="1" applyAlignment="1">
      <alignment vertical="top" wrapText="1"/>
    </xf>
    <xf numFmtId="0" fontId="10" fillId="4" borderId="16" xfId="0" applyFont="1" applyFill="1" applyBorder="1" applyAlignment="1">
      <alignment vertical="top" wrapText="1"/>
    </xf>
    <xf numFmtId="0" fontId="10" fillId="4" borderId="14" xfId="0" applyFont="1" applyFill="1" applyBorder="1" applyAlignment="1">
      <alignment vertical="top" wrapText="1"/>
    </xf>
    <xf numFmtId="0" fontId="10" fillId="4" borderId="8" xfId="0" applyFont="1" applyFill="1" applyBorder="1" applyAlignment="1">
      <alignment vertical="top" wrapText="1"/>
    </xf>
    <xf numFmtId="0" fontId="10" fillId="4" borderId="15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6"/>
  <sheetViews>
    <sheetView view="pageBreakPreview" topLeftCell="A216" zoomScale="60" zoomScaleNormal="70" workbookViewId="0">
      <selection activeCell="T274" sqref="T274"/>
    </sheetView>
  </sheetViews>
  <sheetFormatPr defaultColWidth="9.140625" defaultRowHeight="15" x14ac:dyDescent="0.25"/>
  <cols>
    <col min="1" max="1" width="9.140625" style="4"/>
    <col min="2" max="2" width="30" style="4" customWidth="1"/>
    <col min="3" max="3" width="10" style="4" customWidth="1"/>
    <col min="4" max="6" width="9.28515625" style="4" customWidth="1"/>
    <col min="7" max="7" width="9.5703125" style="4" customWidth="1"/>
    <col min="8" max="8" width="8.7109375" style="4" customWidth="1"/>
    <col min="9" max="9" width="10.42578125" style="4" customWidth="1"/>
    <col min="10" max="10" width="9.2851562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3" x14ac:dyDescent="0.25">
      <c r="A1" s="198" t="s">
        <v>156</v>
      </c>
      <c r="B1" s="199"/>
    </row>
    <row r="2" spans="1:13" x14ac:dyDescent="0.25">
      <c r="A2" s="198" t="s">
        <v>48</v>
      </c>
      <c r="B2" s="199"/>
    </row>
    <row r="3" spans="1:13" ht="15.75" thickBot="1" x14ac:dyDescent="0.3">
      <c r="A3" s="200" t="s">
        <v>171</v>
      </c>
      <c r="B3" s="201"/>
    </row>
    <row r="4" spans="1:13" ht="15.75" x14ac:dyDescent="0.25">
      <c r="A4" s="192" t="s">
        <v>49</v>
      </c>
      <c r="B4" s="192" t="s">
        <v>50</v>
      </c>
      <c r="C4" s="192" t="s">
        <v>51</v>
      </c>
      <c r="D4" s="189" t="s">
        <v>52</v>
      </c>
      <c r="E4" s="190"/>
      <c r="F4" s="191"/>
      <c r="G4" s="192" t="s">
        <v>53</v>
      </c>
      <c r="H4" s="189" t="s">
        <v>54</v>
      </c>
      <c r="I4" s="190"/>
      <c r="J4" s="191"/>
      <c r="K4" s="189" t="s">
        <v>55</v>
      </c>
      <c r="L4" s="190"/>
      <c r="M4" s="191"/>
    </row>
    <row r="5" spans="1:13" ht="16.5" thickBot="1" x14ac:dyDescent="0.3">
      <c r="A5" s="202"/>
      <c r="B5" s="193"/>
      <c r="C5" s="193"/>
      <c r="D5" s="195" t="s">
        <v>56</v>
      </c>
      <c r="E5" s="196"/>
      <c r="F5" s="197"/>
      <c r="G5" s="193"/>
      <c r="H5" s="195"/>
      <c r="I5" s="196"/>
      <c r="J5" s="197"/>
      <c r="K5" s="195"/>
      <c r="L5" s="196"/>
      <c r="M5" s="197"/>
    </row>
    <row r="6" spans="1:13" ht="18" customHeight="1" thickBot="1" x14ac:dyDescent="0.3">
      <c r="A6" s="203"/>
      <c r="B6" s="194"/>
      <c r="C6" s="194"/>
      <c r="D6" s="5" t="s">
        <v>57</v>
      </c>
      <c r="E6" s="5" t="s">
        <v>58</v>
      </c>
      <c r="F6" s="5" t="s">
        <v>59</v>
      </c>
      <c r="G6" s="194"/>
      <c r="H6" s="5" t="s">
        <v>60</v>
      </c>
      <c r="I6" s="5" t="s">
        <v>61</v>
      </c>
      <c r="J6" s="5" t="s">
        <v>62</v>
      </c>
      <c r="K6" s="5" t="s">
        <v>63</v>
      </c>
      <c r="L6" s="5" t="s">
        <v>81</v>
      </c>
      <c r="M6" s="5" t="s">
        <v>64</v>
      </c>
    </row>
    <row r="7" spans="1:13" ht="15.95" customHeight="1" x14ac:dyDescent="0.25">
      <c r="A7" s="6"/>
      <c r="B7" s="7" t="s">
        <v>65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22.15" customHeight="1" x14ac:dyDescent="0.25">
      <c r="A8" s="27">
        <v>289</v>
      </c>
      <c r="B8" s="10" t="s">
        <v>85</v>
      </c>
      <c r="C8" s="49">
        <v>200</v>
      </c>
      <c r="D8" s="20">
        <f>73.2*C8/1000</f>
        <v>14.64</v>
      </c>
      <c r="E8" s="20">
        <f>60.9*C8/1000</f>
        <v>12.18</v>
      </c>
      <c r="F8" s="20">
        <f>86.9*C8/1000</f>
        <v>17.38</v>
      </c>
      <c r="G8" s="20">
        <f>1188.6*C8/1000</f>
        <v>237.71999999999997</v>
      </c>
      <c r="H8" s="20">
        <f>120*C8/1000</f>
        <v>24</v>
      </c>
      <c r="I8" s="20">
        <f>0.5*C8/1000</f>
        <v>0.1</v>
      </c>
      <c r="J8" s="20">
        <f>66.9*C8/1000</f>
        <v>13.380000000000003</v>
      </c>
      <c r="K8" s="20">
        <f>163.4*C8/1000</f>
        <v>32.68</v>
      </c>
      <c r="L8" s="20">
        <f>789.1*C8/1000</f>
        <v>157.82</v>
      </c>
      <c r="M8" s="20">
        <f>10.5*C8/1000</f>
        <v>2.1</v>
      </c>
    </row>
    <row r="9" spans="1:13" ht="28.9" customHeight="1" x14ac:dyDescent="0.25">
      <c r="A9" s="27">
        <v>382</v>
      </c>
      <c r="B9" s="10" t="s">
        <v>98</v>
      </c>
      <c r="C9" s="49">
        <v>200</v>
      </c>
      <c r="D9" s="31">
        <f>20.4*C9/1000</f>
        <v>4.0799999999999992</v>
      </c>
      <c r="E9" s="31">
        <f>17.7*C9/1000</f>
        <v>3.54</v>
      </c>
      <c r="F9" s="31">
        <f>87.9*C9/1000</f>
        <v>17.579999999999998</v>
      </c>
      <c r="G9" s="31">
        <f>593*C9/1000</f>
        <v>118.6</v>
      </c>
      <c r="H9" s="31">
        <f>122*C9/1000</f>
        <v>24.4</v>
      </c>
      <c r="I9" s="31">
        <f>0.28*C9/1000</f>
        <v>5.6000000000000008E-2</v>
      </c>
      <c r="J9" s="31">
        <f>7.9*C9/1000</f>
        <v>1.58</v>
      </c>
      <c r="K9" s="31">
        <f>761.1*C9/1000</f>
        <v>152.22</v>
      </c>
      <c r="L9" s="31">
        <f>622.8*C9/1000</f>
        <v>124.55999999999999</v>
      </c>
      <c r="M9" s="31">
        <f>2.4*C9/1000</f>
        <v>0.48</v>
      </c>
    </row>
    <row r="10" spans="1:13" ht="26.45" customHeight="1" x14ac:dyDescent="0.25">
      <c r="A10" s="27">
        <v>14</v>
      </c>
      <c r="B10" s="10" t="s">
        <v>11</v>
      </c>
      <c r="C10" s="49">
        <v>10</v>
      </c>
      <c r="D10" s="31">
        <f>8*C10/1000</f>
        <v>0.08</v>
      </c>
      <c r="E10" s="31">
        <f>725*C10/1000</f>
        <v>7.25</v>
      </c>
      <c r="F10" s="31">
        <f>13*C10/1000</f>
        <v>0.13</v>
      </c>
      <c r="G10" s="31">
        <f>6600*C10/1000</f>
        <v>66</v>
      </c>
      <c r="H10" s="31">
        <f>4000*C10/1000</f>
        <v>40</v>
      </c>
      <c r="I10" s="31">
        <f>0</f>
        <v>0</v>
      </c>
      <c r="J10" s="31">
        <f>0</f>
        <v>0</v>
      </c>
      <c r="K10" s="31">
        <f>240*C10/1000</f>
        <v>2.4</v>
      </c>
      <c r="L10" s="31">
        <f>300*C10/1000</f>
        <v>3</v>
      </c>
      <c r="M10" s="31">
        <f>2*C10/1000</f>
        <v>0.02</v>
      </c>
    </row>
    <row r="11" spans="1:13" ht="21" customHeight="1" x14ac:dyDescent="0.25">
      <c r="A11" s="9" t="s">
        <v>66</v>
      </c>
      <c r="B11" s="10" t="s">
        <v>33</v>
      </c>
      <c r="C11" s="49">
        <v>40</v>
      </c>
      <c r="D11" s="20">
        <f>107*C11/1000</f>
        <v>4.28</v>
      </c>
      <c r="E11" s="20">
        <f>45*C11/1000</f>
        <v>1.8</v>
      </c>
      <c r="F11" s="20">
        <f>435*C11/1000</f>
        <v>17.399999999999999</v>
      </c>
      <c r="G11" s="20">
        <f>2740*C11/1000</f>
        <v>109.6</v>
      </c>
      <c r="H11" s="20">
        <f>0</f>
        <v>0</v>
      </c>
      <c r="I11" s="20">
        <f>4.1*C11/1000</f>
        <v>0.16400000000000001</v>
      </c>
      <c r="J11" s="20">
        <f>2*C11/1000</f>
        <v>0.08</v>
      </c>
      <c r="K11" s="20">
        <f>1250*C11/1000</f>
        <v>50</v>
      </c>
      <c r="L11" s="20">
        <f>1290*C11/1000</f>
        <v>51.6</v>
      </c>
      <c r="M11" s="20">
        <f>36*C11/1000</f>
        <v>1.44</v>
      </c>
    </row>
    <row r="12" spans="1:13" ht="27.6" customHeight="1" x14ac:dyDescent="0.25">
      <c r="A12" s="15" t="s">
        <v>70</v>
      </c>
      <c r="B12" s="10" t="s">
        <v>3</v>
      </c>
      <c r="C12" s="49">
        <v>20</v>
      </c>
      <c r="D12" s="31">
        <f>85*C12/1000</f>
        <v>1.7</v>
      </c>
      <c r="E12" s="31">
        <f>33*C12/1000</f>
        <v>0.66</v>
      </c>
      <c r="F12" s="31">
        <f>425*C12/1000</f>
        <v>8.5</v>
      </c>
      <c r="G12" s="31">
        <f>2590*C12/1000</f>
        <v>51.8</v>
      </c>
      <c r="H12" s="35">
        <f>0</f>
        <v>0</v>
      </c>
      <c r="I12" s="31">
        <f>4.3*C12/1000</f>
        <v>8.5999999999999993E-2</v>
      </c>
      <c r="J12" s="31">
        <f>4*C12/1000</f>
        <v>0.08</v>
      </c>
      <c r="K12" s="31">
        <f>730*C12/1000</f>
        <v>14.6</v>
      </c>
      <c r="L12" s="31">
        <f>1250*C12/1000</f>
        <v>25</v>
      </c>
      <c r="M12" s="31">
        <f>28.3*C12/1000</f>
        <v>0.56599999999999995</v>
      </c>
    </row>
    <row r="13" spans="1:13" ht="25.9" customHeight="1" x14ac:dyDescent="0.25">
      <c r="A13" s="9">
        <v>338</v>
      </c>
      <c r="B13" s="10" t="s">
        <v>131</v>
      </c>
      <c r="C13" s="49">
        <v>150</v>
      </c>
      <c r="D13" s="20">
        <f>4*C13/1000</f>
        <v>0.6</v>
      </c>
      <c r="E13" s="20">
        <f>4*C13/1000</f>
        <v>0.6</v>
      </c>
      <c r="F13" s="20">
        <f>98*C13/1000</f>
        <v>14.7</v>
      </c>
      <c r="G13" s="20">
        <f>470*C13/1000</f>
        <v>70.5</v>
      </c>
      <c r="H13" s="20">
        <f>0</f>
        <v>0</v>
      </c>
      <c r="I13" s="20">
        <f>0.3*C13/1000</f>
        <v>4.4999999999999998E-2</v>
      </c>
      <c r="J13" s="20">
        <f>100*C13/1000</f>
        <v>15</v>
      </c>
      <c r="K13" s="20">
        <f>160*C13/1000</f>
        <v>24</v>
      </c>
      <c r="L13" s="20">
        <f>110*C13/1000</f>
        <v>16.5</v>
      </c>
      <c r="M13" s="20">
        <f>22*C13/1000</f>
        <v>3.3</v>
      </c>
    </row>
    <row r="14" spans="1:13" ht="15.95" customHeight="1" x14ac:dyDescent="0.25">
      <c r="A14" s="9"/>
      <c r="B14" s="10"/>
      <c r="C14" s="1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ht="15.95" customHeight="1" x14ac:dyDescent="0.25">
      <c r="A15" s="9"/>
      <c r="B15" s="12" t="s">
        <v>67</v>
      </c>
      <c r="C15" s="124">
        <f t="shared" ref="C15:M15" si="0">SUM(C8:C14)</f>
        <v>620</v>
      </c>
      <c r="D15" s="122">
        <f t="shared" si="0"/>
        <v>25.38</v>
      </c>
      <c r="E15" s="122">
        <f t="shared" si="0"/>
        <v>26.03</v>
      </c>
      <c r="F15" s="122">
        <f t="shared" si="0"/>
        <v>75.69</v>
      </c>
      <c r="G15" s="122">
        <f t="shared" si="0"/>
        <v>654.21999999999991</v>
      </c>
      <c r="H15" s="122">
        <f t="shared" si="0"/>
        <v>88.4</v>
      </c>
      <c r="I15" s="122">
        <f t="shared" si="0"/>
        <v>0.45100000000000001</v>
      </c>
      <c r="J15" s="122">
        <f t="shared" si="0"/>
        <v>30.120000000000005</v>
      </c>
      <c r="K15" s="122">
        <f t="shared" si="0"/>
        <v>275.89999999999998</v>
      </c>
      <c r="L15" s="122">
        <f t="shared" si="0"/>
        <v>378.48</v>
      </c>
      <c r="M15" s="122">
        <f t="shared" si="0"/>
        <v>7.9059999999999997</v>
      </c>
    </row>
    <row r="16" spans="1:13" ht="15.95" customHeight="1" x14ac:dyDescent="0.25">
      <c r="A16" s="9"/>
      <c r="B16" s="14" t="s">
        <v>68</v>
      </c>
      <c r="C16" s="11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24.6" customHeight="1" x14ac:dyDescent="0.25">
      <c r="A17" s="9">
        <v>70</v>
      </c>
      <c r="B17" s="10" t="s">
        <v>175</v>
      </c>
      <c r="C17" s="49">
        <v>80</v>
      </c>
      <c r="D17" s="20">
        <v>0.8</v>
      </c>
      <c r="E17" s="20">
        <f>1*C17/1000</f>
        <v>0.08</v>
      </c>
      <c r="F17" s="20">
        <v>1.9</v>
      </c>
      <c r="G17" s="20">
        <v>10</v>
      </c>
      <c r="H17" s="20">
        <f>0</f>
        <v>0</v>
      </c>
      <c r="I17" s="20">
        <v>0</v>
      </c>
      <c r="J17" s="20">
        <v>3.5</v>
      </c>
      <c r="K17" s="20">
        <v>23</v>
      </c>
      <c r="L17" s="20">
        <v>24</v>
      </c>
      <c r="M17" s="20">
        <v>0.6</v>
      </c>
    </row>
    <row r="18" spans="1:13" ht="44.45" customHeight="1" x14ac:dyDescent="0.25">
      <c r="A18" s="27">
        <v>102</v>
      </c>
      <c r="B18" s="10" t="s">
        <v>80</v>
      </c>
      <c r="C18" s="49">
        <v>200</v>
      </c>
      <c r="D18" s="20">
        <f>22*C18/1000</f>
        <v>4.4000000000000004</v>
      </c>
      <c r="E18" s="20">
        <f>21.1*C18/1000</f>
        <v>4.22</v>
      </c>
      <c r="F18" s="20">
        <f>66.1*C18/1000</f>
        <v>13.219999999999999</v>
      </c>
      <c r="G18" s="20">
        <f>593*C18/1000</f>
        <v>118.6</v>
      </c>
      <c r="H18" s="20">
        <f>0</f>
        <v>0</v>
      </c>
      <c r="I18" s="20">
        <f>0.9*C18/1000</f>
        <v>0.18</v>
      </c>
      <c r="J18" s="20">
        <f>23.3*C18/1000</f>
        <v>4.66</v>
      </c>
      <c r="K18" s="20">
        <f>170.7*C18/1000</f>
        <v>34.14</v>
      </c>
      <c r="L18" s="20">
        <f>352.4*C18/1000</f>
        <v>70.48</v>
      </c>
      <c r="M18" s="20">
        <f>8.2*C18/1000</f>
        <v>1.6399999999999997</v>
      </c>
    </row>
    <row r="19" spans="1:13" ht="38.450000000000003" customHeight="1" x14ac:dyDescent="0.25">
      <c r="A19" s="27">
        <v>304</v>
      </c>
      <c r="B19" s="10" t="s">
        <v>39</v>
      </c>
      <c r="C19" s="49">
        <v>150</v>
      </c>
      <c r="D19" s="20">
        <f>24.3*C19/1000</f>
        <v>3.645</v>
      </c>
      <c r="E19" s="20">
        <f>35.8*C19/1000</f>
        <v>5.37</v>
      </c>
      <c r="F19" s="20">
        <f>244.6*C19/1000</f>
        <v>36.69</v>
      </c>
      <c r="G19" s="20">
        <f>1398*C19/1000</f>
        <v>209.7</v>
      </c>
      <c r="H19" s="20">
        <f>0</f>
        <v>0</v>
      </c>
      <c r="I19" s="20">
        <f>0.2*C19/1000</f>
        <v>0.03</v>
      </c>
      <c r="J19" s="20">
        <f>0</f>
        <v>0</v>
      </c>
      <c r="K19" s="20">
        <f>9.1*C19/1000</f>
        <v>1.365</v>
      </c>
      <c r="L19" s="20">
        <f>406.3*C19/1000</f>
        <v>60.945</v>
      </c>
      <c r="M19" s="20">
        <f>3.5*C19/1000</f>
        <v>0.52500000000000002</v>
      </c>
    </row>
    <row r="20" spans="1:13" ht="37.9" customHeight="1" x14ac:dyDescent="0.25">
      <c r="A20" s="27">
        <v>229</v>
      </c>
      <c r="B20" s="10" t="s">
        <v>73</v>
      </c>
      <c r="C20" s="49">
        <v>140</v>
      </c>
      <c r="D20" s="20">
        <f>97.5*C20/1000</f>
        <v>13.65</v>
      </c>
      <c r="E20" s="20">
        <f>49.5*C20/1000</f>
        <v>6.93</v>
      </c>
      <c r="F20" s="20">
        <f>38*C20/1000</f>
        <v>5.32</v>
      </c>
      <c r="G20" s="20">
        <f>1050*C20/1000</f>
        <v>147</v>
      </c>
      <c r="H20" s="20">
        <f>58.2*C20/1000</f>
        <v>8.1479999999999997</v>
      </c>
      <c r="I20" s="20">
        <f>0.5*C20/1000</f>
        <v>7.0000000000000007E-2</v>
      </c>
      <c r="J20" s="20">
        <f>37.3*C20/1000</f>
        <v>5.2220000000000004</v>
      </c>
      <c r="K20" s="20">
        <f>390.7*C20/1000</f>
        <v>54.698</v>
      </c>
      <c r="L20" s="20">
        <f>1621.9*C20/1000</f>
        <v>227.066</v>
      </c>
      <c r="M20" s="20">
        <f>8.5*C20/1000</f>
        <v>1.19</v>
      </c>
    </row>
    <row r="21" spans="1:13" ht="36.6" customHeight="1" x14ac:dyDescent="0.25">
      <c r="A21" s="27">
        <v>342</v>
      </c>
      <c r="B21" s="10" t="s">
        <v>74</v>
      </c>
      <c r="C21" s="49">
        <v>200</v>
      </c>
      <c r="D21" s="20">
        <f>0.8*C21/1000</f>
        <v>0.16</v>
      </c>
      <c r="E21" s="20">
        <f>0.8*C21/1000</f>
        <v>0.16</v>
      </c>
      <c r="F21" s="20">
        <f>139.4*C21/1000</f>
        <v>27.88</v>
      </c>
      <c r="G21" s="20">
        <f>573*C21/1000</f>
        <v>114.6</v>
      </c>
      <c r="H21" s="20">
        <f>0</f>
        <v>0</v>
      </c>
      <c r="I21" s="20">
        <f>0.1*C20/1000</f>
        <v>1.4E-2</v>
      </c>
      <c r="J21" s="20">
        <f>5.5*C21/1000</f>
        <v>1.1000000000000001</v>
      </c>
      <c r="K21" s="20">
        <f>70.9*C21/1000</f>
        <v>14.180000000000001</v>
      </c>
      <c r="L21" s="20">
        <f>22*C21/1000</f>
        <v>4.4000000000000004</v>
      </c>
      <c r="M21" s="20">
        <f>4.8*C21/1000</f>
        <v>0.96</v>
      </c>
    </row>
    <row r="22" spans="1:13" ht="37.9" customHeight="1" x14ac:dyDescent="0.25">
      <c r="A22" s="9" t="s">
        <v>66</v>
      </c>
      <c r="B22" s="10" t="s">
        <v>33</v>
      </c>
      <c r="C22" s="49">
        <v>40</v>
      </c>
      <c r="D22" s="20">
        <f>107*C22/1000</f>
        <v>4.28</v>
      </c>
      <c r="E22" s="20">
        <f>45*C22/1000</f>
        <v>1.8</v>
      </c>
      <c r="F22" s="20">
        <f>435*C22/1000</f>
        <v>17.399999999999999</v>
      </c>
      <c r="G22" s="20">
        <f>2740*C22/1000</f>
        <v>109.6</v>
      </c>
      <c r="H22" s="20">
        <f>0</f>
        <v>0</v>
      </c>
      <c r="I22" s="20">
        <f>4.1*C22/1000</f>
        <v>0.16400000000000001</v>
      </c>
      <c r="J22" s="20">
        <f>2*C22/1000</f>
        <v>0.08</v>
      </c>
      <c r="K22" s="20">
        <f>1250*C22/1000</f>
        <v>50</v>
      </c>
      <c r="L22" s="20">
        <f>1290*C22/1000</f>
        <v>51.6</v>
      </c>
      <c r="M22" s="20">
        <f>36*C22/1000</f>
        <v>1.44</v>
      </c>
    </row>
    <row r="23" spans="1:13" ht="36.6" customHeight="1" x14ac:dyDescent="0.25">
      <c r="A23" s="15" t="s">
        <v>70</v>
      </c>
      <c r="B23" s="10" t="s">
        <v>3</v>
      </c>
      <c r="C23" s="49">
        <v>20</v>
      </c>
      <c r="D23" s="31">
        <f>85*C23/1000</f>
        <v>1.7</v>
      </c>
      <c r="E23" s="31">
        <f>33*C23/1000</f>
        <v>0.66</v>
      </c>
      <c r="F23" s="31">
        <f>425*C23/1000</f>
        <v>8.5</v>
      </c>
      <c r="G23" s="31">
        <f>2590*C23/1000</f>
        <v>51.8</v>
      </c>
      <c r="H23" s="35">
        <f>0</f>
        <v>0</v>
      </c>
      <c r="I23" s="31">
        <f>4.3*C23/1000</f>
        <v>8.5999999999999993E-2</v>
      </c>
      <c r="J23" s="31">
        <f>4*C23/1000</f>
        <v>0.08</v>
      </c>
      <c r="K23" s="31">
        <f>730*C23/1000</f>
        <v>14.6</v>
      </c>
      <c r="L23" s="31">
        <f>1250*C23/1000</f>
        <v>25</v>
      </c>
      <c r="M23" s="31">
        <f>28.3*C23/1000</f>
        <v>0.56599999999999995</v>
      </c>
    </row>
    <row r="24" spans="1:13" ht="15.95" customHeight="1" x14ac:dyDescent="0.25">
      <c r="A24" s="9"/>
      <c r="B24" s="10"/>
      <c r="C24" s="49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ht="15.95" customHeight="1" x14ac:dyDescent="0.25">
      <c r="A25" s="15"/>
      <c r="B25" s="12" t="s">
        <v>67</v>
      </c>
      <c r="C25" s="124">
        <f t="shared" ref="C25:M25" si="1">SUM(C17:C24)</f>
        <v>830</v>
      </c>
      <c r="D25" s="122">
        <f t="shared" si="1"/>
        <v>28.635000000000002</v>
      </c>
      <c r="E25" s="122">
        <f t="shared" si="1"/>
        <v>19.220000000000002</v>
      </c>
      <c r="F25" s="122">
        <f t="shared" si="1"/>
        <v>110.91</v>
      </c>
      <c r="G25" s="122">
        <f t="shared" si="1"/>
        <v>761.3</v>
      </c>
      <c r="H25" s="122">
        <f t="shared" si="1"/>
        <v>8.1479999999999997</v>
      </c>
      <c r="I25" s="122">
        <f t="shared" si="1"/>
        <v>0.54400000000000004</v>
      </c>
      <c r="J25" s="122">
        <f t="shared" si="1"/>
        <v>14.642000000000001</v>
      </c>
      <c r="K25" s="122">
        <f t="shared" si="1"/>
        <v>191.983</v>
      </c>
      <c r="L25" s="122">
        <f t="shared" si="1"/>
        <v>463.49099999999999</v>
      </c>
      <c r="M25" s="122">
        <f t="shared" si="1"/>
        <v>6.9209999999999985</v>
      </c>
    </row>
    <row r="26" spans="1:13" ht="15.95" customHeight="1" x14ac:dyDescent="0.25">
      <c r="A26" s="15"/>
      <c r="B26" s="17" t="s">
        <v>71</v>
      </c>
      <c r="C26" s="125">
        <f t="shared" ref="C26:M26" si="2">C15+C25</f>
        <v>1450</v>
      </c>
      <c r="D26" s="123">
        <f t="shared" si="2"/>
        <v>54.015000000000001</v>
      </c>
      <c r="E26" s="123">
        <f t="shared" si="2"/>
        <v>45.25</v>
      </c>
      <c r="F26" s="123">
        <f t="shared" si="2"/>
        <v>186.6</v>
      </c>
      <c r="G26" s="123">
        <f t="shared" si="2"/>
        <v>1415.52</v>
      </c>
      <c r="H26" s="123">
        <f t="shared" si="2"/>
        <v>96.548000000000002</v>
      </c>
      <c r="I26" s="123">
        <f t="shared" si="2"/>
        <v>0.99500000000000011</v>
      </c>
      <c r="J26" s="123">
        <f t="shared" si="2"/>
        <v>44.762000000000008</v>
      </c>
      <c r="K26" s="123">
        <f t="shared" si="2"/>
        <v>467.88299999999998</v>
      </c>
      <c r="L26" s="123">
        <f t="shared" si="2"/>
        <v>841.971</v>
      </c>
      <c r="M26" s="123">
        <f t="shared" si="2"/>
        <v>14.826999999999998</v>
      </c>
    </row>
    <row r="27" spans="1:13" ht="15.95" customHeight="1" x14ac:dyDescent="0.25">
      <c r="A27" s="18"/>
      <c r="B27" s="19" t="s">
        <v>170</v>
      </c>
      <c r="C27" s="126">
        <v>1350</v>
      </c>
      <c r="D27" s="21">
        <v>45</v>
      </c>
      <c r="E27" s="21">
        <v>46</v>
      </c>
      <c r="F27" s="21">
        <v>192</v>
      </c>
      <c r="G27" s="21">
        <v>1360</v>
      </c>
      <c r="H27" s="21">
        <v>450</v>
      </c>
      <c r="I27" s="21">
        <v>0.7</v>
      </c>
      <c r="J27" s="21">
        <v>35</v>
      </c>
      <c r="K27" s="21">
        <v>600</v>
      </c>
      <c r="L27" s="21">
        <v>600</v>
      </c>
      <c r="M27" s="21">
        <v>9</v>
      </c>
    </row>
    <row r="28" spans="1:13" ht="15.95" customHeight="1" x14ac:dyDescent="0.25">
      <c r="A28" s="22"/>
      <c r="B28" s="23"/>
      <c r="C28" s="24"/>
      <c r="D28" s="25"/>
      <c r="E28" s="25"/>
      <c r="F28" s="25"/>
      <c r="G28" s="25"/>
      <c r="H28" s="25"/>
      <c r="I28" s="26"/>
      <c r="J28" s="25"/>
      <c r="K28" s="25"/>
      <c r="L28" s="25"/>
      <c r="M28" s="25"/>
    </row>
    <row r="29" spans="1:13" ht="15.95" customHeight="1" x14ac:dyDescent="0.25">
      <c r="A29" s="22"/>
      <c r="B29" s="23"/>
      <c r="C29" s="24"/>
      <c r="D29" s="25"/>
      <c r="E29" s="25"/>
      <c r="F29" s="25"/>
      <c r="G29" s="25"/>
      <c r="H29" s="25"/>
      <c r="I29" s="26"/>
      <c r="J29" s="25"/>
      <c r="K29" s="25"/>
      <c r="L29" s="25"/>
      <c r="M29" s="25"/>
    </row>
    <row r="30" spans="1:13" ht="142.9" customHeight="1" x14ac:dyDescent="0.25">
      <c r="A30" s="22"/>
      <c r="B30" s="23"/>
      <c r="C30" s="24"/>
      <c r="D30" s="25"/>
      <c r="E30" s="25"/>
      <c r="F30" s="25"/>
      <c r="G30" s="25"/>
      <c r="H30" s="25"/>
      <c r="I30" s="26"/>
      <c r="J30" s="25"/>
      <c r="K30" s="25"/>
      <c r="L30" s="25"/>
      <c r="M30" s="25"/>
    </row>
    <row r="31" spans="1:13" ht="1.1499999999999999" hidden="1" customHeight="1" x14ac:dyDescent="0.25"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 x14ac:dyDescent="0.25">
      <c r="A32" s="198" t="s">
        <v>155</v>
      </c>
      <c r="B32" s="199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1:13" x14ac:dyDescent="0.25">
      <c r="A33" s="198" t="s">
        <v>48</v>
      </c>
      <c r="B33" s="199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1:13" ht="15.75" thickBot="1" x14ac:dyDescent="0.3">
      <c r="A34" s="200" t="s">
        <v>168</v>
      </c>
      <c r="B34" s="201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1:13" x14ac:dyDescent="0.25">
      <c r="A35" s="192" t="s">
        <v>49</v>
      </c>
      <c r="B35" s="192" t="s">
        <v>50</v>
      </c>
      <c r="C35" s="192" t="s">
        <v>51</v>
      </c>
      <c r="D35" s="207" t="s">
        <v>52</v>
      </c>
      <c r="E35" s="208"/>
      <c r="F35" s="209"/>
      <c r="G35" s="204" t="s">
        <v>53</v>
      </c>
      <c r="H35" s="207" t="s">
        <v>54</v>
      </c>
      <c r="I35" s="208"/>
      <c r="J35" s="209"/>
      <c r="K35" s="207" t="s">
        <v>55</v>
      </c>
      <c r="L35" s="208"/>
      <c r="M35" s="209"/>
    </row>
    <row r="36" spans="1:13" ht="15.75" thickBot="1" x14ac:dyDescent="0.3">
      <c r="A36" s="202"/>
      <c r="B36" s="193"/>
      <c r="C36" s="193"/>
      <c r="D36" s="210" t="s">
        <v>56</v>
      </c>
      <c r="E36" s="211"/>
      <c r="F36" s="212"/>
      <c r="G36" s="205"/>
      <c r="H36" s="210"/>
      <c r="I36" s="211"/>
      <c r="J36" s="212"/>
      <c r="K36" s="210"/>
      <c r="L36" s="211"/>
      <c r="M36" s="212"/>
    </row>
    <row r="37" spans="1:13" ht="17.25" thickBot="1" x14ac:dyDescent="0.3">
      <c r="A37" s="203"/>
      <c r="B37" s="194"/>
      <c r="C37" s="194"/>
      <c r="D37" s="33" t="s">
        <v>57</v>
      </c>
      <c r="E37" s="33" t="s">
        <v>58</v>
      </c>
      <c r="F37" s="33" t="s">
        <v>59</v>
      </c>
      <c r="G37" s="206"/>
      <c r="H37" s="33" t="s">
        <v>60</v>
      </c>
      <c r="I37" s="33" t="s">
        <v>84</v>
      </c>
      <c r="J37" s="33" t="s">
        <v>62</v>
      </c>
      <c r="K37" s="33" t="s">
        <v>63</v>
      </c>
      <c r="L37" s="33" t="s">
        <v>81</v>
      </c>
      <c r="M37" s="33" t="s">
        <v>64</v>
      </c>
    </row>
    <row r="38" spans="1:13" ht="18.75" x14ac:dyDescent="0.25">
      <c r="A38" s="6"/>
      <c r="B38" s="7" t="s">
        <v>65</v>
      </c>
      <c r="C38" s="8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1:13" x14ac:dyDescent="0.25">
      <c r="A39" s="27">
        <v>219</v>
      </c>
      <c r="B39" s="10" t="s">
        <v>176</v>
      </c>
      <c r="C39" s="49">
        <v>200</v>
      </c>
      <c r="D39" s="20">
        <f>148.3*C39/1000</f>
        <v>29.660000000000004</v>
      </c>
      <c r="E39" s="20">
        <f>70.4*C39/1000</f>
        <v>14.080000000000002</v>
      </c>
      <c r="F39" s="20">
        <f>237.4*C39/1000</f>
        <v>47.48</v>
      </c>
      <c r="G39" s="20">
        <f>2180*C39/1000</f>
        <v>436</v>
      </c>
      <c r="H39" s="20">
        <f>501*C39/1000</f>
        <v>100.2</v>
      </c>
      <c r="I39" s="20">
        <f>0.4*C39/1000</f>
        <v>0.08</v>
      </c>
      <c r="J39" s="20">
        <f>1.9*C39/1000</f>
        <v>0.38</v>
      </c>
      <c r="K39" s="20">
        <f>974.1*C39/1000</f>
        <v>194.82</v>
      </c>
      <c r="L39" s="20">
        <f>1400*C39/1000</f>
        <v>280</v>
      </c>
      <c r="M39" s="20">
        <f>4*C39/1000</f>
        <v>0.8</v>
      </c>
    </row>
    <row r="40" spans="1:13" x14ac:dyDescent="0.25">
      <c r="A40" s="27">
        <v>209</v>
      </c>
      <c r="B40" s="10" t="s">
        <v>148</v>
      </c>
      <c r="C40" s="49">
        <v>40</v>
      </c>
      <c r="D40" s="20">
        <f>126*C40/1000</f>
        <v>5.04</v>
      </c>
      <c r="E40" s="20">
        <f>106*C40/1000</f>
        <v>4.24</v>
      </c>
      <c r="F40" s="20">
        <f>11*C40/1000</f>
        <v>0.44</v>
      </c>
      <c r="G40" s="20">
        <f>1550*C40/1000</f>
        <v>62</v>
      </c>
      <c r="H40" s="20">
        <f>1490*C40/1000</f>
        <v>59.6</v>
      </c>
      <c r="I40" s="20">
        <f>0.6*C40/1000</f>
        <v>2.4E-2</v>
      </c>
      <c r="J40" s="20">
        <f>0*C40/1000</f>
        <v>0</v>
      </c>
      <c r="K40" s="20">
        <f>500*C40/1000</f>
        <v>20</v>
      </c>
      <c r="L40" s="20">
        <f>1720*C40/1000</f>
        <v>68.8</v>
      </c>
      <c r="M40" s="20">
        <f>11.9*C40/1000</f>
        <v>0.47599999999999998</v>
      </c>
    </row>
    <row r="41" spans="1:13" x14ac:dyDescent="0.25">
      <c r="A41" s="27">
        <v>376</v>
      </c>
      <c r="B41" s="10" t="s">
        <v>38</v>
      </c>
      <c r="C41" s="49">
        <v>200</v>
      </c>
      <c r="D41" s="20">
        <f>5*C41/1000</f>
        <v>1</v>
      </c>
      <c r="E41" s="20">
        <f>0</f>
        <v>0</v>
      </c>
      <c r="F41" s="20">
        <f>101*C41/1000</f>
        <v>20.2</v>
      </c>
      <c r="G41" s="20">
        <f>424*C41/1000</f>
        <v>84.8</v>
      </c>
      <c r="H41" s="20">
        <f>0</f>
        <v>0</v>
      </c>
      <c r="I41" s="20">
        <f>0.1*C41/1000</f>
        <v>0.02</v>
      </c>
      <c r="J41" s="20">
        <f>20*C41/1000</f>
        <v>4</v>
      </c>
      <c r="K41" s="20">
        <f>70*C41/1000</f>
        <v>14</v>
      </c>
      <c r="L41" s="20">
        <f>70*C41/1000</f>
        <v>14</v>
      </c>
      <c r="M41" s="20">
        <f>14*C41/1000</f>
        <v>2.8</v>
      </c>
    </row>
    <row r="42" spans="1:13" x14ac:dyDescent="0.25">
      <c r="A42" s="27" t="s">
        <v>66</v>
      </c>
      <c r="B42" s="10" t="s">
        <v>33</v>
      </c>
      <c r="C42" s="49">
        <v>40</v>
      </c>
      <c r="D42" s="20">
        <f>107*C42/1000</f>
        <v>4.28</v>
      </c>
      <c r="E42" s="20">
        <f>45*C42/1000</f>
        <v>1.8</v>
      </c>
      <c r="F42" s="20">
        <f>435*C42/1000</f>
        <v>17.399999999999999</v>
      </c>
      <c r="G42" s="20">
        <f>2740*C42/1000</f>
        <v>109.6</v>
      </c>
      <c r="H42" s="20">
        <f>0</f>
        <v>0</v>
      </c>
      <c r="I42" s="20">
        <f>4.1*C42/1000</f>
        <v>0.16400000000000001</v>
      </c>
      <c r="J42" s="20">
        <f>2*C42/1000</f>
        <v>0.08</v>
      </c>
      <c r="K42" s="20">
        <f>1250*C42/1000</f>
        <v>50</v>
      </c>
      <c r="L42" s="20">
        <f>1290*C42/1000</f>
        <v>51.6</v>
      </c>
      <c r="M42" s="20">
        <f>36*C42/1000</f>
        <v>1.44</v>
      </c>
    </row>
    <row r="43" spans="1:13" x14ac:dyDescent="0.25">
      <c r="A43" s="9">
        <v>338</v>
      </c>
      <c r="B43" s="10" t="s">
        <v>131</v>
      </c>
      <c r="C43" s="49">
        <v>150</v>
      </c>
      <c r="D43" s="20">
        <f>4*C43/1000</f>
        <v>0.6</v>
      </c>
      <c r="E43" s="20">
        <f>4*C43/1000</f>
        <v>0.6</v>
      </c>
      <c r="F43" s="20">
        <f>98*C43/1000</f>
        <v>14.7</v>
      </c>
      <c r="G43" s="20">
        <f>470*C43/1000</f>
        <v>70.5</v>
      </c>
      <c r="H43" s="20">
        <f>0</f>
        <v>0</v>
      </c>
      <c r="I43" s="20">
        <f>0.3*C43/1000</f>
        <v>4.4999999999999998E-2</v>
      </c>
      <c r="J43" s="20">
        <f>100*C43/1000</f>
        <v>15</v>
      </c>
      <c r="K43" s="20">
        <f>160*C43/1000</f>
        <v>24</v>
      </c>
      <c r="L43" s="20">
        <f>110*C43/1000</f>
        <v>16.5</v>
      </c>
      <c r="M43" s="20">
        <f>22*C43/1000</f>
        <v>3.3</v>
      </c>
    </row>
    <row r="44" spans="1:13" x14ac:dyDescent="0.25">
      <c r="A44" s="27"/>
      <c r="B44" s="10"/>
      <c r="C44" s="1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x14ac:dyDescent="0.25">
      <c r="A45" s="27"/>
      <c r="B45" s="12" t="s">
        <v>67</v>
      </c>
      <c r="C45" s="13">
        <f t="shared" ref="C45:M45" si="3">SUM(C39:C44)</f>
        <v>630</v>
      </c>
      <c r="D45" s="122">
        <f t="shared" si="3"/>
        <v>40.580000000000005</v>
      </c>
      <c r="E45" s="122">
        <f t="shared" si="3"/>
        <v>20.720000000000002</v>
      </c>
      <c r="F45" s="122">
        <f t="shared" si="3"/>
        <v>100.21999999999998</v>
      </c>
      <c r="G45" s="122">
        <f t="shared" si="3"/>
        <v>762.9</v>
      </c>
      <c r="H45" s="122">
        <f t="shared" si="3"/>
        <v>159.80000000000001</v>
      </c>
      <c r="I45" s="122">
        <f t="shared" si="3"/>
        <v>0.33300000000000002</v>
      </c>
      <c r="J45" s="122">
        <f t="shared" si="3"/>
        <v>19.46</v>
      </c>
      <c r="K45" s="122">
        <f t="shared" si="3"/>
        <v>302.82</v>
      </c>
      <c r="L45" s="122">
        <f t="shared" si="3"/>
        <v>430.90000000000003</v>
      </c>
      <c r="M45" s="122">
        <f t="shared" si="3"/>
        <v>8.8159999999999989</v>
      </c>
    </row>
    <row r="46" spans="1:13" ht="18.75" x14ac:dyDescent="0.25">
      <c r="A46" s="27"/>
      <c r="B46" s="14" t="s">
        <v>68</v>
      </c>
      <c r="C46" s="11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3" x14ac:dyDescent="0.25">
      <c r="A47" s="9">
        <v>70</v>
      </c>
      <c r="B47" s="10" t="s">
        <v>175</v>
      </c>
      <c r="C47" s="49">
        <v>80</v>
      </c>
      <c r="D47" s="20">
        <v>0.8</v>
      </c>
      <c r="E47" s="20">
        <f>1*C47/1000</f>
        <v>0.08</v>
      </c>
      <c r="F47" s="20">
        <v>1.9</v>
      </c>
      <c r="G47" s="20">
        <v>10</v>
      </c>
      <c r="H47" s="20">
        <f>0</f>
        <v>0</v>
      </c>
      <c r="I47" s="20">
        <v>0</v>
      </c>
      <c r="J47" s="20">
        <v>3.5</v>
      </c>
      <c r="K47" s="20">
        <v>23</v>
      </c>
      <c r="L47" s="20">
        <v>24</v>
      </c>
      <c r="M47" s="20">
        <v>0.6</v>
      </c>
    </row>
    <row r="48" spans="1:13" x14ac:dyDescent="0.25">
      <c r="A48" s="27">
        <v>103</v>
      </c>
      <c r="B48" s="10" t="s">
        <v>97</v>
      </c>
      <c r="C48" s="49">
        <v>200</v>
      </c>
      <c r="D48" s="20">
        <f>10.8*C48/1000</f>
        <v>2.16</v>
      </c>
      <c r="E48" s="20">
        <f>11.4*C48/1000</f>
        <v>2.2799999999999998</v>
      </c>
      <c r="F48" s="20">
        <f>8.2*C48/1000</f>
        <v>1.6399999999999997</v>
      </c>
      <c r="G48" s="20">
        <f>473*C48/1000</f>
        <v>94.6</v>
      </c>
      <c r="H48" s="20">
        <f>0</f>
        <v>0</v>
      </c>
      <c r="I48" s="20">
        <f>0.5*C48/1000</f>
        <v>0.1</v>
      </c>
      <c r="J48" s="20">
        <f>33*C48/1000</f>
        <v>6.6</v>
      </c>
      <c r="K48" s="20">
        <f>116.8*C48/1000</f>
        <v>23.36</v>
      </c>
      <c r="L48" s="20">
        <f>270.3*C48/1000</f>
        <v>54.06</v>
      </c>
      <c r="M48" s="20">
        <f>4.5*C48/1000</f>
        <v>0.9</v>
      </c>
    </row>
    <row r="49" spans="1:13" x14ac:dyDescent="0.25">
      <c r="A49" s="27">
        <v>243</v>
      </c>
      <c r="B49" s="10" t="s">
        <v>142</v>
      </c>
      <c r="C49" s="49">
        <v>200</v>
      </c>
      <c r="D49" s="20">
        <f>16.9*C49/1000</f>
        <v>3.3799999999999994</v>
      </c>
      <c r="E49" s="20">
        <f>109.9*C49/1000</f>
        <v>21.98</v>
      </c>
      <c r="F49" s="20">
        <f>81.9*C49/1000</f>
        <v>16.380000000000003</v>
      </c>
      <c r="G49" s="20">
        <f>1352.4*C49/1000</f>
        <v>270.48</v>
      </c>
      <c r="H49" s="20">
        <f>438.1*C49/1000</f>
        <v>87.62</v>
      </c>
      <c r="I49" s="20">
        <f>0.6*C49/1000</f>
        <v>0.12</v>
      </c>
      <c r="J49" s="20">
        <f>119.1*C49/1000</f>
        <v>23.82</v>
      </c>
      <c r="K49" s="20">
        <f>353.9*C49/1000</f>
        <v>70.78</v>
      </c>
      <c r="L49" s="20">
        <f>428.6*C49/1000</f>
        <v>85.72</v>
      </c>
      <c r="M49" s="20">
        <f>5.7*C49/1000</f>
        <v>1.1399999999999999</v>
      </c>
    </row>
    <row r="50" spans="1:13" x14ac:dyDescent="0.25">
      <c r="A50" s="27">
        <v>359</v>
      </c>
      <c r="B50" s="10" t="s">
        <v>146</v>
      </c>
      <c r="C50" s="49">
        <v>200</v>
      </c>
      <c r="D50" s="20">
        <f>1.6*C50/1000</f>
        <v>0.32</v>
      </c>
      <c r="E50" s="20">
        <f>0</f>
        <v>0</v>
      </c>
      <c r="F50" s="20">
        <f>197*C50/1000</f>
        <v>39.4</v>
      </c>
      <c r="G50" s="20">
        <f>800*C50/1000</f>
        <v>160</v>
      </c>
      <c r="H50" s="20">
        <f>0</f>
        <v>0</v>
      </c>
      <c r="I50" s="20">
        <f>0.1*C50/1000</f>
        <v>0.02</v>
      </c>
      <c r="J50" s="20">
        <f>12*C50/1000</f>
        <v>2.4</v>
      </c>
      <c r="K50" s="20">
        <f>112.3*C50/1000</f>
        <v>22.46</v>
      </c>
      <c r="L50" s="20">
        <f>92.5*C50/1000</f>
        <v>18.5</v>
      </c>
      <c r="M50" s="20">
        <f>0.96*C50/1000</f>
        <v>0.192</v>
      </c>
    </row>
    <row r="51" spans="1:13" x14ac:dyDescent="0.25">
      <c r="A51" s="9" t="s">
        <v>66</v>
      </c>
      <c r="B51" s="10" t="s">
        <v>33</v>
      </c>
      <c r="C51" s="49">
        <v>40</v>
      </c>
      <c r="D51" s="20">
        <f>107*C51/1000</f>
        <v>4.28</v>
      </c>
      <c r="E51" s="20">
        <f>45*C51/1000</f>
        <v>1.8</v>
      </c>
      <c r="F51" s="20">
        <f>435*C51/1000</f>
        <v>17.399999999999999</v>
      </c>
      <c r="G51" s="20">
        <f>2740*C51/1000</f>
        <v>109.6</v>
      </c>
      <c r="H51" s="20">
        <f>0</f>
        <v>0</v>
      </c>
      <c r="I51" s="20">
        <f>4.1*C51/1000</f>
        <v>0.16400000000000001</v>
      </c>
      <c r="J51" s="20">
        <f>2*C51/1000</f>
        <v>0.08</v>
      </c>
      <c r="K51" s="20">
        <f>1250*C51/1000</f>
        <v>50</v>
      </c>
      <c r="L51" s="20">
        <f>1290*C51/1000</f>
        <v>51.6</v>
      </c>
      <c r="M51" s="20">
        <f>36*C51/1000</f>
        <v>1.44</v>
      </c>
    </row>
    <row r="52" spans="1:13" x14ac:dyDescent="0.25">
      <c r="A52" s="15" t="s">
        <v>70</v>
      </c>
      <c r="B52" s="10" t="s">
        <v>3</v>
      </c>
      <c r="C52" s="49">
        <v>20</v>
      </c>
      <c r="D52" s="31">
        <f>85*C52/1000</f>
        <v>1.7</v>
      </c>
      <c r="E52" s="31">
        <f>33*C52/1000</f>
        <v>0.66</v>
      </c>
      <c r="F52" s="31">
        <f>425*C52/1000</f>
        <v>8.5</v>
      </c>
      <c r="G52" s="31">
        <f>2590*C52/1000</f>
        <v>51.8</v>
      </c>
      <c r="H52" s="35">
        <f>0</f>
        <v>0</v>
      </c>
      <c r="I52" s="31">
        <f>4.3*C52/1000</f>
        <v>8.5999999999999993E-2</v>
      </c>
      <c r="J52" s="31">
        <f>4*C52/1000</f>
        <v>0.08</v>
      </c>
      <c r="K52" s="31">
        <f>730*C52/1000</f>
        <v>14.6</v>
      </c>
      <c r="L52" s="31">
        <f>1250*C52/1000</f>
        <v>25</v>
      </c>
      <c r="M52" s="31">
        <f>28.3*C52/1000</f>
        <v>0.56599999999999995</v>
      </c>
    </row>
    <row r="53" spans="1:13" x14ac:dyDescent="0.25">
      <c r="A53" s="28"/>
      <c r="B53" s="12" t="s">
        <v>67</v>
      </c>
      <c r="C53" s="13">
        <f t="shared" ref="C53:M53" si="4">SUM(C47:C52)</f>
        <v>740</v>
      </c>
      <c r="D53" s="122">
        <f t="shared" si="4"/>
        <v>12.64</v>
      </c>
      <c r="E53" s="122">
        <f t="shared" si="4"/>
        <v>26.8</v>
      </c>
      <c r="F53" s="122">
        <f t="shared" si="4"/>
        <v>85.22</v>
      </c>
      <c r="G53" s="122">
        <f t="shared" si="4"/>
        <v>696.48</v>
      </c>
      <c r="H53" s="122">
        <f t="shared" si="4"/>
        <v>87.62</v>
      </c>
      <c r="I53" s="122">
        <f t="shared" si="4"/>
        <v>0.49</v>
      </c>
      <c r="J53" s="122">
        <f t="shared" si="4"/>
        <v>36.479999999999997</v>
      </c>
      <c r="K53" s="122">
        <f t="shared" si="4"/>
        <v>204.2</v>
      </c>
      <c r="L53" s="122">
        <f t="shared" si="4"/>
        <v>258.88</v>
      </c>
      <c r="M53" s="122">
        <f t="shared" si="4"/>
        <v>4.8380000000000001</v>
      </c>
    </row>
    <row r="54" spans="1:13" ht="18.75" x14ac:dyDescent="0.25">
      <c r="A54" s="28"/>
      <c r="B54" s="17" t="s">
        <v>71</v>
      </c>
      <c r="C54" s="16">
        <f t="shared" ref="C54:M54" si="5">C45+C53</f>
        <v>1370</v>
      </c>
      <c r="D54" s="123">
        <f t="shared" si="5"/>
        <v>53.220000000000006</v>
      </c>
      <c r="E54" s="123">
        <f t="shared" si="5"/>
        <v>47.52</v>
      </c>
      <c r="F54" s="123">
        <f t="shared" si="5"/>
        <v>185.44</v>
      </c>
      <c r="G54" s="123">
        <f t="shared" si="5"/>
        <v>1459.38</v>
      </c>
      <c r="H54" s="123">
        <f t="shared" si="5"/>
        <v>247.42000000000002</v>
      </c>
      <c r="I54" s="123">
        <f t="shared" si="5"/>
        <v>0.82299999999999995</v>
      </c>
      <c r="J54" s="123">
        <f t="shared" si="5"/>
        <v>55.94</v>
      </c>
      <c r="K54" s="123">
        <f t="shared" si="5"/>
        <v>507.02</v>
      </c>
      <c r="L54" s="123">
        <f t="shared" si="5"/>
        <v>689.78</v>
      </c>
      <c r="M54" s="123">
        <f t="shared" si="5"/>
        <v>13.654</v>
      </c>
    </row>
    <row r="55" spans="1:13" ht="18.75" customHeight="1" x14ac:dyDescent="0.25">
      <c r="A55" s="18"/>
      <c r="B55" s="19" t="s">
        <v>170</v>
      </c>
      <c r="C55" s="20">
        <v>1350</v>
      </c>
      <c r="D55" s="21">
        <v>45</v>
      </c>
      <c r="E55" s="21">
        <v>46</v>
      </c>
      <c r="F55" s="21">
        <v>192</v>
      </c>
      <c r="G55" s="21">
        <v>1360</v>
      </c>
      <c r="H55" s="21">
        <v>450</v>
      </c>
      <c r="I55" s="21">
        <v>0.7</v>
      </c>
      <c r="J55" s="21">
        <v>35</v>
      </c>
      <c r="K55" s="21">
        <v>600</v>
      </c>
      <c r="L55" s="21">
        <v>600</v>
      </c>
      <c r="M55" s="21">
        <v>9</v>
      </c>
    </row>
    <row r="56" spans="1:13" ht="15.75" x14ac:dyDescent="0.25">
      <c r="A56" s="29"/>
      <c r="B56" s="23"/>
      <c r="C56" s="30"/>
      <c r="D56" s="25"/>
      <c r="E56" s="25"/>
      <c r="F56" s="25"/>
      <c r="G56" s="25"/>
      <c r="H56" s="25"/>
      <c r="I56" s="26"/>
      <c r="J56" s="25"/>
      <c r="K56" s="25"/>
      <c r="L56" s="25"/>
      <c r="M56" s="25"/>
    </row>
    <row r="57" spans="1:13" ht="102.6" customHeight="1" x14ac:dyDescent="0.25">
      <c r="A57" s="29"/>
      <c r="B57" s="23"/>
      <c r="C57" s="30"/>
      <c r="D57" s="25"/>
      <c r="E57" s="25"/>
      <c r="F57" s="25"/>
      <c r="G57" s="25"/>
      <c r="H57" s="25"/>
      <c r="I57" s="26"/>
      <c r="J57" s="25"/>
      <c r="K57" s="25"/>
      <c r="L57" s="25"/>
      <c r="M57" s="25"/>
    </row>
    <row r="58" spans="1:13" ht="15.75" hidden="1" x14ac:dyDescent="0.25">
      <c r="A58" s="29"/>
      <c r="B58" s="23"/>
      <c r="C58" s="30"/>
      <c r="D58" s="25"/>
      <c r="E58" s="25"/>
      <c r="F58" s="25"/>
      <c r="G58" s="25"/>
      <c r="H58" s="25"/>
      <c r="I58" s="26"/>
      <c r="J58" s="25"/>
      <c r="K58" s="25"/>
      <c r="L58" s="25"/>
      <c r="M58" s="25"/>
    </row>
    <row r="59" spans="1:13" ht="15.75" hidden="1" x14ac:dyDescent="0.25">
      <c r="A59" s="29"/>
      <c r="B59" s="23"/>
      <c r="C59" s="30"/>
      <c r="D59" s="25"/>
      <c r="E59" s="25"/>
      <c r="F59" s="25"/>
      <c r="G59" s="25"/>
      <c r="H59" s="25"/>
      <c r="I59" s="26"/>
      <c r="J59" s="25"/>
      <c r="K59" s="25"/>
      <c r="L59" s="25"/>
      <c r="M59" s="25"/>
    </row>
    <row r="60" spans="1:13" ht="15.75" hidden="1" x14ac:dyDescent="0.25">
      <c r="A60" s="29"/>
      <c r="B60" s="23"/>
      <c r="C60" s="30"/>
      <c r="D60" s="25"/>
      <c r="E60" s="25"/>
      <c r="F60" s="25"/>
      <c r="G60" s="25"/>
      <c r="H60" s="25"/>
      <c r="I60" s="26"/>
      <c r="J60" s="25"/>
      <c r="K60" s="25"/>
      <c r="L60" s="25"/>
      <c r="M60" s="25"/>
    </row>
    <row r="61" spans="1:13" ht="61.9" hidden="1" customHeight="1" x14ac:dyDescent="0.25">
      <c r="A61" s="29"/>
      <c r="B61" s="23"/>
      <c r="C61" s="30"/>
      <c r="D61" s="25"/>
      <c r="E61" s="25"/>
      <c r="F61" s="25"/>
      <c r="G61" s="25"/>
      <c r="H61" s="25"/>
      <c r="I61" s="26"/>
      <c r="J61" s="25"/>
      <c r="K61" s="25"/>
      <c r="L61" s="25"/>
      <c r="M61" s="25"/>
    </row>
    <row r="62" spans="1:13" x14ac:dyDescent="0.25">
      <c r="A62" s="198" t="s">
        <v>164</v>
      </c>
      <c r="B62" s="199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1:13" x14ac:dyDescent="0.25">
      <c r="A63" s="198" t="s">
        <v>48</v>
      </c>
      <c r="B63" s="199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1:13" ht="15.75" thickBot="1" x14ac:dyDescent="0.3">
      <c r="A64" s="200" t="s">
        <v>168</v>
      </c>
      <c r="B64" s="201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1:13" x14ac:dyDescent="0.25">
      <c r="A65" s="192" t="s">
        <v>49</v>
      </c>
      <c r="B65" s="192" t="s">
        <v>50</v>
      </c>
      <c r="C65" s="192" t="s">
        <v>51</v>
      </c>
      <c r="D65" s="207" t="s">
        <v>52</v>
      </c>
      <c r="E65" s="208"/>
      <c r="F65" s="209"/>
      <c r="G65" s="204" t="s">
        <v>53</v>
      </c>
      <c r="H65" s="207" t="s">
        <v>54</v>
      </c>
      <c r="I65" s="208"/>
      <c r="J65" s="209"/>
      <c r="K65" s="207" t="s">
        <v>55</v>
      </c>
      <c r="L65" s="208"/>
      <c r="M65" s="209"/>
    </row>
    <row r="66" spans="1:13" ht="15.75" thickBot="1" x14ac:dyDescent="0.3">
      <c r="A66" s="202"/>
      <c r="B66" s="193"/>
      <c r="C66" s="193"/>
      <c r="D66" s="210" t="s">
        <v>56</v>
      </c>
      <c r="E66" s="211"/>
      <c r="F66" s="212"/>
      <c r="G66" s="205"/>
      <c r="H66" s="210"/>
      <c r="I66" s="211"/>
      <c r="J66" s="212"/>
      <c r="K66" s="210"/>
      <c r="L66" s="211"/>
      <c r="M66" s="212"/>
    </row>
    <row r="67" spans="1:13" ht="17.25" thickBot="1" x14ac:dyDescent="0.3">
      <c r="A67" s="203"/>
      <c r="B67" s="194"/>
      <c r="C67" s="194"/>
      <c r="D67" s="33" t="s">
        <v>57</v>
      </c>
      <c r="E67" s="33" t="s">
        <v>58</v>
      </c>
      <c r="F67" s="33" t="s">
        <v>59</v>
      </c>
      <c r="G67" s="206"/>
      <c r="H67" s="33" t="s">
        <v>60</v>
      </c>
      <c r="I67" s="33" t="s">
        <v>84</v>
      </c>
      <c r="J67" s="33" t="s">
        <v>62</v>
      </c>
      <c r="K67" s="33" t="s">
        <v>63</v>
      </c>
      <c r="L67" s="33" t="s">
        <v>81</v>
      </c>
      <c r="M67" s="33" t="s">
        <v>64</v>
      </c>
    </row>
    <row r="68" spans="1:13" ht="18.75" x14ac:dyDescent="0.25">
      <c r="A68" s="6"/>
      <c r="B68" s="7" t="s">
        <v>65</v>
      </c>
      <c r="C68" s="8"/>
      <c r="D68" s="34"/>
      <c r="E68" s="34"/>
      <c r="F68" s="34"/>
      <c r="G68" s="34"/>
      <c r="H68" s="34"/>
      <c r="I68" s="34"/>
      <c r="J68" s="34"/>
      <c r="K68" s="34"/>
      <c r="L68" s="34"/>
      <c r="M68" s="34"/>
    </row>
    <row r="69" spans="1:13" x14ac:dyDescent="0.25">
      <c r="A69" s="27">
        <v>291</v>
      </c>
      <c r="B69" s="10" t="s">
        <v>158</v>
      </c>
      <c r="C69" s="49">
        <v>200</v>
      </c>
      <c r="D69" s="20">
        <f>20.7*C69/1000</f>
        <v>4.1399999999999997</v>
      </c>
      <c r="E69" s="20">
        <f>32.4*C69/1000</f>
        <v>6.48</v>
      </c>
      <c r="F69" s="20">
        <f>94.3*C69/1000</f>
        <v>18.86</v>
      </c>
      <c r="G69" s="20">
        <f>751*C69/1000</f>
        <v>150.19999999999999</v>
      </c>
      <c r="H69" s="20">
        <v>0</v>
      </c>
      <c r="I69" s="20">
        <f>0.3*C69/1000</f>
        <v>0.06</v>
      </c>
      <c r="J69" s="20">
        <f>171.6*C69/1000</f>
        <v>34.32</v>
      </c>
      <c r="K69" s="20">
        <f>554.5*C69/1000</f>
        <v>110.9</v>
      </c>
      <c r="L69" s="20">
        <f>401.4*C69/1000</f>
        <v>80.28</v>
      </c>
      <c r="M69" s="20">
        <f>8.1*C69/1000</f>
        <v>1.62</v>
      </c>
    </row>
    <row r="70" spans="1:13" x14ac:dyDescent="0.25">
      <c r="A70" s="27">
        <v>67</v>
      </c>
      <c r="B70" s="10" t="s">
        <v>159</v>
      </c>
      <c r="C70" s="49">
        <v>80</v>
      </c>
      <c r="D70" s="20">
        <f>7*C70/1000</f>
        <v>0.56000000000000005</v>
      </c>
      <c r="E70" s="20">
        <f>1*C70/1000</f>
        <v>0.08</v>
      </c>
      <c r="F70" s="20">
        <f>19*C70/1000</f>
        <v>1.52</v>
      </c>
      <c r="G70" s="20">
        <f>120*C70/1000</f>
        <v>9.6</v>
      </c>
      <c r="H70" s="20">
        <f>0</f>
        <v>0</v>
      </c>
      <c r="I70" s="20">
        <f>0.4*C70/1000</f>
        <v>3.2000000000000001E-2</v>
      </c>
      <c r="J70" s="20">
        <f>49*C70/1000</f>
        <v>3.92</v>
      </c>
      <c r="K70" s="20">
        <f>170*C70/1000</f>
        <v>13.6</v>
      </c>
      <c r="L70" s="20">
        <f>300*C70/1000</f>
        <v>24</v>
      </c>
      <c r="M70" s="20">
        <f>5*C70/1000</f>
        <v>0.4</v>
      </c>
    </row>
    <row r="71" spans="1:13" x14ac:dyDescent="0.25">
      <c r="A71" s="27">
        <v>379</v>
      </c>
      <c r="B71" s="10" t="s">
        <v>95</v>
      </c>
      <c r="C71" s="49">
        <v>200</v>
      </c>
      <c r="D71" s="31">
        <f>15.8*C71/1000</f>
        <v>3.16</v>
      </c>
      <c r="E71" s="31">
        <f>13.4*C71/1000</f>
        <v>2.68</v>
      </c>
      <c r="F71" s="31">
        <f>79.7*C71/1000</f>
        <v>15.94</v>
      </c>
      <c r="G71" s="31">
        <f>503*C71/1000</f>
        <v>100.6</v>
      </c>
      <c r="H71" s="31">
        <f>100*C71/1000</f>
        <v>20</v>
      </c>
      <c r="I71" s="31">
        <f>0.22*C71/1000</f>
        <v>4.3999999999999997E-2</v>
      </c>
      <c r="J71" s="31">
        <f>6.5*C71/1000</f>
        <v>1.3</v>
      </c>
      <c r="K71" s="31">
        <f>628.9*C71/1000</f>
        <v>125.78</v>
      </c>
      <c r="L71" s="31">
        <f>450*C71/1000</f>
        <v>90</v>
      </c>
      <c r="M71" s="31">
        <f>0.7*C71/1000</f>
        <v>0.14000000000000001</v>
      </c>
    </row>
    <row r="72" spans="1:13" x14ac:dyDescent="0.25">
      <c r="A72" s="9" t="s">
        <v>66</v>
      </c>
      <c r="B72" s="10" t="s">
        <v>33</v>
      </c>
      <c r="C72" s="49">
        <v>40</v>
      </c>
      <c r="D72" s="20">
        <f>107*C72/1000</f>
        <v>4.28</v>
      </c>
      <c r="E72" s="20">
        <f>45*C72/1000</f>
        <v>1.8</v>
      </c>
      <c r="F72" s="20">
        <f>435*C72/1000</f>
        <v>17.399999999999999</v>
      </c>
      <c r="G72" s="20">
        <f>2740*C72/1000</f>
        <v>109.6</v>
      </c>
      <c r="H72" s="20">
        <f>0</f>
        <v>0</v>
      </c>
      <c r="I72" s="20">
        <f>4.1*C72/1000</f>
        <v>0.16400000000000001</v>
      </c>
      <c r="J72" s="20">
        <f>2*C72/1000</f>
        <v>0.08</v>
      </c>
      <c r="K72" s="20">
        <f>1250*C72/1000</f>
        <v>50</v>
      </c>
      <c r="L72" s="20">
        <f>1290*C72/1000</f>
        <v>51.6</v>
      </c>
      <c r="M72" s="20">
        <f>36*C72/1000</f>
        <v>1.44</v>
      </c>
    </row>
    <row r="73" spans="1:13" x14ac:dyDescent="0.25">
      <c r="A73" s="15" t="s">
        <v>70</v>
      </c>
      <c r="B73" s="10" t="s">
        <v>3</v>
      </c>
      <c r="C73" s="49">
        <v>20</v>
      </c>
      <c r="D73" s="31">
        <f>85*C73/1000</f>
        <v>1.7</v>
      </c>
      <c r="E73" s="31">
        <f>33*C73/1000</f>
        <v>0.66</v>
      </c>
      <c r="F73" s="31">
        <f>425*C73/1000</f>
        <v>8.5</v>
      </c>
      <c r="G73" s="31">
        <f>2590*C73/1000</f>
        <v>51.8</v>
      </c>
      <c r="H73" s="35">
        <f>0</f>
        <v>0</v>
      </c>
      <c r="I73" s="31">
        <f>4.3*C73/1000</f>
        <v>8.5999999999999993E-2</v>
      </c>
      <c r="J73" s="31">
        <f>4*C73/1000</f>
        <v>0.08</v>
      </c>
      <c r="K73" s="31">
        <f>730*C73/1000</f>
        <v>14.6</v>
      </c>
      <c r="L73" s="31">
        <f>1250*C73/1000</f>
        <v>25</v>
      </c>
      <c r="M73" s="31">
        <f>28.3*C73/1000</f>
        <v>0.56599999999999995</v>
      </c>
    </row>
    <row r="74" spans="1:13" x14ac:dyDescent="0.25">
      <c r="A74" s="27"/>
      <c r="B74" s="12" t="s">
        <v>67</v>
      </c>
      <c r="C74" s="13">
        <f t="shared" ref="C74:M74" si="6">SUM(C69:C73)</f>
        <v>540</v>
      </c>
      <c r="D74" s="122">
        <f t="shared" si="6"/>
        <v>13.84</v>
      </c>
      <c r="E74" s="122">
        <f t="shared" si="6"/>
        <v>11.700000000000001</v>
      </c>
      <c r="F74" s="122">
        <f t="shared" si="6"/>
        <v>62.22</v>
      </c>
      <c r="G74" s="122">
        <f t="shared" si="6"/>
        <v>421.8</v>
      </c>
      <c r="H74" s="122">
        <f t="shared" si="6"/>
        <v>20</v>
      </c>
      <c r="I74" s="122">
        <f t="shared" si="6"/>
        <v>0.38600000000000001</v>
      </c>
      <c r="J74" s="122">
        <f t="shared" si="6"/>
        <v>39.699999999999996</v>
      </c>
      <c r="K74" s="122">
        <f t="shared" si="6"/>
        <v>314.88</v>
      </c>
      <c r="L74" s="122">
        <f t="shared" si="6"/>
        <v>270.88</v>
      </c>
      <c r="M74" s="122">
        <f t="shared" si="6"/>
        <v>4.1660000000000004</v>
      </c>
    </row>
    <row r="75" spans="1:13" ht="18.75" x14ac:dyDescent="0.25">
      <c r="A75" s="27"/>
      <c r="B75" s="14" t="s">
        <v>68</v>
      </c>
      <c r="C75" s="11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3" x14ac:dyDescent="0.25">
      <c r="A76" s="27">
        <v>96</v>
      </c>
      <c r="B76" s="10" t="s">
        <v>41</v>
      </c>
      <c r="C76" s="49">
        <v>200</v>
      </c>
      <c r="D76" s="20">
        <f>8.1*C76/1000</f>
        <v>1.62</v>
      </c>
      <c r="E76" s="20">
        <f>20.4*C76/1000</f>
        <v>4.0799999999999992</v>
      </c>
      <c r="F76" s="20">
        <f>47.9*C76/1000</f>
        <v>9.58</v>
      </c>
      <c r="G76" s="20">
        <f>429*C76/1000</f>
        <v>85.8</v>
      </c>
      <c r="H76" s="20">
        <f>0</f>
        <v>0</v>
      </c>
      <c r="I76" s="20">
        <f>0.4*C76/1000</f>
        <v>0.08</v>
      </c>
      <c r="J76" s="20">
        <f>33.5*C76/1000</f>
        <v>6.7</v>
      </c>
      <c r="K76" s="20">
        <f>116.6*C76/1000</f>
        <v>23.32</v>
      </c>
      <c r="L76" s="20">
        <f>226.9*C76/1000</f>
        <v>45.38</v>
      </c>
      <c r="M76" s="20">
        <f>3.7*C76/1000</f>
        <v>0.74</v>
      </c>
    </row>
    <row r="77" spans="1:13" x14ac:dyDescent="0.25">
      <c r="A77" s="28">
        <v>223</v>
      </c>
      <c r="B77" s="10" t="s">
        <v>151</v>
      </c>
      <c r="C77" s="49">
        <v>180</v>
      </c>
      <c r="D77" s="31">
        <f>122.8*C77/1000</f>
        <v>22.103999999999999</v>
      </c>
      <c r="E77" s="31">
        <f>109.6*C77/1000</f>
        <v>19.728000000000002</v>
      </c>
      <c r="F77" s="31">
        <f>97.5*C77/1000</f>
        <v>17.55</v>
      </c>
      <c r="G77" s="31">
        <f>1862.5*C77/1000</f>
        <v>335.25</v>
      </c>
      <c r="H77" s="31">
        <f>482.5*C77/1000</f>
        <v>86.85</v>
      </c>
      <c r="I77" s="31">
        <f>0.5*C77/1000</f>
        <v>0.09</v>
      </c>
      <c r="J77" s="31">
        <f>1.8*C77/1000</f>
        <v>0.32400000000000001</v>
      </c>
      <c r="K77" s="31">
        <f>1093.6*C77/1000</f>
        <v>196.84799999999998</v>
      </c>
      <c r="L77" s="31">
        <f>1498.8*C77/1000</f>
        <v>269.78399999999999</v>
      </c>
      <c r="M77" s="31">
        <f>5*C77/1000</f>
        <v>0.9</v>
      </c>
    </row>
    <row r="78" spans="1:13" x14ac:dyDescent="0.25">
      <c r="A78" s="27">
        <v>349</v>
      </c>
      <c r="B78" s="10" t="s">
        <v>37</v>
      </c>
      <c r="C78" s="49">
        <v>200</v>
      </c>
      <c r="D78" s="20">
        <f>3.3*C78/1000</f>
        <v>0.66</v>
      </c>
      <c r="E78" s="20">
        <f>0.5*C78/1000</f>
        <v>0.1</v>
      </c>
      <c r="F78" s="20">
        <f>160.1*C78/1000</f>
        <v>32.020000000000003</v>
      </c>
      <c r="G78" s="20">
        <f>664*C78/1000</f>
        <v>132.80000000000001</v>
      </c>
      <c r="H78" s="20">
        <f>0</f>
        <v>0</v>
      </c>
      <c r="I78" s="20">
        <f>0.1*C78/1000</f>
        <v>0.02</v>
      </c>
      <c r="J78" s="20">
        <f>5.6*C78/1000</f>
        <v>1.1200000000000001</v>
      </c>
      <c r="K78" s="20">
        <f>162.4*C78/1000</f>
        <v>32.479999999999997</v>
      </c>
      <c r="L78" s="20">
        <f>117.2*C78/1000</f>
        <v>23.44</v>
      </c>
      <c r="M78" s="20">
        <f>3.5*C78/1000</f>
        <v>0.7</v>
      </c>
    </row>
    <row r="79" spans="1:13" x14ac:dyDescent="0.25">
      <c r="A79" s="9" t="s">
        <v>66</v>
      </c>
      <c r="B79" s="10" t="s">
        <v>33</v>
      </c>
      <c r="C79" s="49">
        <v>40</v>
      </c>
      <c r="D79" s="20">
        <f>107*C79/1000</f>
        <v>4.28</v>
      </c>
      <c r="E79" s="20">
        <f>45*C79/1000</f>
        <v>1.8</v>
      </c>
      <c r="F79" s="20">
        <f>435*C79/1000</f>
        <v>17.399999999999999</v>
      </c>
      <c r="G79" s="20">
        <f>2740*C79/1000</f>
        <v>109.6</v>
      </c>
      <c r="H79" s="20">
        <f>0</f>
        <v>0</v>
      </c>
      <c r="I79" s="20">
        <f>4.1*C79/1000</f>
        <v>0.16400000000000001</v>
      </c>
      <c r="J79" s="20">
        <f>2*C79/1000</f>
        <v>0.08</v>
      </c>
      <c r="K79" s="20">
        <f>1250*C79/1000</f>
        <v>50</v>
      </c>
      <c r="L79" s="20">
        <f>1290*C79/1000</f>
        <v>51.6</v>
      </c>
      <c r="M79" s="20">
        <f>36*C79/1000</f>
        <v>1.44</v>
      </c>
    </row>
    <row r="80" spans="1:13" x14ac:dyDescent="0.25">
      <c r="A80" s="15" t="s">
        <v>70</v>
      </c>
      <c r="B80" s="10" t="s">
        <v>3</v>
      </c>
      <c r="C80" s="49">
        <v>20</v>
      </c>
      <c r="D80" s="31">
        <f>85*C80/1000</f>
        <v>1.7</v>
      </c>
      <c r="E80" s="31">
        <f>33*C80/1000</f>
        <v>0.66</v>
      </c>
      <c r="F80" s="31">
        <f>425*C80/1000</f>
        <v>8.5</v>
      </c>
      <c r="G80" s="31">
        <f>2590*C80/1000</f>
        <v>51.8</v>
      </c>
      <c r="H80" s="35">
        <f>0</f>
        <v>0</v>
      </c>
      <c r="I80" s="31">
        <f>4.3*C80/1000</f>
        <v>8.5999999999999993E-2</v>
      </c>
      <c r="J80" s="31">
        <f>4*C80/1000</f>
        <v>0.08</v>
      </c>
      <c r="K80" s="31">
        <f>730*C80/1000</f>
        <v>14.6</v>
      </c>
      <c r="L80" s="31">
        <f>1250*C80/1000</f>
        <v>25</v>
      </c>
      <c r="M80" s="31">
        <f>28.3*C80/1000</f>
        <v>0.56599999999999995</v>
      </c>
    </row>
    <row r="81" spans="1:13" x14ac:dyDescent="0.25">
      <c r="A81" s="9">
        <v>338</v>
      </c>
      <c r="B81" s="10" t="s">
        <v>131</v>
      </c>
      <c r="C81" s="49">
        <v>150</v>
      </c>
      <c r="D81" s="20">
        <f>4*C81/1000</f>
        <v>0.6</v>
      </c>
      <c r="E81" s="20">
        <f>4*C81/1000</f>
        <v>0.6</v>
      </c>
      <c r="F81" s="20">
        <f>98*C81/1000</f>
        <v>14.7</v>
      </c>
      <c r="G81" s="20">
        <f>470*C81/1000</f>
        <v>70.5</v>
      </c>
      <c r="H81" s="20">
        <f>0</f>
        <v>0</v>
      </c>
      <c r="I81" s="20">
        <f>0.3*C81/1000</f>
        <v>4.4999999999999998E-2</v>
      </c>
      <c r="J81" s="20">
        <f>100*C81/1000</f>
        <v>15</v>
      </c>
      <c r="K81" s="20">
        <f>160*C81/1000</f>
        <v>24</v>
      </c>
      <c r="L81" s="20">
        <f>110*C81/1000</f>
        <v>16.5</v>
      </c>
      <c r="M81" s="20">
        <f>22*C81/1000</f>
        <v>3.3</v>
      </c>
    </row>
    <row r="82" spans="1:13" x14ac:dyDescent="0.25">
      <c r="A82" s="28"/>
      <c r="B82" s="12" t="s">
        <v>67</v>
      </c>
      <c r="C82" s="13">
        <f t="shared" ref="C82:M82" si="7">SUM(C76:C81)</f>
        <v>790</v>
      </c>
      <c r="D82" s="122">
        <f t="shared" si="7"/>
        <v>30.964000000000002</v>
      </c>
      <c r="E82" s="122">
        <f t="shared" si="7"/>
        <v>26.968000000000004</v>
      </c>
      <c r="F82" s="122">
        <f t="shared" si="7"/>
        <v>99.750000000000014</v>
      </c>
      <c r="G82" s="122">
        <f t="shared" si="7"/>
        <v>785.75</v>
      </c>
      <c r="H82" s="122">
        <f t="shared" si="7"/>
        <v>86.85</v>
      </c>
      <c r="I82" s="122">
        <f t="shared" si="7"/>
        <v>0.48499999999999993</v>
      </c>
      <c r="J82" s="122">
        <f t="shared" si="7"/>
        <v>23.304000000000002</v>
      </c>
      <c r="K82" s="122">
        <f t="shared" si="7"/>
        <v>341.24799999999999</v>
      </c>
      <c r="L82" s="122">
        <f t="shared" si="7"/>
        <v>431.70400000000001</v>
      </c>
      <c r="M82" s="122">
        <f t="shared" si="7"/>
        <v>7.6459999999999999</v>
      </c>
    </row>
    <row r="83" spans="1:13" ht="18.75" x14ac:dyDescent="0.25">
      <c r="A83" s="28"/>
      <c r="B83" s="17" t="s">
        <v>71</v>
      </c>
      <c r="C83" s="16">
        <f t="shared" ref="C83:M83" si="8">C74+C82</f>
        <v>1330</v>
      </c>
      <c r="D83" s="123">
        <f t="shared" si="8"/>
        <v>44.804000000000002</v>
      </c>
      <c r="E83" s="123">
        <f t="shared" si="8"/>
        <v>38.668000000000006</v>
      </c>
      <c r="F83" s="123">
        <f t="shared" si="8"/>
        <v>161.97000000000003</v>
      </c>
      <c r="G83" s="123">
        <f t="shared" si="8"/>
        <v>1207.55</v>
      </c>
      <c r="H83" s="123">
        <f t="shared" si="8"/>
        <v>106.85</v>
      </c>
      <c r="I83" s="123">
        <f t="shared" si="8"/>
        <v>0.871</v>
      </c>
      <c r="J83" s="123">
        <f t="shared" si="8"/>
        <v>63.003999999999998</v>
      </c>
      <c r="K83" s="123">
        <f t="shared" si="8"/>
        <v>656.12799999999993</v>
      </c>
      <c r="L83" s="123">
        <f t="shared" si="8"/>
        <v>702.58400000000006</v>
      </c>
      <c r="M83" s="123">
        <f t="shared" si="8"/>
        <v>11.812000000000001</v>
      </c>
    </row>
    <row r="84" spans="1:13" ht="18" customHeight="1" x14ac:dyDescent="0.25">
      <c r="A84" s="18"/>
      <c r="B84" s="19" t="s">
        <v>170</v>
      </c>
      <c r="C84" s="20">
        <v>1350</v>
      </c>
      <c r="D84" s="21">
        <v>45</v>
      </c>
      <c r="E84" s="21">
        <v>46</v>
      </c>
      <c r="F84" s="21">
        <v>192</v>
      </c>
      <c r="G84" s="21">
        <v>1360</v>
      </c>
      <c r="H84" s="21">
        <v>450</v>
      </c>
      <c r="I84" s="21">
        <v>0.7</v>
      </c>
      <c r="J84" s="21">
        <v>35</v>
      </c>
      <c r="K84" s="21">
        <v>600</v>
      </c>
      <c r="L84" s="21">
        <v>600</v>
      </c>
      <c r="M84" s="21">
        <v>9</v>
      </c>
    </row>
    <row r="85" spans="1:13" ht="15.75" x14ac:dyDescent="0.25">
      <c r="A85" s="29"/>
      <c r="B85" s="23"/>
      <c r="C85" s="30"/>
      <c r="D85" s="25"/>
      <c r="E85" s="25"/>
      <c r="F85" s="25"/>
      <c r="G85" s="25"/>
      <c r="H85" s="25"/>
      <c r="I85" s="26"/>
      <c r="J85" s="25"/>
      <c r="K85" s="25"/>
      <c r="L85" s="25"/>
      <c r="M85" s="25"/>
    </row>
    <row r="86" spans="1:13" ht="208.15" customHeight="1" x14ac:dyDescent="0.25">
      <c r="A86" s="29"/>
      <c r="B86" s="23"/>
      <c r="C86" s="30"/>
      <c r="D86" s="25"/>
      <c r="E86" s="25"/>
      <c r="F86" s="25"/>
      <c r="G86" s="25"/>
      <c r="H86" s="25"/>
      <c r="I86" s="26"/>
      <c r="J86" s="25"/>
      <c r="K86" s="25"/>
      <c r="L86" s="25"/>
      <c r="M86" s="25"/>
    </row>
    <row r="87" spans="1:13" ht="15.75" hidden="1" x14ac:dyDescent="0.25">
      <c r="A87" s="29"/>
      <c r="B87" s="23"/>
      <c r="C87" s="30"/>
      <c r="D87" s="25"/>
      <c r="E87" s="25"/>
      <c r="F87" s="25"/>
      <c r="G87" s="25"/>
      <c r="H87" s="25"/>
      <c r="I87" s="26"/>
      <c r="J87" s="25"/>
      <c r="K87" s="25"/>
      <c r="L87" s="25"/>
      <c r="M87" s="25"/>
    </row>
    <row r="88" spans="1:13" ht="37.9" hidden="1" customHeight="1" x14ac:dyDescent="0.25">
      <c r="A88" s="29"/>
      <c r="B88" s="23"/>
      <c r="C88" s="30"/>
      <c r="D88" s="25"/>
      <c r="E88" s="25"/>
      <c r="F88" s="25"/>
      <c r="G88" s="25"/>
      <c r="H88" s="25"/>
      <c r="I88" s="26"/>
      <c r="J88" s="25"/>
      <c r="K88" s="25"/>
      <c r="L88" s="25"/>
      <c r="M88" s="25"/>
    </row>
    <row r="89" spans="1:13" x14ac:dyDescent="0.25">
      <c r="A89" s="198" t="s">
        <v>154</v>
      </c>
      <c r="B89" s="199"/>
      <c r="D89" s="32"/>
      <c r="E89" s="32"/>
      <c r="F89" s="32"/>
      <c r="G89" s="32"/>
      <c r="H89" s="32"/>
      <c r="I89" s="32"/>
      <c r="J89" s="32"/>
      <c r="K89" s="32"/>
      <c r="L89" s="32"/>
      <c r="M89" s="32"/>
    </row>
    <row r="90" spans="1:13" x14ac:dyDescent="0.25">
      <c r="A90" s="198" t="s">
        <v>48</v>
      </c>
      <c r="B90" s="199"/>
      <c r="D90" s="32"/>
      <c r="E90" s="32"/>
      <c r="F90" s="32"/>
      <c r="G90" s="32"/>
      <c r="H90" s="32"/>
      <c r="I90" s="32"/>
      <c r="J90" s="32"/>
      <c r="K90" s="32"/>
      <c r="L90" s="32"/>
      <c r="M90" s="32"/>
    </row>
    <row r="91" spans="1:13" ht="15.75" thickBot="1" x14ac:dyDescent="0.3">
      <c r="A91" s="200" t="s">
        <v>169</v>
      </c>
      <c r="B91" s="201"/>
      <c r="D91" s="32"/>
      <c r="E91" s="32"/>
      <c r="F91" s="32"/>
      <c r="G91" s="32"/>
      <c r="H91" s="32"/>
      <c r="I91" s="32"/>
      <c r="J91" s="32"/>
      <c r="K91" s="32"/>
      <c r="L91" s="32"/>
      <c r="M91" s="32"/>
    </row>
    <row r="92" spans="1:13" x14ac:dyDescent="0.25">
      <c r="A92" s="192" t="s">
        <v>49</v>
      </c>
      <c r="B92" s="192" t="s">
        <v>50</v>
      </c>
      <c r="C92" s="192" t="s">
        <v>51</v>
      </c>
      <c r="D92" s="207" t="s">
        <v>52</v>
      </c>
      <c r="E92" s="208"/>
      <c r="F92" s="209"/>
      <c r="G92" s="204" t="s">
        <v>53</v>
      </c>
      <c r="H92" s="207" t="s">
        <v>54</v>
      </c>
      <c r="I92" s="208"/>
      <c r="J92" s="209"/>
      <c r="K92" s="207" t="s">
        <v>55</v>
      </c>
      <c r="L92" s="208"/>
      <c r="M92" s="209"/>
    </row>
    <row r="93" spans="1:13" ht="15.75" thickBot="1" x14ac:dyDescent="0.3">
      <c r="A93" s="202"/>
      <c r="B93" s="193"/>
      <c r="C93" s="193"/>
      <c r="D93" s="210" t="s">
        <v>56</v>
      </c>
      <c r="E93" s="211"/>
      <c r="F93" s="212"/>
      <c r="G93" s="205"/>
      <c r="H93" s="210"/>
      <c r="I93" s="211"/>
      <c r="J93" s="212"/>
      <c r="K93" s="210"/>
      <c r="L93" s="211"/>
      <c r="M93" s="212"/>
    </row>
    <row r="94" spans="1:13" ht="17.25" thickBot="1" x14ac:dyDescent="0.3">
      <c r="A94" s="203"/>
      <c r="B94" s="194"/>
      <c r="C94" s="194"/>
      <c r="D94" s="33" t="s">
        <v>57</v>
      </c>
      <c r="E94" s="33" t="s">
        <v>58</v>
      </c>
      <c r="F94" s="33" t="s">
        <v>59</v>
      </c>
      <c r="G94" s="206"/>
      <c r="H94" s="33" t="s">
        <v>60</v>
      </c>
      <c r="I94" s="33" t="s">
        <v>84</v>
      </c>
      <c r="J94" s="33" t="s">
        <v>62</v>
      </c>
      <c r="K94" s="33" t="s">
        <v>63</v>
      </c>
      <c r="L94" s="33" t="s">
        <v>81</v>
      </c>
      <c r="M94" s="33" t="s">
        <v>64</v>
      </c>
    </row>
    <row r="95" spans="1:13" ht="18.75" x14ac:dyDescent="0.25">
      <c r="A95" s="6"/>
      <c r="B95" s="7" t="s">
        <v>65</v>
      </c>
      <c r="C95" s="8"/>
      <c r="D95" s="34"/>
      <c r="E95" s="34"/>
      <c r="F95" s="34"/>
      <c r="G95" s="34"/>
      <c r="H95" s="34"/>
      <c r="I95" s="34"/>
      <c r="J95" s="34"/>
      <c r="K95" s="34"/>
      <c r="L95" s="34"/>
      <c r="M95" s="34"/>
    </row>
    <row r="96" spans="1:13" x14ac:dyDescent="0.25">
      <c r="A96" s="27">
        <v>312</v>
      </c>
      <c r="B96" s="10" t="s">
        <v>42</v>
      </c>
      <c r="C96" s="49">
        <v>200</v>
      </c>
      <c r="D96" s="20">
        <f>20.4*C96/1000</f>
        <v>4.0799999999999992</v>
      </c>
      <c r="E96" s="20">
        <f>32*C96/1000</f>
        <v>6.4</v>
      </c>
      <c r="F96" s="20">
        <f>136.3*C96/1000</f>
        <v>27.260000000000005</v>
      </c>
      <c r="G96" s="20">
        <f>915*C96/1000</f>
        <v>183</v>
      </c>
      <c r="H96" s="20">
        <f>0</f>
        <v>0</v>
      </c>
      <c r="I96" s="20">
        <f>0.9*C96/1000</f>
        <v>0.18</v>
      </c>
      <c r="J96" s="20">
        <f>121.1*C96/1000</f>
        <v>24.22</v>
      </c>
      <c r="K96" s="20">
        <f>246.5*C96/1000</f>
        <v>49.3</v>
      </c>
      <c r="L96" s="20">
        <f>577.3*C96/1000</f>
        <v>115.45999999999998</v>
      </c>
      <c r="M96" s="20">
        <f>6.7*C96/1000</f>
        <v>1.34</v>
      </c>
    </row>
    <row r="97" spans="1:13" x14ac:dyDescent="0.25">
      <c r="A97" s="27">
        <v>255</v>
      </c>
      <c r="B97" s="10" t="s">
        <v>133</v>
      </c>
      <c r="C97" s="49">
        <v>100</v>
      </c>
      <c r="D97" s="20">
        <f>132.6*C97/1000</f>
        <v>13.26</v>
      </c>
      <c r="E97" s="20">
        <f>112.3*C97/1000</f>
        <v>11.23</v>
      </c>
      <c r="F97" s="20">
        <f>35.2*C97/1000</f>
        <v>3.5200000000000005</v>
      </c>
      <c r="G97" s="20">
        <f>1850*C97/1000</f>
        <v>185</v>
      </c>
      <c r="H97" s="20">
        <f>57820*C97/1000</f>
        <v>5782</v>
      </c>
      <c r="I97" s="20">
        <f>2*C97/1000</f>
        <v>0.2</v>
      </c>
      <c r="J97" s="20">
        <f>84.2*C97/1000</f>
        <v>8.42</v>
      </c>
      <c r="K97" s="20">
        <f>332.4*C97/1000</f>
        <v>33.24</v>
      </c>
      <c r="L97" s="20">
        <f>2393.2*C97/1000</f>
        <v>239.31999999999996</v>
      </c>
      <c r="M97" s="20">
        <f>50*C97/1000</f>
        <v>5</v>
      </c>
    </row>
    <row r="98" spans="1:13" x14ac:dyDescent="0.25">
      <c r="A98" s="27">
        <v>386</v>
      </c>
      <c r="B98" s="10" t="s">
        <v>172</v>
      </c>
      <c r="C98" s="49">
        <v>200</v>
      </c>
      <c r="D98" s="20">
        <v>5.8</v>
      </c>
      <c r="E98" s="20">
        <v>5</v>
      </c>
      <c r="F98" s="20">
        <v>8</v>
      </c>
      <c r="G98" s="20">
        <v>100</v>
      </c>
      <c r="H98" s="20">
        <v>40</v>
      </c>
      <c r="I98" s="20">
        <v>0.08</v>
      </c>
      <c r="J98" s="20">
        <v>1.4</v>
      </c>
      <c r="K98" s="20">
        <v>240</v>
      </c>
      <c r="L98" s="20">
        <v>180</v>
      </c>
      <c r="M98" s="20">
        <v>0.2</v>
      </c>
    </row>
    <row r="99" spans="1:13" x14ac:dyDescent="0.25">
      <c r="A99" s="9" t="s">
        <v>66</v>
      </c>
      <c r="B99" s="10" t="s">
        <v>33</v>
      </c>
      <c r="C99" s="49">
        <v>40</v>
      </c>
      <c r="D99" s="20">
        <f>107*C99/1000</f>
        <v>4.28</v>
      </c>
      <c r="E99" s="20">
        <f>45*C99/1000</f>
        <v>1.8</v>
      </c>
      <c r="F99" s="20">
        <f>435*C99/1000</f>
        <v>17.399999999999999</v>
      </c>
      <c r="G99" s="20">
        <f>2740*C99/1000</f>
        <v>109.6</v>
      </c>
      <c r="H99" s="20">
        <f>0</f>
        <v>0</v>
      </c>
      <c r="I99" s="20">
        <f>4.1*C99/1000</f>
        <v>0.16400000000000001</v>
      </c>
      <c r="J99" s="20">
        <f>2*C99/1000</f>
        <v>0.08</v>
      </c>
      <c r="K99" s="20">
        <f>1250*C99/1000</f>
        <v>50</v>
      </c>
      <c r="L99" s="20">
        <f>1290*C99/1000</f>
        <v>51.6</v>
      </c>
      <c r="M99" s="20">
        <f>36*C99/1000</f>
        <v>1.44</v>
      </c>
    </row>
    <row r="100" spans="1:13" x14ac:dyDescent="0.25">
      <c r="A100" s="15" t="s">
        <v>70</v>
      </c>
      <c r="B100" s="10" t="s">
        <v>3</v>
      </c>
      <c r="C100" s="49">
        <v>20</v>
      </c>
      <c r="D100" s="31">
        <f>85*C100/1000</f>
        <v>1.7</v>
      </c>
      <c r="E100" s="31">
        <f>33*C100/1000</f>
        <v>0.66</v>
      </c>
      <c r="F100" s="31">
        <f>425*C100/1000</f>
        <v>8.5</v>
      </c>
      <c r="G100" s="31">
        <f>2590*C100/1000</f>
        <v>51.8</v>
      </c>
      <c r="H100" s="35">
        <f>0</f>
        <v>0</v>
      </c>
      <c r="I100" s="31">
        <f>4.3*C100/1000</f>
        <v>8.5999999999999993E-2</v>
      </c>
      <c r="J100" s="31">
        <f>4*C100/1000</f>
        <v>0.08</v>
      </c>
      <c r="K100" s="31">
        <f>730*C100/1000</f>
        <v>14.6</v>
      </c>
      <c r="L100" s="31">
        <f>1250*C100/1000</f>
        <v>25</v>
      </c>
      <c r="M100" s="31">
        <f>28.3*C100/1000</f>
        <v>0.56599999999999995</v>
      </c>
    </row>
    <row r="101" spans="1:13" x14ac:dyDescent="0.25">
      <c r="A101" s="27"/>
      <c r="B101" s="10"/>
      <c r="C101" s="10"/>
      <c r="D101" s="20"/>
      <c r="E101" s="20"/>
      <c r="F101" s="20"/>
      <c r="G101" s="20"/>
      <c r="H101" s="20"/>
      <c r="I101" s="20"/>
      <c r="J101" s="20"/>
      <c r="K101" s="20"/>
      <c r="L101" s="20"/>
      <c r="M101" s="20"/>
    </row>
    <row r="102" spans="1:13" x14ac:dyDescent="0.25">
      <c r="A102" s="27"/>
      <c r="B102" s="12" t="s">
        <v>67</v>
      </c>
      <c r="C102" s="13">
        <f t="shared" ref="C102:M102" si="9">SUM(C96:C101)</f>
        <v>560</v>
      </c>
      <c r="D102" s="122">
        <f t="shared" si="9"/>
        <v>29.12</v>
      </c>
      <c r="E102" s="122">
        <f t="shared" si="9"/>
        <v>25.090000000000003</v>
      </c>
      <c r="F102" s="122">
        <f t="shared" si="9"/>
        <v>64.680000000000007</v>
      </c>
      <c r="G102" s="122">
        <f t="shared" si="9"/>
        <v>629.4</v>
      </c>
      <c r="H102" s="122">
        <f t="shared" si="9"/>
        <v>5822</v>
      </c>
      <c r="I102" s="122">
        <f t="shared" si="9"/>
        <v>0.71</v>
      </c>
      <c r="J102" s="122">
        <f t="shared" si="9"/>
        <v>34.199999999999996</v>
      </c>
      <c r="K102" s="122">
        <f t="shared" si="9"/>
        <v>387.14</v>
      </c>
      <c r="L102" s="122">
        <f t="shared" si="9"/>
        <v>611.38</v>
      </c>
      <c r="M102" s="122">
        <f t="shared" si="9"/>
        <v>8.5460000000000012</v>
      </c>
    </row>
    <row r="103" spans="1:13" ht="18.75" x14ac:dyDescent="0.25">
      <c r="A103" s="27"/>
      <c r="B103" s="14" t="s">
        <v>68</v>
      </c>
      <c r="C103" s="11"/>
      <c r="D103" s="20"/>
      <c r="E103" s="20"/>
      <c r="F103" s="20"/>
      <c r="G103" s="20"/>
      <c r="H103" s="20"/>
      <c r="I103" s="20"/>
      <c r="J103" s="20"/>
      <c r="K103" s="20"/>
      <c r="L103" s="20"/>
      <c r="M103" s="20"/>
    </row>
    <row r="104" spans="1:13" x14ac:dyDescent="0.25">
      <c r="A104" s="27">
        <v>62</v>
      </c>
      <c r="B104" s="10" t="s">
        <v>108</v>
      </c>
      <c r="C104" s="49">
        <v>60</v>
      </c>
      <c r="D104" s="20">
        <f>12.3*C104/1000</f>
        <v>0.73799999999999999</v>
      </c>
      <c r="E104" s="20">
        <f>0.9*C104/1000</f>
        <v>5.3999999999999999E-2</v>
      </c>
      <c r="F104" s="20">
        <f>114.8*C104/1000</f>
        <v>6.8879999999999999</v>
      </c>
      <c r="G104" s="20">
        <f>817*C104/1000</f>
        <v>49.02</v>
      </c>
      <c r="H104" s="20">
        <f>0</f>
        <v>0</v>
      </c>
      <c r="I104" s="20">
        <f>0.6*C104/1000</f>
        <v>3.5999999999999997E-2</v>
      </c>
      <c r="J104" s="20">
        <f>33.6*C104/1000</f>
        <v>2.016</v>
      </c>
      <c r="K104" s="20">
        <f>257.6*C104/1000</f>
        <v>15.456000000000001</v>
      </c>
      <c r="L104" s="20">
        <f>527.7*C104/1000</f>
        <v>31.662000000000003</v>
      </c>
      <c r="M104" s="20">
        <f>6.6*C104/1000</f>
        <v>0.39600000000000002</v>
      </c>
    </row>
    <row r="105" spans="1:13" x14ac:dyDescent="0.25">
      <c r="A105" s="27">
        <v>104</v>
      </c>
      <c r="B105" s="10" t="s">
        <v>143</v>
      </c>
      <c r="C105" s="49">
        <v>200</v>
      </c>
      <c r="D105" s="20">
        <f>8.8*C105/1000</f>
        <v>1.7600000000000002</v>
      </c>
      <c r="E105" s="20">
        <f>11.1*C105/1000</f>
        <v>2.2200000000000002</v>
      </c>
      <c r="F105" s="20">
        <f>61.6*C105/1000</f>
        <v>12.32</v>
      </c>
      <c r="G105" s="20">
        <f>424*C105/1000</f>
        <v>84.8</v>
      </c>
      <c r="H105" s="20">
        <f>0</f>
        <v>0</v>
      </c>
      <c r="I105" s="20">
        <f>0.5*C105/1000</f>
        <v>0.1</v>
      </c>
      <c r="J105" s="20">
        <f>44.3*C105/1000</f>
        <v>8.86</v>
      </c>
      <c r="K105" s="20">
        <f>118.8*C105/1000</f>
        <v>23.76</v>
      </c>
      <c r="L105" s="20">
        <f>288.9*C105/1000</f>
        <v>57.779999999999994</v>
      </c>
      <c r="M105" s="20">
        <f>4.6*C105/1000</f>
        <v>0.91999999999999993</v>
      </c>
    </row>
    <row r="106" spans="1:13" x14ac:dyDescent="0.25">
      <c r="A106" s="27">
        <v>171</v>
      </c>
      <c r="B106" s="10" t="s">
        <v>173</v>
      </c>
      <c r="C106" s="49">
        <v>200</v>
      </c>
      <c r="D106" s="20">
        <v>8.9700000000000006</v>
      </c>
      <c r="E106" s="20">
        <v>10.51</v>
      </c>
      <c r="F106" s="20">
        <v>52.5</v>
      </c>
      <c r="G106" s="20">
        <v>341.2</v>
      </c>
      <c r="H106" s="20">
        <v>0.17</v>
      </c>
      <c r="I106" s="20">
        <v>7.0000000000000007E-2</v>
      </c>
      <c r="J106" s="20">
        <v>0</v>
      </c>
      <c r="K106" s="20">
        <v>47.36</v>
      </c>
      <c r="L106" s="20">
        <v>48.1</v>
      </c>
      <c r="M106" s="20">
        <v>3.47</v>
      </c>
    </row>
    <row r="107" spans="1:13" x14ac:dyDescent="0.25">
      <c r="A107" s="27">
        <v>260</v>
      </c>
      <c r="B107" s="10" t="s">
        <v>174</v>
      </c>
      <c r="C107" s="49">
        <v>100</v>
      </c>
      <c r="D107" s="130">
        <v>7.12</v>
      </c>
      <c r="E107" s="130">
        <v>7.95</v>
      </c>
      <c r="F107" s="130">
        <v>9.32</v>
      </c>
      <c r="G107" s="130">
        <v>137.27000000000001</v>
      </c>
      <c r="H107" s="130">
        <v>30.84</v>
      </c>
      <c r="I107" s="130">
        <v>5.0000000000000001E-3</v>
      </c>
      <c r="J107" s="130">
        <v>0.65</v>
      </c>
      <c r="K107" s="130">
        <v>25.41</v>
      </c>
      <c r="L107" s="130">
        <v>80.34</v>
      </c>
      <c r="M107" s="130">
        <v>0.79</v>
      </c>
    </row>
    <row r="108" spans="1:13" x14ac:dyDescent="0.25">
      <c r="A108" s="27">
        <v>342</v>
      </c>
      <c r="B108" s="10" t="s">
        <v>76</v>
      </c>
      <c r="C108" s="49">
        <v>200</v>
      </c>
      <c r="D108" s="20">
        <f>0.8*C108/1000</f>
        <v>0.16</v>
      </c>
      <c r="E108" s="20">
        <f>0.8*C108/1000</f>
        <v>0.16</v>
      </c>
      <c r="F108" s="20">
        <f>139.4*C108/1000</f>
        <v>27.88</v>
      </c>
      <c r="G108" s="20">
        <f>573*C108/1000</f>
        <v>114.6</v>
      </c>
      <c r="H108" s="20">
        <f>0</f>
        <v>0</v>
      </c>
      <c r="I108" s="20">
        <f>0.1*C9/1000</f>
        <v>0.02</v>
      </c>
      <c r="J108" s="20">
        <f>5.5*C108/1000</f>
        <v>1.1000000000000001</v>
      </c>
      <c r="K108" s="20">
        <f>70.9*C108/1000</f>
        <v>14.180000000000001</v>
      </c>
      <c r="L108" s="20">
        <f>22*C108/1000</f>
        <v>4.4000000000000004</v>
      </c>
      <c r="M108" s="20">
        <f>4.8*C108/1000</f>
        <v>0.96</v>
      </c>
    </row>
    <row r="109" spans="1:13" x14ac:dyDescent="0.25">
      <c r="A109" s="9" t="s">
        <v>66</v>
      </c>
      <c r="B109" s="10" t="s">
        <v>33</v>
      </c>
      <c r="C109" s="49">
        <v>40</v>
      </c>
      <c r="D109" s="20">
        <f>107*C109/1000</f>
        <v>4.28</v>
      </c>
      <c r="E109" s="20">
        <f>45*C109/1000</f>
        <v>1.8</v>
      </c>
      <c r="F109" s="20">
        <f>435*C109/1000</f>
        <v>17.399999999999999</v>
      </c>
      <c r="G109" s="20">
        <f>2740*C109/1000</f>
        <v>109.6</v>
      </c>
      <c r="H109" s="20">
        <f>0</f>
        <v>0</v>
      </c>
      <c r="I109" s="20">
        <f>4.1*C109/1000</f>
        <v>0.16400000000000001</v>
      </c>
      <c r="J109" s="20">
        <f>2*C109/1000</f>
        <v>0.08</v>
      </c>
      <c r="K109" s="20">
        <f>1250*C109/1000</f>
        <v>50</v>
      </c>
      <c r="L109" s="20">
        <f>1290*C109/1000</f>
        <v>51.6</v>
      </c>
      <c r="M109" s="20">
        <f>36*C109/1000</f>
        <v>1.44</v>
      </c>
    </row>
    <row r="110" spans="1:13" x14ac:dyDescent="0.25">
      <c r="A110" s="15" t="s">
        <v>70</v>
      </c>
      <c r="B110" s="10" t="s">
        <v>3</v>
      </c>
      <c r="C110" s="49">
        <v>20</v>
      </c>
      <c r="D110" s="31">
        <f>85*C110/1000</f>
        <v>1.7</v>
      </c>
      <c r="E110" s="31">
        <f>33*C110/1000</f>
        <v>0.66</v>
      </c>
      <c r="F110" s="31">
        <f>425*C110/1000</f>
        <v>8.5</v>
      </c>
      <c r="G110" s="31">
        <f>2590*C110/1000</f>
        <v>51.8</v>
      </c>
      <c r="H110" s="35">
        <f>0</f>
        <v>0</v>
      </c>
      <c r="I110" s="31">
        <f>4.3*C110/1000</f>
        <v>8.5999999999999993E-2</v>
      </c>
      <c r="J110" s="31">
        <f>4*C110/1000</f>
        <v>0.08</v>
      </c>
      <c r="K110" s="31">
        <f>730*C110/1000</f>
        <v>14.6</v>
      </c>
      <c r="L110" s="31">
        <f>1250*C110/1000</f>
        <v>25</v>
      </c>
      <c r="M110" s="31">
        <f>28.3*C110/1000</f>
        <v>0.56599999999999995</v>
      </c>
    </row>
    <row r="111" spans="1:13" x14ac:dyDescent="0.25">
      <c r="A111" s="9">
        <v>338</v>
      </c>
      <c r="B111" s="10" t="s">
        <v>131</v>
      </c>
      <c r="C111" s="49">
        <v>150</v>
      </c>
      <c r="D111" s="20">
        <f>4*C111/1000</f>
        <v>0.6</v>
      </c>
      <c r="E111" s="20">
        <f>4*C111/1000</f>
        <v>0.6</v>
      </c>
      <c r="F111" s="20">
        <f>98*C111/1000</f>
        <v>14.7</v>
      </c>
      <c r="G111" s="20">
        <f>470*C111/1000</f>
        <v>70.5</v>
      </c>
      <c r="H111" s="20">
        <f>0</f>
        <v>0</v>
      </c>
      <c r="I111" s="20">
        <f>0.3*C111/1000</f>
        <v>4.4999999999999998E-2</v>
      </c>
      <c r="J111" s="20">
        <f>100*C111/1000</f>
        <v>15</v>
      </c>
      <c r="K111" s="20">
        <f>160*C111/1000</f>
        <v>24</v>
      </c>
      <c r="L111" s="20">
        <f>110*C111/1000</f>
        <v>16.5</v>
      </c>
      <c r="M111" s="20">
        <f>22*C111/1000</f>
        <v>3.3</v>
      </c>
    </row>
    <row r="112" spans="1:13" x14ac:dyDescent="0.25">
      <c r="A112" s="28"/>
      <c r="B112" s="12" t="s">
        <v>67</v>
      </c>
      <c r="C112" s="13">
        <f t="shared" ref="C112:M112" si="10">SUM(C104:C111)</f>
        <v>970</v>
      </c>
      <c r="D112" s="122">
        <f t="shared" si="10"/>
        <v>25.328000000000003</v>
      </c>
      <c r="E112" s="122">
        <f t="shared" si="10"/>
        <v>23.954000000000001</v>
      </c>
      <c r="F112" s="122">
        <f t="shared" si="10"/>
        <v>149.50799999999998</v>
      </c>
      <c r="G112" s="122">
        <f t="shared" si="10"/>
        <v>958.79</v>
      </c>
      <c r="H112" s="122">
        <f t="shared" si="10"/>
        <v>31.01</v>
      </c>
      <c r="I112" s="122">
        <f t="shared" si="10"/>
        <v>0.52600000000000002</v>
      </c>
      <c r="J112" s="122">
        <f t="shared" si="10"/>
        <v>27.786000000000001</v>
      </c>
      <c r="K112" s="122">
        <f t="shared" si="10"/>
        <v>214.76599999999999</v>
      </c>
      <c r="L112" s="122">
        <f t="shared" si="10"/>
        <v>315.38200000000001</v>
      </c>
      <c r="M112" s="122">
        <f t="shared" si="10"/>
        <v>11.841999999999999</v>
      </c>
    </row>
    <row r="113" spans="1:22" ht="18.75" x14ac:dyDescent="0.25">
      <c r="A113" s="28"/>
      <c r="B113" s="17" t="s">
        <v>71</v>
      </c>
      <c r="C113" s="16">
        <f t="shared" ref="C113:M113" si="11">C102+C112</f>
        <v>1530</v>
      </c>
      <c r="D113" s="123">
        <f t="shared" si="11"/>
        <v>54.448000000000008</v>
      </c>
      <c r="E113" s="123">
        <f t="shared" si="11"/>
        <v>49.044000000000004</v>
      </c>
      <c r="F113" s="123">
        <f t="shared" si="11"/>
        <v>214.18799999999999</v>
      </c>
      <c r="G113" s="123">
        <f t="shared" si="11"/>
        <v>1588.19</v>
      </c>
      <c r="H113" s="123">
        <f t="shared" si="11"/>
        <v>5853.01</v>
      </c>
      <c r="I113" s="123">
        <f t="shared" si="11"/>
        <v>1.236</v>
      </c>
      <c r="J113" s="123">
        <f t="shared" si="11"/>
        <v>61.985999999999997</v>
      </c>
      <c r="K113" s="123">
        <f t="shared" si="11"/>
        <v>601.90599999999995</v>
      </c>
      <c r="L113" s="123">
        <f t="shared" si="11"/>
        <v>926.76199999999994</v>
      </c>
      <c r="M113" s="123">
        <f t="shared" si="11"/>
        <v>20.387999999999998</v>
      </c>
    </row>
    <row r="114" spans="1:22" ht="17.25" customHeight="1" x14ac:dyDescent="0.25">
      <c r="A114" s="18"/>
      <c r="B114" s="19" t="s">
        <v>170</v>
      </c>
      <c r="C114" s="20">
        <v>1350</v>
      </c>
      <c r="D114" s="21">
        <v>45</v>
      </c>
      <c r="E114" s="21">
        <v>46</v>
      </c>
      <c r="F114" s="21">
        <v>192</v>
      </c>
      <c r="G114" s="21">
        <v>1360</v>
      </c>
      <c r="H114" s="21">
        <v>450</v>
      </c>
      <c r="I114" s="21">
        <v>0.7</v>
      </c>
      <c r="J114" s="21">
        <v>35</v>
      </c>
      <c r="K114" s="21">
        <v>600</v>
      </c>
      <c r="L114" s="21">
        <v>600</v>
      </c>
      <c r="M114" s="21">
        <v>9</v>
      </c>
    </row>
    <row r="115" spans="1:22" ht="15.75" x14ac:dyDescent="0.25">
      <c r="A115" s="29"/>
      <c r="B115" s="23"/>
      <c r="C115" s="30"/>
      <c r="D115" s="25"/>
      <c r="E115" s="25"/>
      <c r="F115" s="25"/>
      <c r="G115" s="25"/>
      <c r="H115" s="25"/>
      <c r="I115" s="26"/>
      <c r="J115" s="25"/>
      <c r="K115" s="25"/>
      <c r="L115" s="25"/>
      <c r="M115" s="25"/>
    </row>
    <row r="116" spans="1:22" ht="15.75" x14ac:dyDescent="0.25">
      <c r="A116" s="29"/>
      <c r="B116" s="23"/>
      <c r="C116" s="30"/>
      <c r="D116" s="25"/>
      <c r="E116" s="25"/>
      <c r="F116" s="25"/>
      <c r="G116" s="25"/>
      <c r="H116" s="25"/>
      <c r="I116" s="26"/>
      <c r="J116" s="25"/>
      <c r="K116" s="25"/>
      <c r="L116" s="25"/>
      <c r="M116" s="25"/>
    </row>
    <row r="117" spans="1:22" ht="15.75" x14ac:dyDescent="0.25">
      <c r="A117" s="29"/>
      <c r="B117" s="23"/>
      <c r="C117" s="30"/>
      <c r="D117" s="25"/>
      <c r="E117" s="25"/>
      <c r="F117" s="25"/>
      <c r="G117" s="25"/>
      <c r="H117" s="25"/>
      <c r="I117" s="26"/>
      <c r="J117" s="25"/>
      <c r="K117" s="25"/>
      <c r="L117" s="25"/>
      <c r="M117" s="25"/>
    </row>
    <row r="118" spans="1:22" ht="15.75" x14ac:dyDescent="0.25">
      <c r="A118" s="29"/>
      <c r="B118" s="23"/>
      <c r="C118" s="30"/>
      <c r="D118" s="25"/>
      <c r="E118" s="25"/>
      <c r="F118" s="25"/>
      <c r="G118" s="25"/>
      <c r="H118" s="25"/>
      <c r="I118" s="26"/>
      <c r="J118" s="25"/>
      <c r="K118" s="25"/>
      <c r="L118" s="25"/>
      <c r="M118" s="25"/>
    </row>
    <row r="119" spans="1:22" ht="28.9" customHeight="1" x14ac:dyDescent="0.25">
      <c r="A119" s="29"/>
      <c r="B119" s="23"/>
      <c r="C119" s="30"/>
      <c r="D119" s="25"/>
      <c r="E119" s="25"/>
      <c r="F119" s="25"/>
      <c r="G119" s="25"/>
      <c r="H119" s="25"/>
      <c r="I119" s="26"/>
      <c r="J119" s="25"/>
      <c r="K119" s="25"/>
      <c r="L119" s="25"/>
      <c r="M119" s="25"/>
    </row>
    <row r="120" spans="1:22" x14ac:dyDescent="0.25">
      <c r="A120" s="198" t="s">
        <v>153</v>
      </c>
      <c r="B120" s="199"/>
      <c r="D120" s="32"/>
      <c r="E120" s="32"/>
      <c r="F120" s="32"/>
      <c r="G120" s="32"/>
      <c r="H120" s="32"/>
      <c r="I120" s="32"/>
      <c r="J120" s="32"/>
      <c r="K120" s="32"/>
      <c r="L120" s="32"/>
      <c r="M120" s="32"/>
    </row>
    <row r="121" spans="1:22" x14ac:dyDescent="0.25">
      <c r="A121" s="198" t="s">
        <v>48</v>
      </c>
      <c r="B121" s="199"/>
      <c r="D121" s="32"/>
      <c r="E121" s="32"/>
      <c r="F121" s="32"/>
      <c r="G121" s="32"/>
      <c r="H121" s="32"/>
      <c r="I121" s="32"/>
      <c r="J121" s="32"/>
      <c r="K121" s="32"/>
      <c r="L121" s="32"/>
      <c r="M121" s="32"/>
    </row>
    <row r="122" spans="1:22" ht="15.75" thickBot="1" x14ac:dyDescent="0.3">
      <c r="A122" s="200" t="s">
        <v>169</v>
      </c>
      <c r="B122" s="201"/>
      <c r="D122" s="32"/>
      <c r="E122" s="32"/>
      <c r="F122" s="32"/>
      <c r="G122" s="32"/>
      <c r="H122" s="32"/>
      <c r="I122" s="32"/>
      <c r="J122" s="32"/>
      <c r="K122" s="32"/>
      <c r="L122" s="32"/>
      <c r="M122" s="32"/>
    </row>
    <row r="123" spans="1:22" x14ac:dyDescent="0.25">
      <c r="A123" s="192" t="s">
        <v>49</v>
      </c>
      <c r="B123" s="192" t="s">
        <v>50</v>
      </c>
      <c r="C123" s="192" t="s">
        <v>51</v>
      </c>
      <c r="D123" s="207" t="s">
        <v>52</v>
      </c>
      <c r="E123" s="208"/>
      <c r="F123" s="209"/>
      <c r="G123" s="204" t="s">
        <v>53</v>
      </c>
      <c r="H123" s="207" t="s">
        <v>54</v>
      </c>
      <c r="I123" s="208"/>
      <c r="J123" s="209"/>
      <c r="K123" s="207" t="s">
        <v>55</v>
      </c>
      <c r="L123" s="208"/>
      <c r="M123" s="209"/>
    </row>
    <row r="124" spans="1:22" ht="15.75" thickBot="1" x14ac:dyDescent="0.3">
      <c r="A124" s="202"/>
      <c r="B124" s="193"/>
      <c r="C124" s="193"/>
      <c r="D124" s="210" t="s">
        <v>56</v>
      </c>
      <c r="E124" s="211"/>
      <c r="F124" s="212"/>
      <c r="G124" s="205"/>
      <c r="H124" s="210"/>
      <c r="I124" s="211"/>
      <c r="J124" s="212"/>
      <c r="K124" s="210"/>
      <c r="L124" s="211"/>
      <c r="M124" s="212"/>
    </row>
    <row r="125" spans="1:22" ht="17.25" thickBot="1" x14ac:dyDescent="0.3">
      <c r="A125" s="203"/>
      <c r="B125" s="194"/>
      <c r="C125" s="194"/>
      <c r="D125" s="33" t="s">
        <v>57</v>
      </c>
      <c r="E125" s="33" t="s">
        <v>58</v>
      </c>
      <c r="F125" s="33" t="s">
        <v>59</v>
      </c>
      <c r="G125" s="206"/>
      <c r="H125" s="33" t="s">
        <v>60</v>
      </c>
      <c r="I125" s="33" t="s">
        <v>84</v>
      </c>
      <c r="J125" s="33" t="s">
        <v>62</v>
      </c>
      <c r="K125" s="33" t="s">
        <v>63</v>
      </c>
      <c r="L125" s="33" t="s">
        <v>81</v>
      </c>
      <c r="M125" s="33" t="s">
        <v>64</v>
      </c>
    </row>
    <row r="126" spans="1:22" ht="18.75" x14ac:dyDescent="0.25">
      <c r="A126" s="6"/>
      <c r="B126" s="7" t="s">
        <v>65</v>
      </c>
      <c r="C126" s="8"/>
      <c r="D126" s="34"/>
      <c r="E126" s="34"/>
      <c r="F126" s="34"/>
      <c r="G126" s="34"/>
      <c r="H126" s="34"/>
      <c r="I126" s="34"/>
      <c r="J126" s="34"/>
      <c r="K126" s="34"/>
      <c r="L126" s="34"/>
      <c r="M126" s="34"/>
    </row>
    <row r="127" spans="1:22" x14ac:dyDescent="0.25">
      <c r="A127" s="27">
        <v>45</v>
      </c>
      <c r="B127" s="10" t="s">
        <v>175</v>
      </c>
      <c r="C127" s="49">
        <v>80</v>
      </c>
      <c r="D127" s="20">
        <f>13.1*C127/1000</f>
        <v>1.048</v>
      </c>
      <c r="E127" s="20">
        <f>32.5*C127/1000</f>
        <v>2.6</v>
      </c>
      <c r="F127" s="20">
        <f>64.7*C127/1000</f>
        <v>5.1760000000000002</v>
      </c>
      <c r="G127" s="20">
        <f>604*C127/1000</f>
        <v>48.32</v>
      </c>
      <c r="H127" s="20">
        <f>0</f>
        <v>0</v>
      </c>
      <c r="I127" s="20">
        <f>0.2*C127/1000</f>
        <v>1.6E-2</v>
      </c>
      <c r="J127" s="20">
        <f>171*C127/1000</f>
        <v>13.68</v>
      </c>
      <c r="K127" s="20">
        <f>249.7*C127/1000</f>
        <v>19.975999999999999</v>
      </c>
      <c r="L127" s="20">
        <f>283.1*C127/1000</f>
        <v>22.648</v>
      </c>
      <c r="M127" s="20">
        <f>4.7*C127/1000</f>
        <v>0.376</v>
      </c>
    </row>
    <row r="128" spans="1:22" ht="20.45" customHeight="1" x14ac:dyDescent="0.25">
      <c r="A128" s="27">
        <v>309</v>
      </c>
      <c r="B128" s="10" t="s">
        <v>130</v>
      </c>
      <c r="C128" s="49">
        <v>200</v>
      </c>
      <c r="D128" s="20">
        <f>36.8*C128/1000</f>
        <v>7.3599999999999994</v>
      </c>
      <c r="E128" s="20">
        <f>30.1*C128/1000</f>
        <v>6.02</v>
      </c>
      <c r="F128" s="20">
        <f>176.3*C128/1000</f>
        <v>35.26</v>
      </c>
      <c r="G128" s="20">
        <f>1123*C128/1000</f>
        <v>224.6</v>
      </c>
      <c r="H128" s="20">
        <f>0</f>
        <v>0</v>
      </c>
      <c r="I128" s="20">
        <f>0.4*C128/1000</f>
        <v>0.08</v>
      </c>
      <c r="J128" s="20">
        <f>0</f>
        <v>0</v>
      </c>
      <c r="K128" s="20">
        <f>32.4*C128/1000</f>
        <v>6.48</v>
      </c>
      <c r="L128" s="20">
        <f>247.8*C128/1000</f>
        <v>49.56</v>
      </c>
      <c r="M128" s="20">
        <f>7.4*C128/1000</f>
        <v>1.48</v>
      </c>
      <c r="V128" s="147"/>
    </row>
    <row r="129" spans="1:13" x14ac:dyDescent="0.25">
      <c r="A129" s="27">
        <v>268</v>
      </c>
      <c r="B129" s="10" t="s">
        <v>134</v>
      </c>
      <c r="C129" s="49">
        <v>100</v>
      </c>
      <c r="D129" s="20">
        <f>129*C129/1000</f>
        <v>12.9</v>
      </c>
      <c r="E129" s="20">
        <f>334.2*C129/1000</f>
        <v>33.42</v>
      </c>
      <c r="F129" s="20">
        <f>132.2*C129/1000</f>
        <v>13.219999999999999</v>
      </c>
      <c r="G129" s="20">
        <f>4080*C129/1000</f>
        <v>408</v>
      </c>
      <c r="H129" s="20">
        <f>400*C129/1000</f>
        <v>40</v>
      </c>
      <c r="I129" s="20">
        <f>3.6*C129/1000</f>
        <v>0.36</v>
      </c>
      <c r="J129" s="20">
        <f>42.8*C129/1000</f>
        <v>4.28</v>
      </c>
      <c r="K129" s="20">
        <f>115*C129/1000</f>
        <v>11.5</v>
      </c>
      <c r="L129" s="20">
        <f>1541.6*C129/1000</f>
        <v>154.16</v>
      </c>
      <c r="M129" s="20">
        <f>32*C129/1000</f>
        <v>3.2</v>
      </c>
    </row>
    <row r="130" spans="1:13" x14ac:dyDescent="0.25">
      <c r="A130" s="27">
        <v>386</v>
      </c>
      <c r="B130" s="10" t="s">
        <v>38</v>
      </c>
      <c r="C130" s="49">
        <v>200</v>
      </c>
      <c r="D130" s="20">
        <f>5*C130/1000</f>
        <v>1</v>
      </c>
      <c r="E130" s="20">
        <f>0</f>
        <v>0</v>
      </c>
      <c r="F130" s="20">
        <f>101*C130/1000</f>
        <v>20.2</v>
      </c>
      <c r="G130" s="20">
        <f>424*C130/1000</f>
        <v>84.8</v>
      </c>
      <c r="H130" s="20">
        <f>0</f>
        <v>0</v>
      </c>
      <c r="I130" s="20">
        <f>0.1*C130/1000</f>
        <v>0.02</v>
      </c>
      <c r="J130" s="20">
        <f>20*C130/1000</f>
        <v>4</v>
      </c>
      <c r="K130" s="20">
        <f>70*C130/1000</f>
        <v>14</v>
      </c>
      <c r="L130" s="20">
        <f>70*C130/1000</f>
        <v>14</v>
      </c>
      <c r="M130" s="20">
        <f>14*C130/1000</f>
        <v>2.8</v>
      </c>
    </row>
    <row r="131" spans="1:13" x14ac:dyDescent="0.25">
      <c r="A131" s="27">
        <v>15</v>
      </c>
      <c r="B131" s="10" t="s">
        <v>9</v>
      </c>
      <c r="C131" s="49">
        <v>15</v>
      </c>
      <c r="D131" s="20">
        <f>232*C131/1000</f>
        <v>3.48</v>
      </c>
      <c r="E131" s="20">
        <f>295*C131/1000</f>
        <v>4.4249999999999998</v>
      </c>
      <c r="F131" s="20">
        <f>0</f>
        <v>0</v>
      </c>
      <c r="G131" s="20">
        <f>3600*C131/1000</f>
        <v>54</v>
      </c>
      <c r="H131" s="20">
        <f>2600*C131/1000</f>
        <v>39</v>
      </c>
      <c r="I131" s="20">
        <f>0.3*C131/1000</f>
        <v>4.4999999999999997E-3</v>
      </c>
      <c r="J131" s="20">
        <f>7*C131/1000</f>
        <v>0.105</v>
      </c>
      <c r="K131" s="20">
        <f>8800*C131/1000</f>
        <v>132</v>
      </c>
      <c r="L131" s="20">
        <f>5000*C131/1000</f>
        <v>75</v>
      </c>
      <c r="M131" s="20">
        <f>10*C131/1000</f>
        <v>0.15</v>
      </c>
    </row>
    <row r="132" spans="1:13" x14ac:dyDescent="0.25">
      <c r="A132" s="9" t="s">
        <v>66</v>
      </c>
      <c r="B132" s="10" t="s">
        <v>33</v>
      </c>
      <c r="C132" s="49">
        <v>40</v>
      </c>
      <c r="D132" s="20">
        <f>107*C132/1000</f>
        <v>4.28</v>
      </c>
      <c r="E132" s="20">
        <f>45*C132/1000</f>
        <v>1.8</v>
      </c>
      <c r="F132" s="20">
        <f>435*C132/1000</f>
        <v>17.399999999999999</v>
      </c>
      <c r="G132" s="20">
        <f>2740*C132/1000</f>
        <v>109.6</v>
      </c>
      <c r="H132" s="20">
        <f>0</f>
        <v>0</v>
      </c>
      <c r="I132" s="20">
        <f>4.1*C132/1000</f>
        <v>0.16400000000000001</v>
      </c>
      <c r="J132" s="20">
        <f>2*C132/1000</f>
        <v>0.08</v>
      </c>
      <c r="K132" s="20">
        <f>1250*C132/1000</f>
        <v>50</v>
      </c>
      <c r="L132" s="20">
        <f>1290*C132/1000</f>
        <v>51.6</v>
      </c>
      <c r="M132" s="20">
        <f>36*C132/1000</f>
        <v>1.44</v>
      </c>
    </row>
    <row r="133" spans="1:13" x14ac:dyDescent="0.25">
      <c r="A133" s="15" t="s">
        <v>70</v>
      </c>
      <c r="B133" s="10" t="s">
        <v>3</v>
      </c>
      <c r="C133" s="49">
        <v>20</v>
      </c>
      <c r="D133" s="31">
        <f>85*C133/1000</f>
        <v>1.7</v>
      </c>
      <c r="E133" s="31">
        <f>33*C133/1000</f>
        <v>0.66</v>
      </c>
      <c r="F133" s="31">
        <f>425*C133/1000</f>
        <v>8.5</v>
      </c>
      <c r="G133" s="31">
        <f>2590*C133/1000</f>
        <v>51.8</v>
      </c>
      <c r="H133" s="35">
        <f>0</f>
        <v>0</v>
      </c>
      <c r="I133" s="31">
        <f>4.3*C133/1000</f>
        <v>8.5999999999999993E-2</v>
      </c>
      <c r="J133" s="31">
        <f>4*C133/1000</f>
        <v>0.08</v>
      </c>
      <c r="K133" s="31">
        <f>730*C133/1000</f>
        <v>14.6</v>
      </c>
      <c r="L133" s="31">
        <f>1250*C133/1000</f>
        <v>25</v>
      </c>
      <c r="M133" s="31">
        <f>28.3*C133/1000</f>
        <v>0.56599999999999995</v>
      </c>
    </row>
    <row r="134" spans="1:13" x14ac:dyDescent="0.25">
      <c r="A134" s="27"/>
      <c r="B134" s="12" t="s">
        <v>67</v>
      </c>
      <c r="C134" s="13">
        <f t="shared" ref="C134:M134" si="12">SUM(C127:C133)</f>
        <v>655</v>
      </c>
      <c r="D134" s="122">
        <f t="shared" si="12"/>
        <v>31.768000000000001</v>
      </c>
      <c r="E134" s="122">
        <f t="shared" si="12"/>
        <v>48.92499999999999</v>
      </c>
      <c r="F134" s="122">
        <f t="shared" si="12"/>
        <v>99.756</v>
      </c>
      <c r="G134" s="122">
        <f t="shared" si="12"/>
        <v>981.12</v>
      </c>
      <c r="H134" s="122">
        <f t="shared" si="12"/>
        <v>79</v>
      </c>
      <c r="I134" s="122">
        <f t="shared" si="12"/>
        <v>0.73049999999999993</v>
      </c>
      <c r="J134" s="122">
        <f t="shared" si="12"/>
        <v>22.224999999999998</v>
      </c>
      <c r="K134" s="122">
        <f t="shared" si="12"/>
        <v>248.55600000000001</v>
      </c>
      <c r="L134" s="122">
        <f t="shared" si="12"/>
        <v>391.96800000000002</v>
      </c>
      <c r="M134" s="122">
        <f t="shared" si="12"/>
        <v>10.012</v>
      </c>
    </row>
    <row r="135" spans="1:13" ht="18.75" x14ac:dyDescent="0.25">
      <c r="A135" s="27"/>
      <c r="B135" s="14" t="s">
        <v>68</v>
      </c>
      <c r="C135" s="11"/>
      <c r="D135" s="20"/>
      <c r="E135" s="20"/>
      <c r="F135" s="20"/>
      <c r="G135" s="20"/>
      <c r="H135" s="20"/>
      <c r="I135" s="20"/>
      <c r="J135" s="20"/>
      <c r="K135" s="20"/>
      <c r="L135" s="20"/>
      <c r="M135" s="20"/>
    </row>
    <row r="136" spans="1:13" x14ac:dyDescent="0.25">
      <c r="A136" s="9">
        <v>70</v>
      </c>
      <c r="B136" s="10" t="s">
        <v>175</v>
      </c>
      <c r="C136" s="49">
        <v>80</v>
      </c>
      <c r="D136" s="20">
        <v>0.5</v>
      </c>
      <c r="E136" s="20">
        <v>0.03</v>
      </c>
      <c r="F136" s="20">
        <v>1.1000000000000001</v>
      </c>
      <c r="G136" s="20">
        <v>6</v>
      </c>
      <c r="H136" s="20">
        <f>0</f>
        <v>0</v>
      </c>
      <c r="I136" s="20">
        <v>0</v>
      </c>
      <c r="J136" s="20">
        <v>1.5</v>
      </c>
      <c r="K136" s="20">
        <v>16</v>
      </c>
      <c r="L136" s="20">
        <v>12</v>
      </c>
      <c r="M136" s="20">
        <v>0.2</v>
      </c>
    </row>
    <row r="137" spans="1:13" x14ac:dyDescent="0.25">
      <c r="A137" s="27">
        <v>82</v>
      </c>
      <c r="B137" s="10" t="s">
        <v>72</v>
      </c>
      <c r="C137" s="49">
        <v>200</v>
      </c>
      <c r="D137" s="20">
        <f>6.4*C137/1000</f>
        <v>1.28</v>
      </c>
      <c r="E137" s="20">
        <f>19.4*C137/1000</f>
        <v>3.8799999999999994</v>
      </c>
      <c r="F137" s="20">
        <f>34.3*C137/1000</f>
        <v>6.8599999999999994</v>
      </c>
      <c r="G137" s="20">
        <f>365*C137/1000</f>
        <v>73</v>
      </c>
      <c r="H137" s="20">
        <f>0</f>
        <v>0</v>
      </c>
      <c r="I137" s="20">
        <f>0.1*C137/1000</f>
        <v>0.02</v>
      </c>
      <c r="J137" s="20">
        <f>43.7*C137/1000</f>
        <v>8.74</v>
      </c>
      <c r="K137" s="20">
        <f>210.1*C137/1000</f>
        <v>42.02</v>
      </c>
      <c r="L137" s="20">
        <f>184.4*C137/1000</f>
        <v>36.880000000000003</v>
      </c>
      <c r="M137" s="20">
        <f>4.4*C137/1000</f>
        <v>0.88000000000000012</v>
      </c>
    </row>
    <row r="138" spans="1:13" x14ac:dyDescent="0.25">
      <c r="A138" s="27">
        <v>312</v>
      </c>
      <c r="B138" s="10" t="s">
        <v>150</v>
      </c>
      <c r="C138" s="49">
        <v>200</v>
      </c>
      <c r="D138" s="20">
        <f>20.4*C138/1000</f>
        <v>4.0799999999999992</v>
      </c>
      <c r="E138" s="20">
        <f>32*C138/1000</f>
        <v>6.4</v>
      </c>
      <c r="F138" s="20">
        <f>136.3*C138/1000</f>
        <v>27.260000000000005</v>
      </c>
      <c r="G138" s="20">
        <f>915*C138/1000</f>
        <v>183</v>
      </c>
      <c r="H138" s="20">
        <f>0</f>
        <v>0</v>
      </c>
      <c r="I138" s="20">
        <f>0.9*C138/1000</f>
        <v>0.18</v>
      </c>
      <c r="J138" s="20">
        <f>121.1*C138/1000</f>
        <v>24.22</v>
      </c>
      <c r="K138" s="20">
        <f>246.5*C138/1000</f>
        <v>49.3</v>
      </c>
      <c r="L138" s="20">
        <f>577.3*C138/1000</f>
        <v>115.45999999999998</v>
      </c>
      <c r="M138" s="20">
        <f>6.7*C138/1000</f>
        <v>1.34</v>
      </c>
    </row>
    <row r="139" spans="1:13" x14ac:dyDescent="0.25">
      <c r="A139" s="27">
        <v>229</v>
      </c>
      <c r="B139" s="10" t="s">
        <v>73</v>
      </c>
      <c r="C139" s="49">
        <v>100</v>
      </c>
      <c r="D139" s="20">
        <f>97.5*C139/1000</f>
        <v>9.75</v>
      </c>
      <c r="E139" s="20">
        <f>49.5*C139/1000</f>
        <v>4.95</v>
      </c>
      <c r="F139" s="20">
        <f>38*C139/1000</f>
        <v>3.8</v>
      </c>
      <c r="G139" s="20">
        <f>1050*C139/1000</f>
        <v>105</v>
      </c>
      <c r="H139" s="20">
        <f>58.2*C139/1000</f>
        <v>5.82</v>
      </c>
      <c r="I139" s="20">
        <f>0.5*C139/1000</f>
        <v>0.05</v>
      </c>
      <c r="J139" s="20">
        <f>37.3*C139/1000</f>
        <v>3.7299999999999995</v>
      </c>
      <c r="K139" s="20">
        <f>390.7*C139/1000</f>
        <v>39.07</v>
      </c>
      <c r="L139" s="20">
        <f>1621.9*C139/1000</f>
        <v>162.19</v>
      </c>
      <c r="M139" s="20">
        <f>8.5*C139/1000</f>
        <v>0.85</v>
      </c>
    </row>
    <row r="140" spans="1:13" x14ac:dyDescent="0.25">
      <c r="A140" s="27">
        <v>382</v>
      </c>
      <c r="B140" s="10" t="s">
        <v>98</v>
      </c>
      <c r="C140" s="49">
        <v>200</v>
      </c>
      <c r="D140" s="31">
        <f>20.4*C140/1000</f>
        <v>4.0799999999999992</v>
      </c>
      <c r="E140" s="31">
        <f>17.7*C140/1000</f>
        <v>3.54</v>
      </c>
      <c r="F140" s="31">
        <f>87.9*C140/1000</f>
        <v>17.579999999999998</v>
      </c>
      <c r="G140" s="31">
        <f>593*C140/1000</f>
        <v>118.6</v>
      </c>
      <c r="H140" s="31">
        <f>122*C140/1000</f>
        <v>24.4</v>
      </c>
      <c r="I140" s="31">
        <f>0.28*C140/1000</f>
        <v>5.6000000000000008E-2</v>
      </c>
      <c r="J140" s="31">
        <f>7.9*C140/1000</f>
        <v>1.58</v>
      </c>
      <c r="K140" s="31">
        <f>761.1*C140/1000</f>
        <v>152.22</v>
      </c>
      <c r="L140" s="31">
        <f>622.8*C140/1000</f>
        <v>124.55999999999999</v>
      </c>
      <c r="M140" s="31">
        <f>2.4*C140/1000</f>
        <v>0.48</v>
      </c>
    </row>
    <row r="141" spans="1:13" x14ac:dyDescent="0.25">
      <c r="A141" s="9" t="s">
        <v>66</v>
      </c>
      <c r="B141" s="10" t="s">
        <v>33</v>
      </c>
      <c r="C141" s="49">
        <v>40</v>
      </c>
      <c r="D141" s="20">
        <f>107*C141/1000</f>
        <v>4.28</v>
      </c>
      <c r="E141" s="20">
        <f>45*C141/1000</f>
        <v>1.8</v>
      </c>
      <c r="F141" s="20">
        <f>435*C141/1000</f>
        <v>17.399999999999999</v>
      </c>
      <c r="G141" s="20">
        <f>2740*C141/1000</f>
        <v>109.6</v>
      </c>
      <c r="H141" s="20">
        <f>0</f>
        <v>0</v>
      </c>
      <c r="I141" s="20">
        <f>4.1*C141/1000</f>
        <v>0.16400000000000001</v>
      </c>
      <c r="J141" s="20">
        <f>2*C141/1000</f>
        <v>0.08</v>
      </c>
      <c r="K141" s="20">
        <f>1250*C141/1000</f>
        <v>50</v>
      </c>
      <c r="L141" s="20">
        <f>1290*C141/1000</f>
        <v>51.6</v>
      </c>
      <c r="M141" s="20">
        <f>36*C141/1000</f>
        <v>1.44</v>
      </c>
    </row>
    <row r="142" spans="1:13" x14ac:dyDescent="0.25">
      <c r="A142" s="15" t="s">
        <v>70</v>
      </c>
      <c r="B142" s="10" t="s">
        <v>3</v>
      </c>
      <c r="C142" s="49">
        <v>20</v>
      </c>
      <c r="D142" s="31">
        <f>85*C142/1000</f>
        <v>1.7</v>
      </c>
      <c r="E142" s="31">
        <f>33*C142/1000</f>
        <v>0.66</v>
      </c>
      <c r="F142" s="31">
        <f>425*C142/1000</f>
        <v>8.5</v>
      </c>
      <c r="G142" s="31">
        <f>2590*C142/1000</f>
        <v>51.8</v>
      </c>
      <c r="H142" s="35">
        <f>0</f>
        <v>0</v>
      </c>
      <c r="I142" s="31">
        <f>4.3*C142/1000</f>
        <v>8.5999999999999993E-2</v>
      </c>
      <c r="J142" s="31">
        <f>4*C142/1000</f>
        <v>0.08</v>
      </c>
      <c r="K142" s="31">
        <f>730*C142/1000</f>
        <v>14.6</v>
      </c>
      <c r="L142" s="31">
        <f>1250*C142/1000</f>
        <v>25</v>
      </c>
      <c r="M142" s="31">
        <f>28.3*C142/1000</f>
        <v>0.56599999999999995</v>
      </c>
    </row>
    <row r="143" spans="1:13" x14ac:dyDescent="0.25">
      <c r="A143" s="28"/>
      <c r="B143" s="12" t="s">
        <v>67</v>
      </c>
      <c r="C143" s="13">
        <f t="shared" ref="C143:M143" si="13">SUM(C136:C142)</f>
        <v>840</v>
      </c>
      <c r="D143" s="122">
        <f t="shared" si="13"/>
        <v>25.669999999999998</v>
      </c>
      <c r="E143" s="122">
        <f t="shared" si="13"/>
        <v>21.259999999999998</v>
      </c>
      <c r="F143" s="122">
        <f t="shared" si="13"/>
        <v>82.5</v>
      </c>
      <c r="G143" s="122">
        <f t="shared" si="13"/>
        <v>647</v>
      </c>
      <c r="H143" s="122">
        <f t="shared" si="13"/>
        <v>30.22</v>
      </c>
      <c r="I143" s="122">
        <f t="shared" si="13"/>
        <v>0.55599999999999994</v>
      </c>
      <c r="J143" s="122">
        <f t="shared" si="13"/>
        <v>39.929999999999993</v>
      </c>
      <c r="K143" s="122">
        <f t="shared" si="13"/>
        <v>363.21000000000004</v>
      </c>
      <c r="L143" s="122">
        <f t="shared" si="13"/>
        <v>527.69000000000005</v>
      </c>
      <c r="M143" s="122">
        <f t="shared" si="13"/>
        <v>5.7559999999999993</v>
      </c>
    </row>
    <row r="144" spans="1:13" ht="18.75" x14ac:dyDescent="0.25">
      <c r="A144" s="28"/>
      <c r="B144" s="17" t="s">
        <v>71</v>
      </c>
      <c r="C144" s="16">
        <f t="shared" ref="C144:M144" si="14">C134+C143</f>
        <v>1495</v>
      </c>
      <c r="D144" s="123">
        <f t="shared" si="14"/>
        <v>57.438000000000002</v>
      </c>
      <c r="E144" s="123">
        <f t="shared" si="14"/>
        <v>70.184999999999988</v>
      </c>
      <c r="F144" s="123">
        <f t="shared" si="14"/>
        <v>182.256</v>
      </c>
      <c r="G144" s="123">
        <f t="shared" si="14"/>
        <v>1628.12</v>
      </c>
      <c r="H144" s="123">
        <f t="shared" si="14"/>
        <v>109.22</v>
      </c>
      <c r="I144" s="123">
        <f t="shared" si="14"/>
        <v>1.2864999999999998</v>
      </c>
      <c r="J144" s="123">
        <f t="shared" si="14"/>
        <v>62.154999999999987</v>
      </c>
      <c r="K144" s="123">
        <f t="shared" si="14"/>
        <v>611.76600000000008</v>
      </c>
      <c r="L144" s="123">
        <f t="shared" si="14"/>
        <v>919.65800000000013</v>
      </c>
      <c r="M144" s="123">
        <f t="shared" si="14"/>
        <v>15.768000000000001</v>
      </c>
    </row>
    <row r="145" spans="1:13" ht="17.25" customHeight="1" x14ac:dyDescent="0.25">
      <c r="A145" s="18"/>
      <c r="B145" s="19" t="s">
        <v>170</v>
      </c>
      <c r="C145" s="20">
        <v>1350</v>
      </c>
      <c r="D145" s="21">
        <v>45</v>
      </c>
      <c r="E145" s="21">
        <v>46</v>
      </c>
      <c r="F145" s="21">
        <v>192</v>
      </c>
      <c r="G145" s="21">
        <v>1360</v>
      </c>
      <c r="H145" s="21">
        <v>450</v>
      </c>
      <c r="I145" s="21">
        <v>0.7</v>
      </c>
      <c r="J145" s="21">
        <v>35</v>
      </c>
      <c r="K145" s="21">
        <v>600</v>
      </c>
      <c r="L145" s="21">
        <v>600</v>
      </c>
      <c r="M145" s="21">
        <v>9</v>
      </c>
    </row>
    <row r="146" spans="1:13" ht="17.25" customHeight="1" x14ac:dyDescent="0.25">
      <c r="A146" s="22"/>
      <c r="B146" s="23"/>
      <c r="C146" s="24"/>
      <c r="D146" s="26"/>
      <c r="E146" s="26"/>
      <c r="F146" s="26"/>
      <c r="G146" s="26"/>
      <c r="H146" s="26"/>
      <c r="I146" s="26"/>
      <c r="J146" s="26"/>
      <c r="K146" s="26"/>
      <c r="L146" s="26"/>
      <c r="M146" s="26"/>
    </row>
    <row r="147" spans="1:13" ht="17.25" customHeight="1" x14ac:dyDescent="0.25">
      <c r="A147" s="22"/>
      <c r="B147" s="23"/>
      <c r="C147" s="24"/>
      <c r="D147" s="26"/>
      <c r="E147" s="26"/>
      <c r="F147" s="26"/>
      <c r="G147" s="26"/>
      <c r="H147" s="26"/>
      <c r="I147" s="26"/>
      <c r="J147" s="26"/>
      <c r="K147" s="26"/>
      <c r="L147" s="26"/>
      <c r="M147" s="26"/>
    </row>
    <row r="148" spans="1:13" ht="17.25" customHeight="1" x14ac:dyDescent="0.25">
      <c r="A148" s="22"/>
      <c r="B148" s="23"/>
      <c r="C148" s="24"/>
      <c r="D148" s="26"/>
      <c r="E148" s="26"/>
      <c r="F148" s="26"/>
      <c r="G148" s="26"/>
      <c r="H148" s="26"/>
      <c r="I148" s="26"/>
      <c r="J148" s="26"/>
      <c r="K148" s="26"/>
      <c r="L148" s="26"/>
      <c r="M148" s="26"/>
    </row>
    <row r="149" spans="1:13" ht="19.899999999999999" customHeight="1" x14ac:dyDescent="0.25">
      <c r="A149" s="29"/>
      <c r="B149" s="23"/>
      <c r="C149" s="30"/>
      <c r="D149" s="25"/>
      <c r="E149" s="25"/>
      <c r="F149" s="25"/>
      <c r="G149" s="25"/>
      <c r="H149" s="25"/>
      <c r="I149" s="26"/>
      <c r="J149" s="25"/>
      <c r="K149" s="25"/>
      <c r="L149" s="25"/>
      <c r="M149" s="25"/>
    </row>
    <row r="150" spans="1:13" x14ac:dyDescent="0.25">
      <c r="A150" s="198" t="s">
        <v>160</v>
      </c>
      <c r="B150" s="198"/>
      <c r="D150" s="32"/>
      <c r="E150" s="32"/>
      <c r="F150" s="32"/>
      <c r="G150" s="32"/>
      <c r="H150" s="32"/>
      <c r="I150" s="32"/>
      <c r="J150" s="32"/>
      <c r="K150" s="32"/>
      <c r="L150" s="32"/>
      <c r="M150" s="32"/>
    </row>
    <row r="151" spans="1:13" x14ac:dyDescent="0.25">
      <c r="A151" s="198" t="s">
        <v>79</v>
      </c>
      <c r="B151" s="198"/>
      <c r="D151" s="32"/>
      <c r="E151" s="32"/>
      <c r="F151" s="32"/>
      <c r="G151" s="32"/>
      <c r="H151" s="32"/>
      <c r="I151" s="32"/>
      <c r="J151" s="32"/>
      <c r="K151" s="32"/>
      <c r="L151" s="32"/>
      <c r="M151" s="32"/>
    </row>
    <row r="152" spans="1:13" ht="15.75" thickBot="1" x14ac:dyDescent="0.3">
      <c r="A152" s="200" t="s">
        <v>168</v>
      </c>
      <c r="B152" s="201"/>
      <c r="D152" s="32"/>
      <c r="E152" s="32"/>
      <c r="F152" s="32"/>
      <c r="G152" s="32"/>
      <c r="H152" s="32"/>
      <c r="I152" s="32"/>
      <c r="J152" s="32"/>
      <c r="K152" s="32"/>
      <c r="L152" s="32"/>
      <c r="M152" s="32"/>
    </row>
    <row r="153" spans="1:13" x14ac:dyDescent="0.25">
      <c r="A153" s="192" t="s">
        <v>49</v>
      </c>
      <c r="B153" s="192" t="s">
        <v>50</v>
      </c>
      <c r="C153" s="192" t="s">
        <v>51</v>
      </c>
      <c r="D153" s="207" t="s">
        <v>52</v>
      </c>
      <c r="E153" s="208"/>
      <c r="F153" s="209"/>
      <c r="G153" s="204" t="s">
        <v>53</v>
      </c>
      <c r="H153" s="207" t="s">
        <v>54</v>
      </c>
      <c r="I153" s="208"/>
      <c r="J153" s="209"/>
      <c r="K153" s="207" t="s">
        <v>55</v>
      </c>
      <c r="L153" s="208"/>
      <c r="M153" s="209"/>
    </row>
    <row r="154" spans="1:13" ht="15.75" thickBot="1" x14ac:dyDescent="0.3">
      <c r="A154" s="202"/>
      <c r="B154" s="193"/>
      <c r="C154" s="193"/>
      <c r="D154" s="210" t="s">
        <v>56</v>
      </c>
      <c r="E154" s="211"/>
      <c r="F154" s="212"/>
      <c r="G154" s="205"/>
      <c r="H154" s="210"/>
      <c r="I154" s="211"/>
      <c r="J154" s="212"/>
      <c r="K154" s="210"/>
      <c r="L154" s="211"/>
      <c r="M154" s="212"/>
    </row>
    <row r="155" spans="1:13" ht="17.25" thickBot="1" x14ac:dyDescent="0.3">
      <c r="A155" s="203"/>
      <c r="B155" s="194"/>
      <c r="C155" s="194"/>
      <c r="D155" s="33" t="s">
        <v>57</v>
      </c>
      <c r="E155" s="33" t="s">
        <v>58</v>
      </c>
      <c r="F155" s="33" t="s">
        <v>59</v>
      </c>
      <c r="G155" s="206"/>
      <c r="H155" s="33" t="s">
        <v>60</v>
      </c>
      <c r="I155" s="33" t="s">
        <v>84</v>
      </c>
      <c r="J155" s="33" t="s">
        <v>62</v>
      </c>
      <c r="K155" s="33" t="s">
        <v>63</v>
      </c>
      <c r="L155" s="33" t="s">
        <v>81</v>
      </c>
      <c r="M155" s="33" t="s">
        <v>64</v>
      </c>
    </row>
    <row r="156" spans="1:13" ht="18.75" x14ac:dyDescent="0.25">
      <c r="A156" s="6"/>
      <c r="B156" s="7" t="s">
        <v>65</v>
      </c>
      <c r="C156" s="8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x14ac:dyDescent="0.25">
      <c r="A157" s="27">
        <v>173</v>
      </c>
      <c r="B157" s="56" t="s">
        <v>100</v>
      </c>
      <c r="C157" s="49">
        <v>200</v>
      </c>
      <c r="D157" s="20">
        <f>42.8*C157/1000</f>
        <v>8.56</v>
      </c>
      <c r="E157" s="20">
        <f>19.1*C157/1000</f>
        <v>3.8200000000000003</v>
      </c>
      <c r="F157" s="20">
        <f>270.9*C157/1000</f>
        <v>54.179999999999993</v>
      </c>
      <c r="G157" s="20">
        <f>1430*C157/1000</f>
        <v>286</v>
      </c>
      <c r="H157" s="20">
        <f>74*C157/1000</f>
        <v>14.8</v>
      </c>
      <c r="I157" s="20">
        <f>0.7*C157/1000</f>
        <v>0.14000000000000001</v>
      </c>
      <c r="J157" s="20">
        <f>4.8*C157/1000</f>
        <v>0.96</v>
      </c>
      <c r="K157" s="20">
        <f>733.9*C157/1000</f>
        <v>146.78</v>
      </c>
      <c r="L157" s="20">
        <f>1091.5*C157/1000</f>
        <v>218.3</v>
      </c>
      <c r="M157" s="20">
        <f>11.8*C157/1000</f>
        <v>2.36</v>
      </c>
    </row>
    <row r="158" spans="1:13" x14ac:dyDescent="0.25">
      <c r="A158" s="27">
        <v>379</v>
      </c>
      <c r="B158" s="10" t="s">
        <v>95</v>
      </c>
      <c r="C158" s="49">
        <v>200</v>
      </c>
      <c r="D158" s="31">
        <f>15.8*C158/1000</f>
        <v>3.16</v>
      </c>
      <c r="E158" s="31">
        <f>13.4*C158/1000</f>
        <v>2.68</v>
      </c>
      <c r="F158" s="31">
        <f>79.7*C158/1000</f>
        <v>15.94</v>
      </c>
      <c r="G158" s="31">
        <f>503*C158/1000</f>
        <v>100.6</v>
      </c>
      <c r="H158" s="31">
        <f>100*C158/1000</f>
        <v>20</v>
      </c>
      <c r="I158" s="31">
        <f>0.22*C158/1000</f>
        <v>4.3999999999999997E-2</v>
      </c>
      <c r="J158" s="31">
        <f>6.5*C158/1000</f>
        <v>1.3</v>
      </c>
      <c r="K158" s="31">
        <f>628.9*C158/1000</f>
        <v>125.78</v>
      </c>
      <c r="L158" s="31">
        <f>450*C158/1000</f>
        <v>90</v>
      </c>
      <c r="M158" s="31">
        <f>0.7*C158/1000</f>
        <v>0.14000000000000001</v>
      </c>
    </row>
    <row r="159" spans="1:13" x14ac:dyDescent="0.25">
      <c r="A159" s="28">
        <v>14</v>
      </c>
      <c r="B159" s="10" t="s">
        <v>11</v>
      </c>
      <c r="C159" s="49">
        <v>10</v>
      </c>
      <c r="D159" s="31">
        <f>8*C159/1000</f>
        <v>0.08</v>
      </c>
      <c r="E159" s="31">
        <f>725*C159/1000</f>
        <v>7.25</v>
      </c>
      <c r="F159" s="31">
        <f>13*C159/1000</f>
        <v>0.13</v>
      </c>
      <c r="G159" s="31">
        <f>6600*C159/1000</f>
        <v>66</v>
      </c>
      <c r="H159" s="31">
        <f>4000*C159/1000</f>
        <v>40</v>
      </c>
      <c r="I159" s="31">
        <f>0</f>
        <v>0</v>
      </c>
      <c r="J159" s="31">
        <f>0</f>
        <v>0</v>
      </c>
      <c r="K159" s="31">
        <f>240*C159/1000</f>
        <v>2.4</v>
      </c>
      <c r="L159" s="31">
        <f>300*C159/1000</f>
        <v>3</v>
      </c>
      <c r="M159" s="31">
        <f>2*C159/1000</f>
        <v>0.02</v>
      </c>
    </row>
    <row r="160" spans="1:13" x14ac:dyDescent="0.25">
      <c r="A160" s="9" t="s">
        <v>66</v>
      </c>
      <c r="B160" s="10" t="s">
        <v>33</v>
      </c>
      <c r="C160" s="49">
        <v>40</v>
      </c>
      <c r="D160" s="20">
        <f>107*C160/1000</f>
        <v>4.28</v>
      </c>
      <c r="E160" s="20">
        <f>45*C160/1000</f>
        <v>1.8</v>
      </c>
      <c r="F160" s="20">
        <f>435*C160/1000</f>
        <v>17.399999999999999</v>
      </c>
      <c r="G160" s="20">
        <f>2740*C160/1000</f>
        <v>109.6</v>
      </c>
      <c r="H160" s="20">
        <f>0</f>
        <v>0</v>
      </c>
      <c r="I160" s="20">
        <f>4.1*C160/1000</f>
        <v>0.16400000000000001</v>
      </c>
      <c r="J160" s="20">
        <f>2*C160/1000</f>
        <v>0.08</v>
      </c>
      <c r="K160" s="20">
        <f>1250*C160/1000</f>
        <v>50</v>
      </c>
      <c r="L160" s="20">
        <f>1290*C160/1000</f>
        <v>51.6</v>
      </c>
      <c r="M160" s="20">
        <f>36*C160/1000</f>
        <v>1.44</v>
      </c>
    </row>
    <row r="161" spans="1:13" x14ac:dyDescent="0.25">
      <c r="A161" s="15" t="s">
        <v>70</v>
      </c>
      <c r="B161" s="10" t="s">
        <v>3</v>
      </c>
      <c r="C161" s="49">
        <v>20</v>
      </c>
      <c r="D161" s="31">
        <f>85*C161/1000</f>
        <v>1.7</v>
      </c>
      <c r="E161" s="31">
        <f>33*C161/1000</f>
        <v>0.66</v>
      </c>
      <c r="F161" s="31">
        <f>425*C161/1000</f>
        <v>8.5</v>
      </c>
      <c r="G161" s="31">
        <f>2590*C161/1000</f>
        <v>51.8</v>
      </c>
      <c r="H161" s="35">
        <f>0</f>
        <v>0</v>
      </c>
      <c r="I161" s="31">
        <f>4.3*C161/1000</f>
        <v>8.5999999999999993E-2</v>
      </c>
      <c r="J161" s="31">
        <f>4*C161/1000</f>
        <v>0.08</v>
      </c>
      <c r="K161" s="31">
        <f>730*C161/1000</f>
        <v>14.6</v>
      </c>
      <c r="L161" s="31">
        <f>1250*C161/1000</f>
        <v>25</v>
      </c>
      <c r="M161" s="31">
        <f>28.3*C161/1000</f>
        <v>0.56599999999999995</v>
      </c>
    </row>
    <row r="162" spans="1:13" x14ac:dyDescent="0.25">
      <c r="A162" s="27">
        <v>209</v>
      </c>
      <c r="B162" s="10" t="s">
        <v>148</v>
      </c>
      <c r="C162" s="49">
        <v>40</v>
      </c>
      <c r="D162" s="20">
        <f>126*C162/1000</f>
        <v>5.04</v>
      </c>
      <c r="E162" s="20">
        <f>106*C162/1000</f>
        <v>4.24</v>
      </c>
      <c r="F162" s="20">
        <f>11*C162/1000</f>
        <v>0.44</v>
      </c>
      <c r="G162" s="20">
        <f>1550*C162/1000</f>
        <v>62</v>
      </c>
      <c r="H162" s="20">
        <f>1490*C162/1000</f>
        <v>59.6</v>
      </c>
      <c r="I162" s="20">
        <f>0.6*C162/1000</f>
        <v>2.4E-2</v>
      </c>
      <c r="J162" s="20">
        <f>0*C162/1000</f>
        <v>0</v>
      </c>
      <c r="K162" s="20">
        <f>500*C162/1000</f>
        <v>20</v>
      </c>
      <c r="L162" s="20">
        <f>1720*C162/1000</f>
        <v>68.8</v>
      </c>
      <c r="M162" s="20">
        <f>11.9*C162/1000</f>
        <v>0.47599999999999998</v>
      </c>
    </row>
    <row r="163" spans="1:13" x14ac:dyDescent="0.25">
      <c r="A163" s="27"/>
      <c r="B163" s="10"/>
      <c r="C163" s="10"/>
      <c r="D163" s="20"/>
      <c r="E163" s="20"/>
      <c r="F163" s="20"/>
      <c r="G163" s="20"/>
      <c r="H163" s="20"/>
      <c r="I163" s="20"/>
      <c r="J163" s="20"/>
      <c r="K163" s="20"/>
      <c r="L163" s="20"/>
      <c r="M163" s="20"/>
    </row>
    <row r="164" spans="1:13" x14ac:dyDescent="0.25">
      <c r="A164" s="27"/>
      <c r="B164" s="12" t="s">
        <v>67</v>
      </c>
      <c r="C164" s="13">
        <f>SUM(C157:C163)</f>
        <v>510</v>
      </c>
      <c r="D164" s="122">
        <f t="shared" ref="D164:M164" si="15">SUM(D157:D163)</f>
        <v>22.82</v>
      </c>
      <c r="E164" s="122">
        <f t="shared" si="15"/>
        <v>20.450000000000003</v>
      </c>
      <c r="F164" s="122">
        <f t="shared" si="15"/>
        <v>96.589999999999975</v>
      </c>
      <c r="G164" s="122">
        <f t="shared" si="15"/>
        <v>676</v>
      </c>
      <c r="H164" s="122">
        <f t="shared" si="15"/>
        <v>134.4</v>
      </c>
      <c r="I164" s="122">
        <f t="shared" si="15"/>
        <v>0.45799999999999996</v>
      </c>
      <c r="J164" s="122">
        <f t="shared" si="15"/>
        <v>2.42</v>
      </c>
      <c r="K164" s="122">
        <f t="shared" si="15"/>
        <v>359.56</v>
      </c>
      <c r="L164" s="122">
        <f t="shared" si="15"/>
        <v>456.70000000000005</v>
      </c>
      <c r="M164" s="122">
        <f t="shared" si="15"/>
        <v>5.0019999999999998</v>
      </c>
    </row>
    <row r="165" spans="1:13" ht="18.75" x14ac:dyDescent="0.25">
      <c r="A165" s="27"/>
      <c r="B165" s="14" t="s">
        <v>68</v>
      </c>
      <c r="C165" s="11"/>
      <c r="D165" s="20"/>
      <c r="E165" s="20"/>
      <c r="F165" s="20"/>
      <c r="G165" s="20"/>
      <c r="H165" s="20"/>
      <c r="I165" s="20"/>
      <c r="J165" s="20"/>
      <c r="K165" s="20"/>
      <c r="L165" s="20"/>
      <c r="M165" s="20"/>
    </row>
    <row r="166" spans="1:13" x14ac:dyDescent="0.25">
      <c r="A166" s="27">
        <v>55</v>
      </c>
      <c r="B166" s="10" t="s">
        <v>157</v>
      </c>
      <c r="C166" s="49">
        <v>60</v>
      </c>
      <c r="D166" s="20">
        <v>8.2200000000000006</v>
      </c>
      <c r="E166" s="20">
        <v>20.12</v>
      </c>
      <c r="F166" s="20">
        <v>30.24</v>
      </c>
      <c r="G166" s="20">
        <v>21.2</v>
      </c>
      <c r="H166" s="20">
        <v>0</v>
      </c>
      <c r="I166" s="20">
        <v>0.25</v>
      </c>
      <c r="J166" s="20">
        <v>32.1</v>
      </c>
      <c r="K166" s="20">
        <v>14.1</v>
      </c>
      <c r="L166" s="20">
        <v>2.2999999999999998</v>
      </c>
      <c r="M166" s="20">
        <v>7.8</v>
      </c>
    </row>
    <row r="167" spans="1:13" x14ac:dyDescent="0.25">
      <c r="A167" s="27">
        <v>96</v>
      </c>
      <c r="B167" s="10" t="s">
        <v>41</v>
      </c>
      <c r="C167" s="49">
        <v>200</v>
      </c>
      <c r="D167" s="20">
        <f>8.1*C167/1000</f>
        <v>1.62</v>
      </c>
      <c r="E167" s="20">
        <f>20.4*C167/1000</f>
        <v>4.0799999999999992</v>
      </c>
      <c r="F167" s="20">
        <f>47.9*C167/1000</f>
        <v>9.58</v>
      </c>
      <c r="G167" s="20">
        <f>429*C167/1000</f>
        <v>85.8</v>
      </c>
      <c r="H167" s="20">
        <f>0</f>
        <v>0</v>
      </c>
      <c r="I167" s="20">
        <f>0.4*C167/1000</f>
        <v>0.08</v>
      </c>
      <c r="J167" s="20">
        <f>33.5*C167/1000</f>
        <v>6.7</v>
      </c>
      <c r="K167" s="20">
        <f>116.6*C167/1000</f>
        <v>23.32</v>
      </c>
      <c r="L167" s="20">
        <f>226.9*C167/1000</f>
        <v>45.38</v>
      </c>
      <c r="M167" s="20">
        <f>3.7*C167/1000</f>
        <v>0.74</v>
      </c>
    </row>
    <row r="168" spans="1:13" x14ac:dyDescent="0.25">
      <c r="A168" s="27">
        <v>321</v>
      </c>
      <c r="B168" s="10" t="s">
        <v>130</v>
      </c>
      <c r="C168" s="49">
        <v>200</v>
      </c>
      <c r="D168" s="20">
        <f>20.7*C168/1000</f>
        <v>4.1399999999999997</v>
      </c>
      <c r="E168" s="20">
        <f>32.4*C168/1000</f>
        <v>6.48</v>
      </c>
      <c r="F168" s="20">
        <f>94.3*C168/1000</f>
        <v>18.86</v>
      </c>
      <c r="G168" s="20">
        <f>751*C168/1000</f>
        <v>150.19999999999999</v>
      </c>
      <c r="H168" s="20">
        <v>0</v>
      </c>
      <c r="I168" s="20">
        <f>0.3*C168/1000</f>
        <v>0.06</v>
      </c>
      <c r="J168" s="20">
        <f>171.6*C168/1000</f>
        <v>34.32</v>
      </c>
      <c r="K168" s="20">
        <f>554.5*C168/1000</f>
        <v>110.9</v>
      </c>
      <c r="L168" s="20">
        <f>401.4*C168/1000</f>
        <v>80.28</v>
      </c>
      <c r="M168" s="20">
        <f>8.1*C168/1000</f>
        <v>1.62</v>
      </c>
    </row>
    <row r="169" spans="1:13" x14ac:dyDescent="0.25">
      <c r="A169" s="27">
        <v>278</v>
      </c>
      <c r="B169" s="10" t="s">
        <v>137</v>
      </c>
      <c r="C169" s="49">
        <v>120</v>
      </c>
      <c r="D169" s="127">
        <f>71.18*C169/1000</f>
        <v>8.5416000000000007</v>
      </c>
      <c r="E169" s="127">
        <f>79.5*C169/1000</f>
        <v>9.5399999999999991</v>
      </c>
      <c r="F169" s="127">
        <f>93.2*C169/1000</f>
        <v>11.183999999999999</v>
      </c>
      <c r="G169" s="127">
        <f>1372.7*C169/1000</f>
        <v>164.72399999999999</v>
      </c>
      <c r="H169" s="127">
        <f>308.4*C169/1000</f>
        <v>37.008000000000003</v>
      </c>
      <c r="I169" s="127">
        <f>0.5*C169/1000</f>
        <v>0.06</v>
      </c>
      <c r="J169" s="127">
        <f>6.5*C169/1000</f>
        <v>0.78</v>
      </c>
      <c r="K169" s="127">
        <f>254.1*C169/1000</f>
        <v>30.492000000000001</v>
      </c>
      <c r="L169" s="127">
        <f>803.4*C169/1000</f>
        <v>96.408000000000001</v>
      </c>
      <c r="M169" s="127">
        <f>7.9*C169/1000</f>
        <v>0.94799999999999995</v>
      </c>
    </row>
    <row r="170" spans="1:13" x14ac:dyDescent="0.25">
      <c r="A170" s="27">
        <v>359</v>
      </c>
      <c r="B170" s="10" t="s">
        <v>146</v>
      </c>
      <c r="C170" s="49">
        <v>200</v>
      </c>
      <c r="D170" s="20">
        <f>1.6*C170/1000</f>
        <v>0.32</v>
      </c>
      <c r="E170" s="20">
        <f>0</f>
        <v>0</v>
      </c>
      <c r="F170" s="20">
        <f>197*C170/1000</f>
        <v>39.4</v>
      </c>
      <c r="G170" s="20">
        <f>800*C170/1000</f>
        <v>160</v>
      </c>
      <c r="H170" s="20">
        <f>0</f>
        <v>0</v>
      </c>
      <c r="I170" s="20">
        <f>0.1*C170/1000</f>
        <v>0.02</v>
      </c>
      <c r="J170" s="20">
        <f>12*C170/1000</f>
        <v>2.4</v>
      </c>
      <c r="K170" s="20">
        <f>112.3*C170/1000</f>
        <v>22.46</v>
      </c>
      <c r="L170" s="20">
        <f>92.5*C170/1000</f>
        <v>18.5</v>
      </c>
      <c r="M170" s="20">
        <f>0.96*C170/1000</f>
        <v>0.192</v>
      </c>
    </row>
    <row r="171" spans="1:13" x14ac:dyDescent="0.25">
      <c r="A171" s="9" t="s">
        <v>66</v>
      </c>
      <c r="B171" s="10" t="s">
        <v>33</v>
      </c>
      <c r="C171" s="49">
        <v>40</v>
      </c>
      <c r="D171" s="20">
        <f>107*C171/1000</f>
        <v>4.28</v>
      </c>
      <c r="E171" s="20">
        <f>45*C171/1000</f>
        <v>1.8</v>
      </c>
      <c r="F171" s="20">
        <f>435*C171/1000</f>
        <v>17.399999999999999</v>
      </c>
      <c r="G171" s="20">
        <f>2740*C171/1000</f>
        <v>109.6</v>
      </c>
      <c r="H171" s="20">
        <f>0</f>
        <v>0</v>
      </c>
      <c r="I171" s="20">
        <f>4.1*C171/1000</f>
        <v>0.16400000000000001</v>
      </c>
      <c r="J171" s="20">
        <f>2*C171/1000</f>
        <v>0.08</v>
      </c>
      <c r="K171" s="20">
        <f>1250*C171/1000</f>
        <v>50</v>
      </c>
      <c r="L171" s="20">
        <f>1290*C171/1000</f>
        <v>51.6</v>
      </c>
      <c r="M171" s="20">
        <f>36*C171/1000</f>
        <v>1.44</v>
      </c>
    </row>
    <row r="172" spans="1:13" x14ac:dyDescent="0.25">
      <c r="A172" s="15" t="s">
        <v>70</v>
      </c>
      <c r="B172" s="10" t="s">
        <v>3</v>
      </c>
      <c r="C172" s="49">
        <v>20</v>
      </c>
      <c r="D172" s="31">
        <f>85*C172/1000</f>
        <v>1.7</v>
      </c>
      <c r="E172" s="31">
        <f>33*C172/1000</f>
        <v>0.66</v>
      </c>
      <c r="F172" s="31">
        <f>425*C172/1000</f>
        <v>8.5</v>
      </c>
      <c r="G172" s="31">
        <f>2590*C172/1000</f>
        <v>51.8</v>
      </c>
      <c r="H172" s="35">
        <f>0</f>
        <v>0</v>
      </c>
      <c r="I172" s="31">
        <f>4.3*C172/1000</f>
        <v>8.5999999999999993E-2</v>
      </c>
      <c r="J172" s="31">
        <f>4*C172/1000</f>
        <v>0.08</v>
      </c>
      <c r="K172" s="31">
        <f>730*C172/1000</f>
        <v>14.6</v>
      </c>
      <c r="L172" s="31">
        <f>1250*C172/1000</f>
        <v>25</v>
      </c>
      <c r="M172" s="31">
        <f>28.3*C172/1000</f>
        <v>0.56599999999999995</v>
      </c>
    </row>
    <row r="173" spans="1:13" x14ac:dyDescent="0.25">
      <c r="A173" s="28"/>
      <c r="B173" s="12" t="s">
        <v>67</v>
      </c>
      <c r="C173" s="13">
        <f t="shared" ref="C173:M173" si="16">SUM(C166:C172)</f>
        <v>840</v>
      </c>
      <c r="D173" s="122">
        <f t="shared" si="16"/>
        <v>28.8216</v>
      </c>
      <c r="E173" s="122">
        <f t="shared" si="16"/>
        <v>42.679999999999993</v>
      </c>
      <c r="F173" s="122">
        <f t="shared" si="16"/>
        <v>135.16400000000002</v>
      </c>
      <c r="G173" s="122">
        <f t="shared" si="16"/>
        <v>743.32399999999996</v>
      </c>
      <c r="H173" s="122">
        <f t="shared" si="16"/>
        <v>37.008000000000003</v>
      </c>
      <c r="I173" s="122">
        <f t="shared" si="16"/>
        <v>0.72</v>
      </c>
      <c r="J173" s="122">
        <f t="shared" si="16"/>
        <v>76.460000000000008</v>
      </c>
      <c r="K173" s="122">
        <f t="shared" si="16"/>
        <v>265.87200000000001</v>
      </c>
      <c r="L173" s="122">
        <f t="shared" si="16"/>
        <v>319.46800000000002</v>
      </c>
      <c r="M173" s="122">
        <f t="shared" si="16"/>
        <v>13.306000000000001</v>
      </c>
    </row>
    <row r="174" spans="1:13" ht="18.75" x14ac:dyDescent="0.25">
      <c r="A174" s="28"/>
      <c r="B174" s="17" t="s">
        <v>71</v>
      </c>
      <c r="C174" s="16">
        <f t="shared" ref="C174:M174" si="17">C164+C173</f>
        <v>1350</v>
      </c>
      <c r="D174" s="123">
        <f t="shared" si="17"/>
        <v>51.641599999999997</v>
      </c>
      <c r="E174" s="123">
        <f t="shared" si="17"/>
        <v>63.129999999999995</v>
      </c>
      <c r="F174" s="123">
        <f t="shared" si="17"/>
        <v>231.75399999999999</v>
      </c>
      <c r="G174" s="123">
        <f t="shared" si="17"/>
        <v>1419.3240000000001</v>
      </c>
      <c r="H174" s="123">
        <f t="shared" si="17"/>
        <v>171.40800000000002</v>
      </c>
      <c r="I174" s="123">
        <f t="shared" si="17"/>
        <v>1.1779999999999999</v>
      </c>
      <c r="J174" s="123">
        <f t="shared" si="17"/>
        <v>78.88000000000001</v>
      </c>
      <c r="K174" s="123">
        <f t="shared" si="17"/>
        <v>625.43200000000002</v>
      </c>
      <c r="L174" s="123">
        <f t="shared" si="17"/>
        <v>776.16800000000012</v>
      </c>
      <c r="M174" s="123">
        <f t="shared" si="17"/>
        <v>18.308</v>
      </c>
    </row>
    <row r="175" spans="1:13" ht="18" customHeight="1" x14ac:dyDescent="0.25">
      <c r="A175" s="18"/>
      <c r="B175" s="19" t="s">
        <v>170</v>
      </c>
      <c r="C175" s="20">
        <v>1350</v>
      </c>
      <c r="D175" s="21">
        <v>45</v>
      </c>
      <c r="E175" s="21">
        <v>46</v>
      </c>
      <c r="F175" s="21">
        <v>192</v>
      </c>
      <c r="G175" s="21">
        <v>1360</v>
      </c>
      <c r="H175" s="21">
        <v>450</v>
      </c>
      <c r="I175" s="21">
        <v>0.7</v>
      </c>
      <c r="J175" s="21">
        <v>35</v>
      </c>
      <c r="K175" s="21">
        <v>600</v>
      </c>
      <c r="L175" s="21">
        <v>600</v>
      </c>
      <c r="M175" s="21">
        <v>9</v>
      </c>
    </row>
    <row r="176" spans="1:13" ht="18" customHeight="1" x14ac:dyDescent="0.25">
      <c r="A176" s="22"/>
      <c r="B176" s="23"/>
      <c r="C176" s="24"/>
      <c r="D176" s="26"/>
      <c r="E176" s="26"/>
      <c r="F176" s="26"/>
      <c r="G176" s="26"/>
      <c r="H176" s="26"/>
      <c r="I176" s="26"/>
      <c r="J176" s="26"/>
      <c r="K176" s="26"/>
      <c r="L176" s="26"/>
      <c r="M176" s="26"/>
    </row>
    <row r="177" spans="1:13" ht="18" customHeight="1" x14ac:dyDescent="0.25">
      <c r="A177" s="22"/>
      <c r="B177" s="23"/>
      <c r="C177" s="24"/>
      <c r="D177" s="26"/>
      <c r="E177" s="26"/>
      <c r="F177" s="26"/>
      <c r="G177" s="26"/>
      <c r="H177" s="26"/>
      <c r="I177" s="26"/>
      <c r="J177" s="26"/>
      <c r="K177" s="26"/>
      <c r="L177" s="26"/>
      <c r="M177" s="26"/>
    </row>
    <row r="178" spans="1:13" ht="18" customHeight="1" x14ac:dyDescent="0.25">
      <c r="A178" s="22"/>
      <c r="B178" s="23"/>
      <c r="C178" s="24"/>
      <c r="D178" s="26"/>
      <c r="E178" s="26"/>
      <c r="F178" s="26"/>
      <c r="G178" s="26"/>
      <c r="H178" s="26"/>
      <c r="I178" s="26"/>
      <c r="J178" s="26"/>
      <c r="K178" s="26"/>
      <c r="L178" s="26"/>
      <c r="M178" s="26"/>
    </row>
    <row r="179" spans="1:13" ht="18" customHeight="1" x14ac:dyDescent="0.25">
      <c r="A179" s="22"/>
      <c r="B179" s="23"/>
      <c r="C179" s="24"/>
      <c r="D179" s="26"/>
      <c r="E179" s="26"/>
      <c r="F179" s="26"/>
      <c r="G179" s="26"/>
      <c r="H179" s="26"/>
      <c r="I179" s="26"/>
      <c r="J179" s="26"/>
      <c r="K179" s="26"/>
      <c r="L179" s="26"/>
      <c r="M179" s="26"/>
    </row>
    <row r="180" spans="1:13" ht="22.15" customHeight="1" x14ac:dyDescent="0.25">
      <c r="D180" s="32"/>
      <c r="E180" s="32"/>
      <c r="F180" s="32"/>
      <c r="G180" s="32"/>
      <c r="H180" s="32"/>
      <c r="I180" s="32"/>
      <c r="J180" s="32"/>
      <c r="K180" s="32"/>
      <c r="L180" s="32"/>
      <c r="M180" s="32"/>
    </row>
    <row r="181" spans="1:13" x14ac:dyDescent="0.25">
      <c r="A181" s="198" t="s">
        <v>155</v>
      </c>
      <c r="B181" s="199"/>
      <c r="D181" s="32"/>
      <c r="E181" s="32"/>
      <c r="F181" s="32"/>
      <c r="G181" s="32"/>
      <c r="H181" s="32"/>
      <c r="I181" s="32"/>
      <c r="J181" s="32"/>
      <c r="K181" s="32"/>
      <c r="L181" s="32"/>
      <c r="M181" s="32"/>
    </row>
    <row r="182" spans="1:13" x14ac:dyDescent="0.25">
      <c r="A182" s="198" t="s">
        <v>79</v>
      </c>
      <c r="B182" s="199"/>
      <c r="D182" s="32"/>
      <c r="E182" s="32"/>
      <c r="F182" s="32"/>
      <c r="G182" s="32"/>
      <c r="H182" s="32"/>
      <c r="I182" s="32"/>
      <c r="J182" s="32"/>
      <c r="K182" s="32"/>
      <c r="L182" s="32"/>
      <c r="M182" s="32"/>
    </row>
    <row r="183" spans="1:13" ht="15.75" thickBot="1" x14ac:dyDescent="0.3">
      <c r="A183" s="200" t="s">
        <v>165</v>
      </c>
      <c r="B183" s="201"/>
      <c r="D183" s="32"/>
      <c r="E183" s="32"/>
      <c r="F183" s="32"/>
      <c r="G183" s="32"/>
      <c r="H183" s="32"/>
      <c r="I183" s="32"/>
      <c r="J183" s="32"/>
      <c r="K183" s="32"/>
      <c r="L183" s="32"/>
      <c r="M183" s="32"/>
    </row>
    <row r="184" spans="1:13" x14ac:dyDescent="0.25">
      <c r="A184" s="192" t="s">
        <v>49</v>
      </c>
      <c r="B184" s="192" t="s">
        <v>50</v>
      </c>
      <c r="C184" s="192" t="s">
        <v>51</v>
      </c>
      <c r="D184" s="207" t="s">
        <v>52</v>
      </c>
      <c r="E184" s="208"/>
      <c r="F184" s="209"/>
      <c r="G184" s="204" t="s">
        <v>53</v>
      </c>
      <c r="H184" s="207" t="s">
        <v>54</v>
      </c>
      <c r="I184" s="208"/>
      <c r="J184" s="209"/>
      <c r="K184" s="207" t="s">
        <v>55</v>
      </c>
      <c r="L184" s="208"/>
      <c r="M184" s="209"/>
    </row>
    <row r="185" spans="1:13" ht="15.75" thickBot="1" x14ac:dyDescent="0.3">
      <c r="A185" s="202"/>
      <c r="B185" s="193"/>
      <c r="C185" s="193"/>
      <c r="D185" s="210" t="s">
        <v>56</v>
      </c>
      <c r="E185" s="211"/>
      <c r="F185" s="212"/>
      <c r="G185" s="205"/>
      <c r="H185" s="210"/>
      <c r="I185" s="211"/>
      <c r="J185" s="212"/>
      <c r="K185" s="210"/>
      <c r="L185" s="211"/>
      <c r="M185" s="212"/>
    </row>
    <row r="186" spans="1:13" ht="17.25" thickBot="1" x14ac:dyDescent="0.3">
      <c r="A186" s="203"/>
      <c r="B186" s="194"/>
      <c r="C186" s="194"/>
      <c r="D186" s="33" t="s">
        <v>57</v>
      </c>
      <c r="E186" s="33" t="s">
        <v>58</v>
      </c>
      <c r="F186" s="33" t="s">
        <v>59</v>
      </c>
      <c r="G186" s="206"/>
      <c r="H186" s="33" t="s">
        <v>60</v>
      </c>
      <c r="I186" s="33" t="s">
        <v>84</v>
      </c>
      <c r="J186" s="33" t="s">
        <v>62</v>
      </c>
      <c r="K186" s="33" t="s">
        <v>63</v>
      </c>
      <c r="L186" s="33" t="s">
        <v>81</v>
      </c>
      <c r="M186" s="33" t="s">
        <v>64</v>
      </c>
    </row>
    <row r="187" spans="1:13" ht="18.75" x14ac:dyDescent="0.25">
      <c r="A187" s="6"/>
      <c r="B187" s="7" t="s">
        <v>65</v>
      </c>
      <c r="C187" s="8"/>
      <c r="D187" s="34"/>
      <c r="E187" s="34"/>
      <c r="F187" s="34"/>
      <c r="G187" s="34"/>
      <c r="H187" s="34"/>
      <c r="I187" s="34"/>
      <c r="J187" s="34"/>
      <c r="K187" s="34"/>
      <c r="L187" s="34"/>
      <c r="M187" s="34"/>
    </row>
    <row r="188" spans="1:13" x14ac:dyDescent="0.25">
      <c r="A188" s="27">
        <v>219</v>
      </c>
      <c r="B188" s="10" t="s">
        <v>162</v>
      </c>
      <c r="C188" s="49">
        <v>155</v>
      </c>
      <c r="D188" s="20">
        <f>148.3*C188/1000</f>
        <v>22.986499999999999</v>
      </c>
      <c r="E188" s="20">
        <f>70.4*C188/1000</f>
        <v>10.912000000000001</v>
      </c>
      <c r="F188" s="20">
        <f>237.4*C188/1000</f>
        <v>36.796999999999997</v>
      </c>
      <c r="G188" s="20">
        <f>2180*C188/1000</f>
        <v>337.9</v>
      </c>
      <c r="H188" s="20">
        <f>501*C188/1000</f>
        <v>77.655000000000001</v>
      </c>
      <c r="I188" s="20">
        <f>0.4*C188/1000</f>
        <v>6.2E-2</v>
      </c>
      <c r="J188" s="20">
        <f>1.9*C188/1000</f>
        <v>0.29449999999999998</v>
      </c>
      <c r="K188" s="20">
        <f>974.1*C188/1000</f>
        <v>150.9855</v>
      </c>
      <c r="L188" s="20">
        <f>1400*C188/1000</f>
        <v>217</v>
      </c>
      <c r="M188" s="20">
        <f>4*C188/1000</f>
        <v>0.62</v>
      </c>
    </row>
    <row r="189" spans="1:13" x14ac:dyDescent="0.25">
      <c r="A189" s="28">
        <v>14</v>
      </c>
      <c r="B189" s="10" t="s">
        <v>11</v>
      </c>
      <c r="C189" s="49">
        <v>10</v>
      </c>
      <c r="D189" s="31">
        <f>8*C189/1000</f>
        <v>0.08</v>
      </c>
      <c r="E189" s="31">
        <f>725*C189/1000</f>
        <v>7.25</v>
      </c>
      <c r="F189" s="31">
        <f>13*C189/1000</f>
        <v>0.13</v>
      </c>
      <c r="G189" s="31">
        <f>6600*C189/1000</f>
        <v>66</v>
      </c>
      <c r="H189" s="31">
        <f>4000*C189/1000</f>
        <v>40</v>
      </c>
      <c r="I189" s="31">
        <f>0</f>
        <v>0</v>
      </c>
      <c r="J189" s="31">
        <f>0</f>
        <v>0</v>
      </c>
      <c r="K189" s="31">
        <f>240*C189/1000</f>
        <v>2.4</v>
      </c>
      <c r="L189" s="31">
        <f>300*C189/1000</f>
        <v>3</v>
      </c>
      <c r="M189" s="31">
        <f>2*C189/1000</f>
        <v>0.02</v>
      </c>
    </row>
    <row r="190" spans="1:13" x14ac:dyDescent="0.25">
      <c r="A190" s="27">
        <v>376</v>
      </c>
      <c r="B190" s="10" t="s">
        <v>34</v>
      </c>
      <c r="C190" s="49">
        <v>200</v>
      </c>
      <c r="D190" s="20">
        <f>0.35*C190/1000</f>
        <v>7.0000000000000007E-2</v>
      </c>
      <c r="E190" s="20">
        <f>0.1*C190/1000</f>
        <v>0.02</v>
      </c>
      <c r="F190" s="20">
        <f>75*C190/1000</f>
        <v>15</v>
      </c>
      <c r="G190" s="20">
        <f>300*C190/1000</f>
        <v>60</v>
      </c>
      <c r="H190" s="20">
        <f>0*C190/1000</f>
        <v>0</v>
      </c>
      <c r="I190" s="20">
        <f>0</f>
        <v>0</v>
      </c>
      <c r="J190" s="20">
        <f>0.2*C190/1000</f>
        <v>0.04</v>
      </c>
      <c r="K190" s="20">
        <f>55.5*C190/1000</f>
        <v>11.1</v>
      </c>
      <c r="L190" s="20">
        <f>14*C190/1000</f>
        <v>2.8</v>
      </c>
      <c r="M190" s="20">
        <f>1.4*C190/1000</f>
        <v>0.28000000000000003</v>
      </c>
    </row>
    <row r="191" spans="1:13" x14ac:dyDescent="0.25">
      <c r="A191" s="27" t="s">
        <v>66</v>
      </c>
      <c r="B191" s="10" t="s">
        <v>33</v>
      </c>
      <c r="C191" s="49">
        <v>40</v>
      </c>
      <c r="D191" s="20">
        <f>107*C191/1000</f>
        <v>4.28</v>
      </c>
      <c r="E191" s="20">
        <f>45*C191/1000</f>
        <v>1.8</v>
      </c>
      <c r="F191" s="20">
        <f>435*C191/1000</f>
        <v>17.399999999999999</v>
      </c>
      <c r="G191" s="20">
        <f>2740*C191/1000</f>
        <v>109.6</v>
      </c>
      <c r="H191" s="20">
        <f>0</f>
        <v>0</v>
      </c>
      <c r="I191" s="20">
        <f>4.1*C191/1000</f>
        <v>0.16400000000000001</v>
      </c>
      <c r="J191" s="20">
        <f>2*C191/1000</f>
        <v>0.08</v>
      </c>
      <c r="K191" s="20">
        <f>1250*C191/1000</f>
        <v>50</v>
      </c>
      <c r="L191" s="20">
        <f>1290*C191/1000</f>
        <v>51.6</v>
      </c>
      <c r="M191" s="20">
        <f>36*C191/1000</f>
        <v>1.44</v>
      </c>
    </row>
    <row r="192" spans="1:13" x14ac:dyDescent="0.25">
      <c r="A192" s="9">
        <v>338</v>
      </c>
      <c r="B192" s="10" t="s">
        <v>131</v>
      </c>
      <c r="C192" s="49">
        <v>150</v>
      </c>
      <c r="D192" s="20">
        <f>4*C192/1000</f>
        <v>0.6</v>
      </c>
      <c r="E192" s="20">
        <f>4*C192/1000</f>
        <v>0.6</v>
      </c>
      <c r="F192" s="20">
        <f>98*C192/1000</f>
        <v>14.7</v>
      </c>
      <c r="G192" s="20">
        <f>470*C192/1000</f>
        <v>70.5</v>
      </c>
      <c r="H192" s="20">
        <f>0</f>
        <v>0</v>
      </c>
      <c r="I192" s="20">
        <f>0.3*C192/1000</f>
        <v>4.4999999999999998E-2</v>
      </c>
      <c r="J192" s="20">
        <f>100*C192/1000</f>
        <v>15</v>
      </c>
      <c r="K192" s="20">
        <f>160*C192/1000</f>
        <v>24</v>
      </c>
      <c r="L192" s="20">
        <f>110*C192/1000</f>
        <v>16.5</v>
      </c>
      <c r="M192" s="20">
        <f>22*C192/1000</f>
        <v>3.3</v>
      </c>
    </row>
    <row r="193" spans="1:13" x14ac:dyDescent="0.25">
      <c r="A193" s="146"/>
      <c r="B193" s="10" t="s">
        <v>13</v>
      </c>
      <c r="C193" s="10">
        <v>50</v>
      </c>
      <c r="D193" s="31">
        <v>3.35</v>
      </c>
      <c r="E193" s="31">
        <v>3.7749999999999999</v>
      </c>
      <c r="F193" s="31">
        <v>36.03</v>
      </c>
      <c r="G193" s="31">
        <v>191.5</v>
      </c>
      <c r="H193" s="31">
        <v>20</v>
      </c>
      <c r="I193" s="31">
        <v>0.08</v>
      </c>
      <c r="J193" s="31">
        <v>0</v>
      </c>
      <c r="K193" s="31">
        <v>9.875</v>
      </c>
      <c r="L193" s="31">
        <v>37.484999999999999</v>
      </c>
      <c r="M193" s="31">
        <v>0.71499999999999997</v>
      </c>
    </row>
    <row r="194" spans="1:13" x14ac:dyDescent="0.25">
      <c r="A194" s="27"/>
      <c r="B194" s="12" t="s">
        <v>67</v>
      </c>
      <c r="C194" s="13">
        <f t="shared" ref="C194:M194" si="18">SUM(C188:C193)</f>
        <v>605</v>
      </c>
      <c r="D194" s="122">
        <f t="shared" si="18"/>
        <v>31.366500000000002</v>
      </c>
      <c r="E194" s="122">
        <f t="shared" si="18"/>
        <v>24.356999999999999</v>
      </c>
      <c r="F194" s="122">
        <f t="shared" si="18"/>
        <v>120.057</v>
      </c>
      <c r="G194" s="122">
        <f t="shared" si="18"/>
        <v>835.5</v>
      </c>
      <c r="H194" s="122">
        <f t="shared" si="18"/>
        <v>137.655</v>
      </c>
      <c r="I194" s="122">
        <f t="shared" si="18"/>
        <v>0.35100000000000003</v>
      </c>
      <c r="J194" s="122">
        <f t="shared" si="18"/>
        <v>15.4145</v>
      </c>
      <c r="K194" s="122">
        <f t="shared" si="18"/>
        <v>248.3605</v>
      </c>
      <c r="L194" s="122">
        <f t="shared" si="18"/>
        <v>328.38500000000005</v>
      </c>
      <c r="M194" s="122">
        <f t="shared" si="18"/>
        <v>6.375</v>
      </c>
    </row>
    <row r="195" spans="1:13" ht="16.5" customHeight="1" x14ac:dyDescent="0.25">
      <c r="A195" s="27"/>
      <c r="B195" s="14" t="s">
        <v>68</v>
      </c>
      <c r="C195" s="11"/>
      <c r="D195" s="20"/>
      <c r="E195" s="20"/>
      <c r="F195" s="20"/>
      <c r="G195" s="20"/>
      <c r="H195" s="20"/>
      <c r="I195" s="20"/>
      <c r="J195" s="20"/>
      <c r="K195" s="20"/>
      <c r="L195" s="20"/>
      <c r="M195" s="20"/>
    </row>
    <row r="196" spans="1:13" x14ac:dyDescent="0.25">
      <c r="A196" s="27">
        <v>55</v>
      </c>
      <c r="B196" s="10" t="s">
        <v>157</v>
      </c>
      <c r="C196" s="49">
        <v>60</v>
      </c>
      <c r="D196" s="20">
        <v>8.2200000000000006</v>
      </c>
      <c r="E196" s="20">
        <v>20.12</v>
      </c>
      <c r="F196" s="20">
        <v>30.24</v>
      </c>
      <c r="G196" s="20">
        <v>21.2</v>
      </c>
      <c r="H196" s="20">
        <v>0</v>
      </c>
      <c r="I196" s="20">
        <v>0.25</v>
      </c>
      <c r="J196" s="20">
        <v>32.1</v>
      </c>
      <c r="K196" s="20">
        <v>14.1</v>
      </c>
      <c r="L196" s="20">
        <v>2.2999999999999998</v>
      </c>
      <c r="M196" s="20">
        <v>7.8</v>
      </c>
    </row>
    <row r="197" spans="1:13" x14ac:dyDescent="0.25">
      <c r="A197" s="27">
        <v>102</v>
      </c>
      <c r="B197" s="10" t="s">
        <v>80</v>
      </c>
      <c r="C197" s="49">
        <v>200</v>
      </c>
      <c r="D197" s="20">
        <f>22*C197/1000</f>
        <v>4.4000000000000004</v>
      </c>
      <c r="E197" s="20">
        <f>21.1*C197/1000</f>
        <v>4.22</v>
      </c>
      <c r="F197" s="20">
        <f>66.1*C197/1000</f>
        <v>13.219999999999999</v>
      </c>
      <c r="G197" s="20">
        <f>593*C197/1000</f>
        <v>118.6</v>
      </c>
      <c r="H197" s="20">
        <f>0</f>
        <v>0</v>
      </c>
      <c r="I197" s="20">
        <f>0.9*C197/1000</f>
        <v>0.18</v>
      </c>
      <c r="J197" s="20">
        <f>23.3*C197/1000</f>
        <v>4.66</v>
      </c>
      <c r="K197" s="20">
        <f>170.7*C197/1000</f>
        <v>34.14</v>
      </c>
      <c r="L197" s="20">
        <f>352.4*C197/1000</f>
        <v>70.48</v>
      </c>
      <c r="M197" s="20">
        <f>8.2*C197/1000</f>
        <v>1.6399999999999997</v>
      </c>
    </row>
    <row r="198" spans="1:13" x14ac:dyDescent="0.25">
      <c r="A198" s="27">
        <v>291</v>
      </c>
      <c r="B198" s="10" t="s">
        <v>99</v>
      </c>
      <c r="C198" s="49">
        <v>200</v>
      </c>
      <c r="D198" s="20">
        <f>90.1*C198/1000</f>
        <v>18.02</v>
      </c>
      <c r="E198" s="20">
        <f>44.7*C198/1000</f>
        <v>8.94</v>
      </c>
      <c r="F198" s="20">
        <f>182.3*C198/1000</f>
        <v>36.46</v>
      </c>
      <c r="G198" s="20">
        <f>1493.3*C198/1000</f>
        <v>298.66000000000003</v>
      </c>
      <c r="H198" s="20">
        <f>140*C198/1000</f>
        <v>28</v>
      </c>
      <c r="I198" s="20">
        <f>0.7*C198/1000</f>
        <v>0.14000000000000001</v>
      </c>
      <c r="J198" s="20">
        <f>32.7*C198/1000</f>
        <v>6.5400000000000009</v>
      </c>
      <c r="K198" s="20">
        <f>180.5*C198/1000</f>
        <v>36.1</v>
      </c>
      <c r="L198" s="20">
        <f>946.7*C198/1000</f>
        <v>189.34</v>
      </c>
      <c r="M198" s="20">
        <f>9.3*C198/1000</f>
        <v>1.8600000000000003</v>
      </c>
    </row>
    <row r="199" spans="1:13" x14ac:dyDescent="0.25">
      <c r="A199" s="27">
        <v>379</v>
      </c>
      <c r="B199" s="10" t="s">
        <v>95</v>
      </c>
      <c r="C199" s="49">
        <v>200</v>
      </c>
      <c r="D199" s="31">
        <f>15.8*C199/1000</f>
        <v>3.16</v>
      </c>
      <c r="E199" s="31">
        <f>13.4*C199/1000</f>
        <v>2.68</v>
      </c>
      <c r="F199" s="31">
        <f>79.7*C199/1000</f>
        <v>15.94</v>
      </c>
      <c r="G199" s="31">
        <f>503*C199/1000</f>
        <v>100.6</v>
      </c>
      <c r="H199" s="31">
        <f>100*C199/1000</f>
        <v>20</v>
      </c>
      <c r="I199" s="31">
        <f>0.22*C199/1000</f>
        <v>4.3999999999999997E-2</v>
      </c>
      <c r="J199" s="31">
        <f>6.5*C199/1000</f>
        <v>1.3</v>
      </c>
      <c r="K199" s="31">
        <f>628.9*C199/1000</f>
        <v>125.78</v>
      </c>
      <c r="L199" s="31">
        <f>450*C199/1000</f>
        <v>90</v>
      </c>
      <c r="M199" s="31">
        <f>0.7*C199/1000</f>
        <v>0.14000000000000001</v>
      </c>
    </row>
    <row r="200" spans="1:13" x14ac:dyDescent="0.25">
      <c r="A200" s="9" t="s">
        <v>66</v>
      </c>
      <c r="B200" s="10" t="s">
        <v>33</v>
      </c>
      <c r="C200" s="49">
        <v>40</v>
      </c>
      <c r="D200" s="20">
        <f>107*C200/1000</f>
        <v>4.28</v>
      </c>
      <c r="E200" s="20">
        <f>45*C200/1000</f>
        <v>1.8</v>
      </c>
      <c r="F200" s="20">
        <f>435*C200/1000</f>
        <v>17.399999999999999</v>
      </c>
      <c r="G200" s="20">
        <f>2740*C200/1000</f>
        <v>109.6</v>
      </c>
      <c r="H200" s="20">
        <f>0</f>
        <v>0</v>
      </c>
      <c r="I200" s="20">
        <f>4.1*C200/1000</f>
        <v>0.16400000000000001</v>
      </c>
      <c r="J200" s="20">
        <f>2*C200/1000</f>
        <v>0.08</v>
      </c>
      <c r="K200" s="20">
        <f>1250*C200/1000</f>
        <v>50</v>
      </c>
      <c r="L200" s="20">
        <f>1290*C200/1000</f>
        <v>51.6</v>
      </c>
      <c r="M200" s="20">
        <f>36*C200/1000</f>
        <v>1.44</v>
      </c>
    </row>
    <row r="201" spans="1:13" x14ac:dyDescent="0.25">
      <c r="A201" s="15" t="s">
        <v>70</v>
      </c>
      <c r="B201" s="10" t="s">
        <v>3</v>
      </c>
      <c r="C201" s="49">
        <v>20</v>
      </c>
      <c r="D201" s="31">
        <f>85*C201/1000</f>
        <v>1.7</v>
      </c>
      <c r="E201" s="31">
        <f>33*C201/1000</f>
        <v>0.66</v>
      </c>
      <c r="F201" s="31">
        <f>425*C201/1000</f>
        <v>8.5</v>
      </c>
      <c r="G201" s="31">
        <f>2590*C201/1000</f>
        <v>51.8</v>
      </c>
      <c r="H201" s="35">
        <f>0</f>
        <v>0</v>
      </c>
      <c r="I201" s="31">
        <f>4.3*C201/1000</f>
        <v>8.5999999999999993E-2</v>
      </c>
      <c r="J201" s="31">
        <f>4*C201/1000</f>
        <v>0.08</v>
      </c>
      <c r="K201" s="31">
        <f>730*C201/1000</f>
        <v>14.6</v>
      </c>
      <c r="L201" s="31">
        <f>1250*C201/1000</f>
        <v>25</v>
      </c>
      <c r="M201" s="31">
        <f>28.3*C201/1000</f>
        <v>0.56599999999999995</v>
      </c>
    </row>
    <row r="202" spans="1:13" x14ac:dyDescent="0.25">
      <c r="A202" s="27">
        <v>386</v>
      </c>
      <c r="B202" s="10" t="s">
        <v>135</v>
      </c>
      <c r="C202" s="49">
        <v>200</v>
      </c>
      <c r="D202" s="20">
        <f>5*C202/1000</f>
        <v>1</v>
      </c>
      <c r="E202" s="20">
        <f>0</f>
        <v>0</v>
      </c>
      <c r="F202" s="20">
        <f>101*C202/1000</f>
        <v>20.2</v>
      </c>
      <c r="G202" s="20">
        <f>424*C202/1000</f>
        <v>84.8</v>
      </c>
      <c r="H202" s="20">
        <f>0</f>
        <v>0</v>
      </c>
      <c r="I202" s="20">
        <f>0.1*C202/1000</f>
        <v>0.02</v>
      </c>
      <c r="J202" s="20">
        <f>20*C202/1000</f>
        <v>4</v>
      </c>
      <c r="K202" s="20">
        <f>70*C202/1000</f>
        <v>14</v>
      </c>
      <c r="L202" s="20">
        <f>70*C202/1000</f>
        <v>14</v>
      </c>
      <c r="M202" s="20">
        <f>14*C202/1000</f>
        <v>2.8</v>
      </c>
    </row>
    <row r="203" spans="1:13" x14ac:dyDescent="0.25">
      <c r="A203" s="28"/>
      <c r="B203" s="12" t="s">
        <v>67</v>
      </c>
      <c r="C203" s="13">
        <f t="shared" ref="C203:M203" si="19">SUM(C196:C202)</f>
        <v>920</v>
      </c>
      <c r="D203" s="122">
        <f t="shared" si="19"/>
        <v>40.78</v>
      </c>
      <c r="E203" s="122">
        <f t="shared" si="19"/>
        <v>38.419999999999995</v>
      </c>
      <c r="F203" s="122">
        <f t="shared" si="19"/>
        <v>141.95999999999998</v>
      </c>
      <c r="G203" s="122">
        <f t="shared" si="19"/>
        <v>785.26</v>
      </c>
      <c r="H203" s="122">
        <f t="shared" si="19"/>
        <v>48</v>
      </c>
      <c r="I203" s="122">
        <f t="shared" si="19"/>
        <v>0.88400000000000012</v>
      </c>
      <c r="J203" s="122">
        <f t="shared" si="19"/>
        <v>48.76</v>
      </c>
      <c r="K203" s="122">
        <f t="shared" si="19"/>
        <v>288.72000000000003</v>
      </c>
      <c r="L203" s="122">
        <f t="shared" si="19"/>
        <v>442.72</v>
      </c>
      <c r="M203" s="122">
        <f t="shared" si="19"/>
        <v>16.246000000000002</v>
      </c>
    </row>
    <row r="204" spans="1:13" ht="18.75" x14ac:dyDescent="0.25">
      <c r="A204" s="28"/>
      <c r="B204" s="17" t="s">
        <v>71</v>
      </c>
      <c r="C204" s="16">
        <f t="shared" ref="C204:M204" si="20">C194+C203</f>
        <v>1525</v>
      </c>
      <c r="D204" s="123">
        <f t="shared" si="20"/>
        <v>72.146500000000003</v>
      </c>
      <c r="E204" s="123">
        <f t="shared" si="20"/>
        <v>62.776999999999994</v>
      </c>
      <c r="F204" s="123">
        <f t="shared" si="20"/>
        <v>262.017</v>
      </c>
      <c r="G204" s="123">
        <f t="shared" si="20"/>
        <v>1620.76</v>
      </c>
      <c r="H204" s="123">
        <f t="shared" si="20"/>
        <v>185.655</v>
      </c>
      <c r="I204" s="123">
        <f t="shared" si="20"/>
        <v>1.2350000000000001</v>
      </c>
      <c r="J204" s="123">
        <f t="shared" si="20"/>
        <v>64.174499999999995</v>
      </c>
      <c r="K204" s="123">
        <f t="shared" si="20"/>
        <v>537.08050000000003</v>
      </c>
      <c r="L204" s="123">
        <f t="shared" si="20"/>
        <v>771.10500000000002</v>
      </c>
      <c r="M204" s="123">
        <f t="shared" si="20"/>
        <v>22.621000000000002</v>
      </c>
    </row>
    <row r="205" spans="1:13" ht="25.15" customHeight="1" x14ac:dyDescent="0.25">
      <c r="A205" s="18"/>
      <c r="B205" s="19" t="s">
        <v>170</v>
      </c>
      <c r="C205" s="20">
        <v>1350</v>
      </c>
      <c r="D205" s="21">
        <v>45</v>
      </c>
      <c r="E205" s="21">
        <v>46</v>
      </c>
      <c r="F205" s="21">
        <v>192</v>
      </c>
      <c r="G205" s="21">
        <v>1360</v>
      </c>
      <c r="H205" s="21">
        <v>450</v>
      </c>
      <c r="I205" s="21">
        <v>0.7</v>
      </c>
      <c r="J205" s="21">
        <v>35</v>
      </c>
      <c r="K205" s="21">
        <v>600</v>
      </c>
      <c r="L205" s="21">
        <v>600</v>
      </c>
      <c r="M205" s="21">
        <v>9</v>
      </c>
    </row>
    <row r="206" spans="1:13" ht="18.75" customHeight="1" x14ac:dyDescent="0.25">
      <c r="A206" s="22"/>
      <c r="B206" s="23"/>
      <c r="C206" s="24"/>
      <c r="D206" s="26"/>
      <c r="E206" s="26"/>
      <c r="F206" s="26"/>
      <c r="G206" s="26"/>
      <c r="H206" s="26"/>
      <c r="I206" s="26"/>
      <c r="J206" s="26"/>
      <c r="K206" s="26"/>
      <c r="L206" s="26"/>
      <c r="M206" s="26"/>
    </row>
    <row r="207" spans="1:13" ht="18.75" customHeight="1" x14ac:dyDescent="0.25">
      <c r="A207" s="22"/>
      <c r="B207" s="23"/>
      <c r="C207" s="24"/>
      <c r="D207" s="26"/>
      <c r="E207" s="26"/>
      <c r="F207" s="26"/>
      <c r="G207" s="26"/>
      <c r="H207" s="26"/>
      <c r="I207" s="26"/>
      <c r="J207" s="26"/>
      <c r="K207" s="26"/>
      <c r="L207" s="26"/>
      <c r="M207" s="26"/>
    </row>
    <row r="208" spans="1:13" ht="18.600000000000001" customHeight="1" x14ac:dyDescent="0.25">
      <c r="A208" s="22"/>
      <c r="B208" s="23"/>
      <c r="C208" s="24"/>
      <c r="D208" s="26"/>
      <c r="E208" s="26"/>
      <c r="F208" s="26"/>
      <c r="G208" s="26"/>
      <c r="H208" s="26"/>
      <c r="I208" s="26"/>
      <c r="J208" s="26"/>
      <c r="K208" s="26"/>
      <c r="L208" s="26"/>
      <c r="M208" s="26"/>
    </row>
    <row r="209" spans="1:13" ht="402" hidden="1" customHeight="1" x14ac:dyDescent="0.25">
      <c r="A209" s="22"/>
      <c r="B209" s="23"/>
      <c r="C209" s="24"/>
      <c r="D209" s="26"/>
      <c r="E209" s="26"/>
      <c r="F209" s="26"/>
      <c r="G209" s="26"/>
      <c r="H209" s="26"/>
      <c r="I209" s="26"/>
      <c r="J209" s="26"/>
      <c r="K209" s="26"/>
      <c r="L209" s="26"/>
      <c r="M209" s="26"/>
    </row>
    <row r="210" spans="1:13" x14ac:dyDescent="0.25">
      <c r="A210" s="198" t="s">
        <v>154</v>
      </c>
      <c r="B210" s="199"/>
      <c r="D210" s="32"/>
      <c r="E210" s="32"/>
      <c r="F210" s="32"/>
      <c r="G210" s="32"/>
      <c r="H210" s="32"/>
      <c r="I210" s="32"/>
      <c r="J210" s="32"/>
      <c r="K210" s="32"/>
      <c r="L210" s="32"/>
      <c r="M210" s="32"/>
    </row>
    <row r="211" spans="1:13" x14ac:dyDescent="0.25">
      <c r="A211" s="198" t="s">
        <v>79</v>
      </c>
      <c r="B211" s="199"/>
      <c r="D211" s="32"/>
      <c r="E211" s="32"/>
      <c r="F211" s="32"/>
      <c r="G211" s="32"/>
      <c r="H211" s="32"/>
      <c r="I211" s="32"/>
      <c r="J211" s="32"/>
      <c r="K211" s="32"/>
      <c r="L211" s="32"/>
      <c r="M211" s="32"/>
    </row>
    <row r="212" spans="1:13" ht="15.75" thickBot="1" x14ac:dyDescent="0.3">
      <c r="A212" s="200" t="s">
        <v>168</v>
      </c>
      <c r="B212" s="201"/>
      <c r="D212" s="32"/>
      <c r="E212" s="32"/>
      <c r="F212" s="32"/>
      <c r="G212" s="32"/>
      <c r="H212" s="32"/>
      <c r="I212" s="32"/>
      <c r="J212" s="32"/>
      <c r="K212" s="32"/>
      <c r="L212" s="32"/>
      <c r="M212" s="32"/>
    </row>
    <row r="213" spans="1:13" x14ac:dyDescent="0.25">
      <c r="A213" s="192" t="s">
        <v>49</v>
      </c>
      <c r="B213" s="192" t="s">
        <v>50</v>
      </c>
      <c r="C213" s="192" t="s">
        <v>51</v>
      </c>
      <c r="D213" s="207" t="s">
        <v>52</v>
      </c>
      <c r="E213" s="208"/>
      <c r="F213" s="209"/>
      <c r="G213" s="204" t="s">
        <v>53</v>
      </c>
      <c r="H213" s="207" t="s">
        <v>54</v>
      </c>
      <c r="I213" s="208"/>
      <c r="J213" s="209"/>
      <c r="K213" s="207" t="s">
        <v>55</v>
      </c>
      <c r="L213" s="208"/>
      <c r="M213" s="209"/>
    </row>
    <row r="214" spans="1:13" ht="15.75" thickBot="1" x14ac:dyDescent="0.3">
      <c r="A214" s="202"/>
      <c r="B214" s="193"/>
      <c r="C214" s="193"/>
      <c r="D214" s="210" t="s">
        <v>56</v>
      </c>
      <c r="E214" s="211"/>
      <c r="F214" s="212"/>
      <c r="G214" s="205"/>
      <c r="H214" s="210"/>
      <c r="I214" s="211"/>
      <c r="J214" s="212"/>
      <c r="K214" s="210"/>
      <c r="L214" s="211"/>
      <c r="M214" s="212"/>
    </row>
    <row r="215" spans="1:13" ht="17.25" thickBot="1" x14ac:dyDescent="0.3">
      <c r="A215" s="203"/>
      <c r="B215" s="194"/>
      <c r="C215" s="194"/>
      <c r="D215" s="33" t="s">
        <v>57</v>
      </c>
      <c r="E215" s="33" t="s">
        <v>58</v>
      </c>
      <c r="F215" s="33" t="s">
        <v>59</v>
      </c>
      <c r="G215" s="206"/>
      <c r="H215" s="33" t="s">
        <v>60</v>
      </c>
      <c r="I215" s="33" t="s">
        <v>84</v>
      </c>
      <c r="J215" s="33" t="s">
        <v>62</v>
      </c>
      <c r="K215" s="33" t="s">
        <v>63</v>
      </c>
      <c r="L215" s="33" t="s">
        <v>81</v>
      </c>
      <c r="M215" s="33" t="s">
        <v>64</v>
      </c>
    </row>
    <row r="216" spans="1:13" ht="18.75" x14ac:dyDescent="0.25">
      <c r="A216" s="6"/>
      <c r="B216" s="7" t="s">
        <v>65</v>
      </c>
      <c r="C216" s="8"/>
      <c r="D216" s="34"/>
      <c r="E216" s="34"/>
      <c r="F216" s="34"/>
      <c r="G216" s="34"/>
      <c r="H216" s="34"/>
      <c r="I216" s="34"/>
      <c r="J216" s="34"/>
      <c r="K216" s="34"/>
      <c r="L216" s="34"/>
      <c r="M216" s="34"/>
    </row>
    <row r="217" spans="1:13" x14ac:dyDescent="0.25">
      <c r="A217" s="9">
        <v>70</v>
      </c>
      <c r="B217" s="10" t="s">
        <v>175</v>
      </c>
      <c r="C217" s="49">
        <v>80</v>
      </c>
      <c r="D217" s="20">
        <v>0.5</v>
      </c>
      <c r="E217" s="20">
        <v>0.03</v>
      </c>
      <c r="F217" s="20">
        <v>1.1000000000000001</v>
      </c>
      <c r="G217" s="20">
        <v>6</v>
      </c>
      <c r="H217" s="20">
        <f>0</f>
        <v>0</v>
      </c>
      <c r="I217" s="20">
        <v>0</v>
      </c>
      <c r="J217" s="20">
        <v>1.5</v>
      </c>
      <c r="K217" s="20">
        <v>16</v>
      </c>
      <c r="L217" s="20">
        <v>12</v>
      </c>
      <c r="M217" s="20">
        <v>0.2</v>
      </c>
    </row>
    <row r="218" spans="1:13" x14ac:dyDescent="0.25">
      <c r="A218" s="27">
        <v>243</v>
      </c>
      <c r="B218" s="10" t="s">
        <v>142</v>
      </c>
      <c r="C218" s="49">
        <v>200</v>
      </c>
      <c r="D218" s="20">
        <f>16.9*C218/1000</f>
        <v>3.3799999999999994</v>
      </c>
      <c r="E218" s="20">
        <f>109.9*C218/1000</f>
        <v>21.98</v>
      </c>
      <c r="F218" s="20">
        <f>81.9*C218/1000</f>
        <v>16.380000000000003</v>
      </c>
      <c r="G218" s="20">
        <f>1352.4*C218/1000</f>
        <v>270.48</v>
      </c>
      <c r="H218" s="20">
        <f>438.1*C218/1000</f>
        <v>87.62</v>
      </c>
      <c r="I218" s="20">
        <f>0.6*C218/1000</f>
        <v>0.12</v>
      </c>
      <c r="J218" s="20">
        <f>119.1*C218/1000</f>
        <v>23.82</v>
      </c>
      <c r="K218" s="20">
        <f>353.9*C218/1000</f>
        <v>70.78</v>
      </c>
      <c r="L218" s="20">
        <f>428.6*C218/1000</f>
        <v>85.72</v>
      </c>
      <c r="M218" s="20">
        <f>5.7*C218/1000</f>
        <v>1.1399999999999999</v>
      </c>
    </row>
    <row r="219" spans="1:13" x14ac:dyDescent="0.25">
      <c r="A219" s="27">
        <v>379</v>
      </c>
      <c r="B219" s="10" t="s">
        <v>34</v>
      </c>
      <c r="C219" s="49">
        <v>200</v>
      </c>
      <c r="D219" s="31">
        <f>15.8*C219/1000</f>
        <v>3.16</v>
      </c>
      <c r="E219" s="31">
        <f>13.4*C219/1000</f>
        <v>2.68</v>
      </c>
      <c r="F219" s="31">
        <f>79.7*C219/1000</f>
        <v>15.94</v>
      </c>
      <c r="G219" s="31">
        <f>503*C219/1000</f>
        <v>100.6</v>
      </c>
      <c r="H219" s="31">
        <f>100*C219/1000</f>
        <v>20</v>
      </c>
      <c r="I219" s="31">
        <f>0.22*C219/1000</f>
        <v>4.3999999999999997E-2</v>
      </c>
      <c r="J219" s="31">
        <f>6.5*C219/1000</f>
        <v>1.3</v>
      </c>
      <c r="K219" s="31">
        <f>628.9*C219/1000</f>
        <v>125.78</v>
      </c>
      <c r="L219" s="31">
        <f>450*C219/1000</f>
        <v>90</v>
      </c>
      <c r="M219" s="31">
        <f>0.7*C219/1000</f>
        <v>0.14000000000000001</v>
      </c>
    </row>
    <row r="220" spans="1:13" x14ac:dyDescent="0.25">
      <c r="A220" s="9" t="s">
        <v>66</v>
      </c>
      <c r="B220" s="10" t="s">
        <v>33</v>
      </c>
      <c r="C220" s="49">
        <v>40</v>
      </c>
      <c r="D220" s="20">
        <f>107*C220/1000</f>
        <v>4.28</v>
      </c>
      <c r="E220" s="20">
        <f>45*C220/1000</f>
        <v>1.8</v>
      </c>
      <c r="F220" s="20">
        <f>435*C220/1000</f>
        <v>17.399999999999999</v>
      </c>
      <c r="G220" s="20">
        <f>2740*C220/1000</f>
        <v>109.6</v>
      </c>
      <c r="H220" s="20">
        <f>0</f>
        <v>0</v>
      </c>
      <c r="I220" s="20">
        <f>4.1*C220/1000</f>
        <v>0.16400000000000001</v>
      </c>
      <c r="J220" s="20">
        <f>2*C220/1000</f>
        <v>0.08</v>
      </c>
      <c r="K220" s="20">
        <f>1250*C220/1000</f>
        <v>50</v>
      </c>
      <c r="L220" s="20">
        <f>1290*C220/1000</f>
        <v>51.6</v>
      </c>
      <c r="M220" s="20">
        <f>36*C220/1000</f>
        <v>1.44</v>
      </c>
    </row>
    <row r="221" spans="1:13" x14ac:dyDescent="0.25">
      <c r="A221" s="15" t="s">
        <v>70</v>
      </c>
      <c r="B221" s="10" t="s">
        <v>3</v>
      </c>
      <c r="C221" s="49">
        <v>20</v>
      </c>
      <c r="D221" s="31">
        <f>85*C221/1000</f>
        <v>1.7</v>
      </c>
      <c r="E221" s="31">
        <f>33*C221/1000</f>
        <v>0.66</v>
      </c>
      <c r="F221" s="31">
        <f>425*C221/1000</f>
        <v>8.5</v>
      </c>
      <c r="G221" s="31">
        <f>2590*C221/1000</f>
        <v>51.8</v>
      </c>
      <c r="H221" s="35">
        <f>0</f>
        <v>0</v>
      </c>
      <c r="I221" s="31">
        <f>4.3*C221/1000</f>
        <v>8.5999999999999993E-2</v>
      </c>
      <c r="J221" s="31">
        <f>4*C221/1000</f>
        <v>0.08</v>
      </c>
      <c r="K221" s="31">
        <f>730*C221/1000</f>
        <v>14.6</v>
      </c>
      <c r="L221" s="31">
        <f>1250*C221/1000</f>
        <v>25</v>
      </c>
      <c r="M221" s="31">
        <f>28.3*C221/1000</f>
        <v>0.56599999999999995</v>
      </c>
    </row>
    <row r="222" spans="1:13" x14ac:dyDescent="0.25">
      <c r="A222" s="9">
        <v>338</v>
      </c>
      <c r="B222" s="10" t="s">
        <v>131</v>
      </c>
      <c r="C222" s="49">
        <v>100</v>
      </c>
      <c r="D222" s="20">
        <f>4*C222/1000</f>
        <v>0.4</v>
      </c>
      <c r="E222" s="20">
        <f>4*C222/1000</f>
        <v>0.4</v>
      </c>
      <c r="F222" s="20">
        <f>98*C222/1000</f>
        <v>9.8000000000000007</v>
      </c>
      <c r="G222" s="20">
        <f>470*C222/1000</f>
        <v>47</v>
      </c>
      <c r="H222" s="20">
        <f>0</f>
        <v>0</v>
      </c>
      <c r="I222" s="20">
        <f>0.3*C222/1000</f>
        <v>0.03</v>
      </c>
      <c r="J222" s="20">
        <f>100*C222/1000</f>
        <v>10</v>
      </c>
      <c r="K222" s="20">
        <f>160*C222/1000</f>
        <v>16</v>
      </c>
      <c r="L222" s="20">
        <f>110*C222/1000</f>
        <v>11</v>
      </c>
      <c r="M222" s="20">
        <f>22*C222/1000</f>
        <v>2.2000000000000002</v>
      </c>
    </row>
    <row r="223" spans="1:13" x14ac:dyDescent="0.25">
      <c r="A223" s="27"/>
      <c r="B223" s="10"/>
      <c r="C223" s="10"/>
      <c r="D223" s="20"/>
      <c r="E223" s="20"/>
      <c r="F223" s="20"/>
      <c r="G223" s="20"/>
      <c r="H223" s="20"/>
      <c r="I223" s="20"/>
      <c r="J223" s="20"/>
      <c r="K223" s="20"/>
      <c r="L223" s="20"/>
      <c r="M223" s="20"/>
    </row>
    <row r="224" spans="1:13" x14ac:dyDescent="0.25">
      <c r="A224" s="27"/>
      <c r="B224" s="12" t="s">
        <v>67</v>
      </c>
      <c r="C224" s="13">
        <f>SUM(C217:C223)</f>
        <v>640</v>
      </c>
      <c r="D224" s="13">
        <f t="shared" ref="D224:M224" si="21">SUM(D217:D223)</f>
        <v>13.42</v>
      </c>
      <c r="E224" s="13">
        <f t="shared" si="21"/>
        <v>27.55</v>
      </c>
      <c r="F224" s="13">
        <f t="shared" si="21"/>
        <v>69.12</v>
      </c>
      <c r="G224" s="13">
        <f t="shared" si="21"/>
        <v>585.48</v>
      </c>
      <c r="H224" s="13">
        <f t="shared" si="21"/>
        <v>107.62</v>
      </c>
      <c r="I224" s="13">
        <f t="shared" si="21"/>
        <v>0.44399999999999995</v>
      </c>
      <c r="J224" s="13">
        <f t="shared" si="21"/>
        <v>36.78</v>
      </c>
      <c r="K224" s="13">
        <f t="shared" si="21"/>
        <v>293.16000000000003</v>
      </c>
      <c r="L224" s="13">
        <f t="shared" si="21"/>
        <v>275.32</v>
      </c>
      <c r="M224" s="13">
        <f t="shared" si="21"/>
        <v>5.6859999999999999</v>
      </c>
    </row>
    <row r="225" spans="1:13" ht="18.75" x14ac:dyDescent="0.25">
      <c r="A225" s="27"/>
      <c r="B225" s="14" t="s">
        <v>68</v>
      </c>
      <c r="C225" s="11"/>
      <c r="D225" s="20"/>
      <c r="E225" s="20"/>
      <c r="F225" s="20"/>
      <c r="G225" s="20"/>
      <c r="H225" s="20"/>
      <c r="I225" s="20"/>
      <c r="J225" s="20"/>
      <c r="K225" s="20"/>
      <c r="L225" s="20"/>
      <c r="M225" s="20"/>
    </row>
    <row r="226" spans="1:13" x14ac:dyDescent="0.25">
      <c r="A226" s="27">
        <v>67</v>
      </c>
      <c r="B226" s="10" t="s">
        <v>159</v>
      </c>
      <c r="C226" s="49">
        <v>60</v>
      </c>
      <c r="D226" s="20">
        <f>7*C226/1000</f>
        <v>0.42</v>
      </c>
      <c r="E226" s="20">
        <f>1*C226/1000</f>
        <v>0.06</v>
      </c>
      <c r="F226" s="20">
        <f>19*C226/1000</f>
        <v>1.1399999999999999</v>
      </c>
      <c r="G226" s="20">
        <f>120*C226/1000</f>
        <v>7.2</v>
      </c>
      <c r="H226" s="20">
        <f>0</f>
        <v>0</v>
      </c>
      <c r="I226" s="20">
        <f>0.4*C226/1000</f>
        <v>2.4E-2</v>
      </c>
      <c r="J226" s="20">
        <f>49*C226/1000</f>
        <v>2.94</v>
      </c>
      <c r="K226" s="20">
        <f>170*C226/1000</f>
        <v>10.199999999999999</v>
      </c>
      <c r="L226" s="20">
        <f>300*C226/1000</f>
        <v>18</v>
      </c>
      <c r="M226" s="20">
        <f>5*C226/1000</f>
        <v>0.3</v>
      </c>
    </row>
    <row r="227" spans="1:13" x14ac:dyDescent="0.25">
      <c r="A227" s="9">
        <v>88</v>
      </c>
      <c r="B227" s="10" t="s">
        <v>69</v>
      </c>
      <c r="C227" s="49">
        <v>200</v>
      </c>
      <c r="D227" s="20">
        <f>7*C227/1000</f>
        <v>1.4</v>
      </c>
      <c r="E227" s="20">
        <f>19.5*C227/1000</f>
        <v>3.9</v>
      </c>
      <c r="F227" s="20">
        <f>23.6*C227/1000</f>
        <v>4.72</v>
      </c>
      <c r="G227" s="20">
        <f>320*C227/1000</f>
        <v>64</v>
      </c>
      <c r="H227" s="20">
        <f>0</f>
        <v>0</v>
      </c>
      <c r="I227" s="20">
        <f>0.2*C227/1000</f>
        <v>0.04</v>
      </c>
      <c r="J227" s="20">
        <f>68.5*C227/1000</f>
        <v>13.7</v>
      </c>
      <c r="K227" s="20">
        <f>202.9*C227/1000</f>
        <v>40.58</v>
      </c>
      <c r="L227" s="20">
        <f>155.4*C227/1000</f>
        <v>31.08</v>
      </c>
      <c r="M227" s="20">
        <f>2.7*C227/1000</f>
        <v>0.54</v>
      </c>
    </row>
    <row r="228" spans="1:13" x14ac:dyDescent="0.25">
      <c r="A228" s="27">
        <v>312</v>
      </c>
      <c r="B228" s="10" t="s">
        <v>150</v>
      </c>
      <c r="C228" s="49">
        <v>200</v>
      </c>
      <c r="D228" s="20">
        <f>20.4*C228/1000</f>
        <v>4.0799999999999992</v>
      </c>
      <c r="E228" s="20">
        <f>32*C228/1000</f>
        <v>6.4</v>
      </c>
      <c r="F228" s="20">
        <f>136.3*C228/1000</f>
        <v>27.260000000000005</v>
      </c>
      <c r="G228" s="20">
        <f>915*C228/1000</f>
        <v>183</v>
      </c>
      <c r="H228" s="20">
        <f>0</f>
        <v>0</v>
      </c>
      <c r="I228" s="20">
        <f>0.9*C228/1000</f>
        <v>0.18</v>
      </c>
      <c r="J228" s="20">
        <f>121.1*C228/1000</f>
        <v>24.22</v>
      </c>
      <c r="K228" s="20">
        <f>246.5*C228/1000</f>
        <v>49.3</v>
      </c>
      <c r="L228" s="20">
        <f>577.3*C228/1000</f>
        <v>115.45999999999998</v>
      </c>
      <c r="M228" s="20">
        <f>6.7*C228/1000</f>
        <v>1.34</v>
      </c>
    </row>
    <row r="229" spans="1:13" x14ac:dyDescent="0.25">
      <c r="A229" s="27">
        <v>234</v>
      </c>
      <c r="B229" s="10" t="s">
        <v>78</v>
      </c>
      <c r="C229" s="49">
        <v>100</v>
      </c>
      <c r="D229" s="20">
        <f>130*C229/1000</f>
        <v>13</v>
      </c>
      <c r="E229" s="20">
        <f>154.6*C229/1000</f>
        <v>15.46</v>
      </c>
      <c r="F229" s="20">
        <f>159.8*C229/1000</f>
        <v>15.980000000000002</v>
      </c>
      <c r="G229" s="20">
        <f>2560*C229/1000</f>
        <v>256</v>
      </c>
      <c r="H229" s="20">
        <f>494*C229/1000</f>
        <v>49.4</v>
      </c>
      <c r="I229" s="20">
        <f>0.8*C229/1000</f>
        <v>0.08</v>
      </c>
      <c r="J229" s="20">
        <f>6.6*C229/1000</f>
        <v>0.66</v>
      </c>
      <c r="K229" s="20">
        <f>742.8*C229/1000</f>
        <v>74.28</v>
      </c>
      <c r="L229" s="20">
        <f>1884.6*C229/1000</f>
        <v>188.46</v>
      </c>
      <c r="M229" s="20">
        <f>14.8*C229/1000</f>
        <v>1.48</v>
      </c>
    </row>
    <row r="230" spans="1:13" x14ac:dyDescent="0.25">
      <c r="A230" s="27">
        <v>382</v>
      </c>
      <c r="B230" s="10" t="s">
        <v>98</v>
      </c>
      <c r="C230" s="49">
        <v>200</v>
      </c>
      <c r="D230" s="31">
        <f>20.4*C230/1000</f>
        <v>4.0799999999999992</v>
      </c>
      <c r="E230" s="31">
        <f>17.7*C230/1000</f>
        <v>3.54</v>
      </c>
      <c r="F230" s="31">
        <f>87.9*C230/1000</f>
        <v>17.579999999999998</v>
      </c>
      <c r="G230" s="31">
        <f>593*C230/1000</f>
        <v>118.6</v>
      </c>
      <c r="H230" s="31">
        <f>122*C230/1000</f>
        <v>24.4</v>
      </c>
      <c r="I230" s="31">
        <f>0.28*C230/1000</f>
        <v>5.6000000000000008E-2</v>
      </c>
      <c r="J230" s="31">
        <f>7.9*C230/1000</f>
        <v>1.58</v>
      </c>
      <c r="K230" s="31">
        <f>761.1*C230/1000</f>
        <v>152.22</v>
      </c>
      <c r="L230" s="31">
        <f>622.8*C230/1000</f>
        <v>124.55999999999999</v>
      </c>
      <c r="M230" s="31">
        <f>2.4*C230/1000</f>
        <v>0.48</v>
      </c>
    </row>
    <row r="231" spans="1:13" x14ac:dyDescent="0.25">
      <c r="A231" s="9" t="s">
        <v>66</v>
      </c>
      <c r="B231" s="10" t="s">
        <v>33</v>
      </c>
      <c r="C231" s="49">
        <v>40</v>
      </c>
      <c r="D231" s="20">
        <f>107*C231/1000</f>
        <v>4.28</v>
      </c>
      <c r="E231" s="20">
        <f>45*C231/1000</f>
        <v>1.8</v>
      </c>
      <c r="F231" s="20">
        <f>435*C231/1000</f>
        <v>17.399999999999999</v>
      </c>
      <c r="G231" s="20">
        <f>2740*C231/1000</f>
        <v>109.6</v>
      </c>
      <c r="H231" s="20">
        <f>0</f>
        <v>0</v>
      </c>
      <c r="I231" s="20">
        <f>4.1*C231/1000</f>
        <v>0.16400000000000001</v>
      </c>
      <c r="J231" s="20">
        <f>2*C231/1000</f>
        <v>0.08</v>
      </c>
      <c r="K231" s="20">
        <f>1250*C231/1000</f>
        <v>50</v>
      </c>
      <c r="L231" s="20">
        <f>1290*C231/1000</f>
        <v>51.6</v>
      </c>
      <c r="M231" s="20">
        <f>36*C231/1000</f>
        <v>1.44</v>
      </c>
    </row>
    <row r="232" spans="1:13" x14ac:dyDescent="0.25">
      <c r="A232" s="15" t="s">
        <v>70</v>
      </c>
      <c r="B232" s="10" t="s">
        <v>3</v>
      </c>
      <c r="C232" s="49">
        <v>20</v>
      </c>
      <c r="D232" s="31">
        <f>85*C232/1000</f>
        <v>1.7</v>
      </c>
      <c r="E232" s="31">
        <f>33*C232/1000</f>
        <v>0.66</v>
      </c>
      <c r="F232" s="31">
        <f>425*C232/1000</f>
        <v>8.5</v>
      </c>
      <c r="G232" s="31">
        <f>2590*C232/1000</f>
        <v>51.8</v>
      </c>
      <c r="H232" s="35">
        <f>0</f>
        <v>0</v>
      </c>
      <c r="I232" s="31">
        <f>4.3*C232/1000</f>
        <v>8.5999999999999993E-2</v>
      </c>
      <c r="J232" s="31">
        <f>4*C232/1000</f>
        <v>0.08</v>
      </c>
      <c r="K232" s="31">
        <f>730*C232/1000</f>
        <v>14.6</v>
      </c>
      <c r="L232" s="31">
        <f>1250*C232/1000</f>
        <v>25</v>
      </c>
      <c r="M232" s="31">
        <f>28.3*C232/1000</f>
        <v>0.56599999999999995</v>
      </c>
    </row>
    <row r="233" spans="1:13" x14ac:dyDescent="0.25">
      <c r="A233" s="9">
        <v>338</v>
      </c>
      <c r="B233" s="10" t="s">
        <v>131</v>
      </c>
      <c r="C233" s="49">
        <v>100</v>
      </c>
      <c r="D233" s="20">
        <f>4*C233/1000</f>
        <v>0.4</v>
      </c>
      <c r="E233" s="20">
        <f>4*C233/1000</f>
        <v>0.4</v>
      </c>
      <c r="F233" s="20">
        <f>98*C233/1000</f>
        <v>9.8000000000000007</v>
      </c>
      <c r="G233" s="20">
        <f>470*C233/1000</f>
        <v>47</v>
      </c>
      <c r="H233" s="20">
        <f>0</f>
        <v>0</v>
      </c>
      <c r="I233" s="20">
        <f>0.3*C233/1000</f>
        <v>0.03</v>
      </c>
      <c r="J233" s="20">
        <f>100*C233/1000</f>
        <v>10</v>
      </c>
      <c r="K233" s="20">
        <f>160*C233/1000</f>
        <v>16</v>
      </c>
      <c r="L233" s="20">
        <f>110*C233/1000</f>
        <v>11</v>
      </c>
      <c r="M233" s="20">
        <f>22*C233/1000</f>
        <v>2.2000000000000002</v>
      </c>
    </row>
    <row r="234" spans="1:13" x14ac:dyDescent="0.25">
      <c r="A234" s="28"/>
      <c r="B234" s="12" t="s">
        <v>67</v>
      </c>
      <c r="C234" s="13">
        <f t="shared" ref="C234:M234" si="22">SUM(C226:C233)</f>
        <v>920</v>
      </c>
      <c r="D234" s="122">
        <f t="shared" si="22"/>
        <v>29.359999999999996</v>
      </c>
      <c r="E234" s="122">
        <f t="shared" si="22"/>
        <v>32.22</v>
      </c>
      <c r="F234" s="122">
        <f t="shared" si="22"/>
        <v>102.38000000000001</v>
      </c>
      <c r="G234" s="122">
        <f t="shared" si="22"/>
        <v>837.19999999999993</v>
      </c>
      <c r="H234" s="122">
        <f t="shared" si="22"/>
        <v>73.8</v>
      </c>
      <c r="I234" s="122">
        <f t="shared" si="22"/>
        <v>0.66</v>
      </c>
      <c r="J234" s="122">
        <f t="shared" si="22"/>
        <v>53.259999999999991</v>
      </c>
      <c r="K234" s="122">
        <f t="shared" si="22"/>
        <v>407.18000000000006</v>
      </c>
      <c r="L234" s="122">
        <f t="shared" si="22"/>
        <v>565.16</v>
      </c>
      <c r="M234" s="122">
        <f t="shared" si="22"/>
        <v>8.3460000000000001</v>
      </c>
    </row>
    <row r="235" spans="1:13" ht="18.75" x14ac:dyDescent="0.25">
      <c r="A235" s="28"/>
      <c r="B235" s="17" t="s">
        <v>71</v>
      </c>
      <c r="C235" s="16">
        <f t="shared" ref="C235:M235" si="23">C224+C234</f>
        <v>1560</v>
      </c>
      <c r="D235" s="123">
        <f t="shared" si="23"/>
        <v>42.779999999999994</v>
      </c>
      <c r="E235" s="123">
        <f t="shared" si="23"/>
        <v>59.769999999999996</v>
      </c>
      <c r="F235" s="123">
        <f t="shared" si="23"/>
        <v>171.5</v>
      </c>
      <c r="G235" s="123">
        <f t="shared" si="23"/>
        <v>1422.6799999999998</v>
      </c>
      <c r="H235" s="123">
        <f t="shared" si="23"/>
        <v>181.42000000000002</v>
      </c>
      <c r="I235" s="123">
        <f t="shared" si="23"/>
        <v>1.1040000000000001</v>
      </c>
      <c r="J235" s="123">
        <f t="shared" si="23"/>
        <v>90.039999999999992</v>
      </c>
      <c r="K235" s="123">
        <f t="shared" si="23"/>
        <v>700.34000000000015</v>
      </c>
      <c r="L235" s="123">
        <f t="shared" si="23"/>
        <v>840.48</v>
      </c>
      <c r="M235" s="123">
        <f t="shared" si="23"/>
        <v>14.032</v>
      </c>
    </row>
    <row r="236" spans="1:13" ht="18" customHeight="1" x14ac:dyDescent="0.25">
      <c r="A236" s="18"/>
      <c r="B236" s="19" t="s">
        <v>170</v>
      </c>
      <c r="C236" s="20">
        <v>1350</v>
      </c>
      <c r="D236" s="21">
        <v>45</v>
      </c>
      <c r="E236" s="21">
        <v>46</v>
      </c>
      <c r="F236" s="21">
        <v>192</v>
      </c>
      <c r="G236" s="21">
        <v>1360</v>
      </c>
      <c r="H236" s="21">
        <v>450</v>
      </c>
      <c r="I236" s="21">
        <v>0.7</v>
      </c>
      <c r="J236" s="21">
        <v>35</v>
      </c>
      <c r="K236" s="21">
        <v>600</v>
      </c>
      <c r="L236" s="21">
        <v>600</v>
      </c>
      <c r="M236" s="21">
        <v>9</v>
      </c>
    </row>
    <row r="237" spans="1:13" ht="18" customHeight="1" x14ac:dyDescent="0.25">
      <c r="A237" s="22"/>
      <c r="B237" s="23"/>
      <c r="C237" s="24"/>
      <c r="D237" s="26"/>
      <c r="E237" s="26"/>
      <c r="F237" s="26"/>
      <c r="G237" s="26"/>
      <c r="H237" s="26"/>
      <c r="I237" s="26"/>
      <c r="J237" s="26"/>
      <c r="K237" s="26"/>
      <c r="L237" s="26"/>
      <c r="M237" s="26"/>
    </row>
    <row r="238" spans="1:13" ht="18" customHeight="1" x14ac:dyDescent="0.25">
      <c r="A238" s="22"/>
      <c r="B238" s="23"/>
      <c r="C238" s="24"/>
      <c r="D238" s="26"/>
      <c r="E238" s="26"/>
      <c r="F238" s="26"/>
      <c r="G238" s="26"/>
      <c r="H238" s="26"/>
      <c r="I238" s="26"/>
      <c r="J238" s="26"/>
      <c r="K238" s="26"/>
      <c r="L238" s="26"/>
      <c r="M238" s="26"/>
    </row>
    <row r="239" spans="1:13" ht="18" customHeight="1" x14ac:dyDescent="0.25">
      <c r="A239" s="22"/>
      <c r="B239" s="23"/>
      <c r="C239" s="24"/>
      <c r="D239" s="26"/>
      <c r="E239" s="26"/>
      <c r="F239" s="26"/>
      <c r="G239" s="26"/>
      <c r="H239" s="26"/>
      <c r="I239" s="26"/>
      <c r="J239" s="26"/>
      <c r="K239" s="26"/>
      <c r="L239" s="26"/>
      <c r="M239" s="26"/>
    </row>
    <row r="240" spans="1:13" ht="22.15" customHeight="1" x14ac:dyDescent="0.25">
      <c r="A240" s="22"/>
      <c r="B240" s="23"/>
      <c r="C240" s="24"/>
      <c r="D240" s="26"/>
      <c r="E240" s="26"/>
      <c r="F240" s="26"/>
      <c r="G240" s="26"/>
      <c r="H240" s="26"/>
      <c r="I240" s="26"/>
      <c r="J240" s="26"/>
      <c r="K240" s="26"/>
      <c r="L240" s="26"/>
      <c r="M240" s="26"/>
    </row>
    <row r="241" spans="1:13" ht="18.75" x14ac:dyDescent="0.25">
      <c r="A241" s="198" t="s">
        <v>75</v>
      </c>
      <c r="B241" s="199"/>
      <c r="D241" s="32"/>
      <c r="E241" s="32"/>
      <c r="F241" s="32"/>
      <c r="G241" s="32"/>
      <c r="H241" s="32"/>
      <c r="I241" s="32"/>
      <c r="J241" s="32"/>
      <c r="K241" s="32"/>
      <c r="L241" s="32"/>
      <c r="M241" s="32"/>
    </row>
    <row r="242" spans="1:13" x14ac:dyDescent="0.25">
      <c r="A242" s="198" t="s">
        <v>79</v>
      </c>
      <c r="B242" s="199"/>
      <c r="D242" s="32"/>
      <c r="E242" s="32"/>
      <c r="F242" s="32"/>
      <c r="G242" s="32"/>
      <c r="H242" s="32"/>
      <c r="I242" s="32"/>
      <c r="J242" s="32"/>
      <c r="K242" s="32"/>
      <c r="L242" s="32"/>
      <c r="M242" s="32"/>
    </row>
    <row r="243" spans="1:13" ht="15.75" thickBot="1" x14ac:dyDescent="0.3">
      <c r="A243" s="200" t="s">
        <v>169</v>
      </c>
      <c r="B243" s="201"/>
      <c r="D243" s="32"/>
      <c r="E243" s="32"/>
      <c r="F243" s="32"/>
      <c r="G243" s="32"/>
      <c r="H243" s="32"/>
      <c r="I243" s="32"/>
      <c r="J243" s="32"/>
      <c r="K243" s="32"/>
      <c r="L243" s="32"/>
      <c r="M243" s="32"/>
    </row>
    <row r="244" spans="1:13" x14ac:dyDescent="0.25">
      <c r="A244" s="192" t="s">
        <v>49</v>
      </c>
      <c r="B244" s="192" t="s">
        <v>50</v>
      </c>
      <c r="C244" s="192" t="s">
        <v>51</v>
      </c>
      <c r="D244" s="207" t="s">
        <v>52</v>
      </c>
      <c r="E244" s="208"/>
      <c r="F244" s="209"/>
      <c r="G244" s="204" t="s">
        <v>53</v>
      </c>
      <c r="H244" s="207" t="s">
        <v>54</v>
      </c>
      <c r="I244" s="208"/>
      <c r="J244" s="209"/>
      <c r="K244" s="207" t="s">
        <v>55</v>
      </c>
      <c r="L244" s="208"/>
      <c r="M244" s="209"/>
    </row>
    <row r="245" spans="1:13" ht="15.75" thickBot="1" x14ac:dyDescent="0.3">
      <c r="A245" s="202"/>
      <c r="B245" s="193"/>
      <c r="C245" s="193"/>
      <c r="D245" s="210" t="s">
        <v>56</v>
      </c>
      <c r="E245" s="211"/>
      <c r="F245" s="212"/>
      <c r="G245" s="205"/>
      <c r="H245" s="210"/>
      <c r="I245" s="211"/>
      <c r="J245" s="212"/>
      <c r="K245" s="210"/>
      <c r="L245" s="211"/>
      <c r="M245" s="212"/>
    </row>
    <row r="246" spans="1:13" ht="17.25" thickBot="1" x14ac:dyDescent="0.3">
      <c r="A246" s="203"/>
      <c r="B246" s="194"/>
      <c r="C246" s="194"/>
      <c r="D246" s="33" t="s">
        <v>57</v>
      </c>
      <c r="E246" s="33" t="s">
        <v>58</v>
      </c>
      <c r="F246" s="33" t="s">
        <v>59</v>
      </c>
      <c r="G246" s="206"/>
      <c r="H246" s="33" t="s">
        <v>60</v>
      </c>
      <c r="I246" s="33" t="s">
        <v>84</v>
      </c>
      <c r="J246" s="33" t="s">
        <v>62</v>
      </c>
      <c r="K246" s="33" t="s">
        <v>63</v>
      </c>
      <c r="L246" s="33" t="s">
        <v>81</v>
      </c>
      <c r="M246" s="33" t="s">
        <v>64</v>
      </c>
    </row>
    <row r="247" spans="1:13" ht="18.75" x14ac:dyDescent="0.25">
      <c r="A247" s="6"/>
      <c r="B247" s="7" t="s">
        <v>65</v>
      </c>
      <c r="C247" s="8"/>
      <c r="D247" s="34"/>
      <c r="E247" s="34"/>
      <c r="F247" s="34"/>
      <c r="G247" s="34"/>
      <c r="H247" s="34"/>
      <c r="I247" s="34"/>
      <c r="J247" s="34"/>
      <c r="K247" s="34"/>
      <c r="L247" s="34"/>
      <c r="M247" s="34"/>
    </row>
    <row r="248" spans="1:13" x14ac:dyDescent="0.25">
      <c r="A248" s="27">
        <v>304</v>
      </c>
      <c r="B248" s="10" t="s">
        <v>39</v>
      </c>
      <c r="C248" s="49">
        <v>200</v>
      </c>
      <c r="D248" s="20">
        <f>24.3*C248/1000</f>
        <v>4.8600000000000003</v>
      </c>
      <c r="E248" s="20">
        <f>35.8*C248/1000</f>
        <v>7.1599999999999993</v>
      </c>
      <c r="F248" s="20">
        <f>244.6*C248/1000</f>
        <v>48.92</v>
      </c>
      <c r="G248" s="20">
        <f>1398*C248/1000</f>
        <v>279.60000000000002</v>
      </c>
      <c r="H248" s="20">
        <f>0</f>
        <v>0</v>
      </c>
      <c r="I248" s="20">
        <f>0.2*C248/1000</f>
        <v>0.04</v>
      </c>
      <c r="J248" s="20">
        <f>0</f>
        <v>0</v>
      </c>
      <c r="K248" s="20">
        <f>9.1*C248/1000</f>
        <v>1.82</v>
      </c>
      <c r="L248" s="20">
        <f>406.3*C248/1000</f>
        <v>81.260000000000005</v>
      </c>
      <c r="M248" s="20">
        <f>3.5*C248/1000</f>
        <v>0.7</v>
      </c>
    </row>
    <row r="249" spans="1:13" x14ac:dyDescent="0.25">
      <c r="A249" s="27">
        <v>229</v>
      </c>
      <c r="B249" s="10" t="s">
        <v>73</v>
      </c>
      <c r="C249" s="49">
        <v>140</v>
      </c>
      <c r="D249" s="20">
        <f>97.5*C249/1000</f>
        <v>13.65</v>
      </c>
      <c r="E249" s="20">
        <f>49.5*C249/1000</f>
        <v>6.93</v>
      </c>
      <c r="F249" s="20">
        <f>38*C249/1000</f>
        <v>5.32</v>
      </c>
      <c r="G249" s="20">
        <f>1050*C249/1000</f>
        <v>147</v>
      </c>
      <c r="H249" s="20">
        <f>58.2*C249/1000</f>
        <v>8.1479999999999997</v>
      </c>
      <c r="I249" s="20">
        <f>0.5*C249/1000</f>
        <v>7.0000000000000007E-2</v>
      </c>
      <c r="J249" s="20">
        <f>37.3*C249/1000</f>
        <v>5.2220000000000004</v>
      </c>
      <c r="K249" s="20">
        <f>390.7*C249/1000</f>
        <v>54.698</v>
      </c>
      <c r="L249" s="20">
        <f>1621.9*C249/1000</f>
        <v>227.066</v>
      </c>
      <c r="M249" s="20">
        <f>8.5*C249/1000</f>
        <v>1.19</v>
      </c>
    </row>
    <row r="250" spans="1:13" x14ac:dyDescent="0.25">
      <c r="A250" s="27">
        <v>382</v>
      </c>
      <c r="B250" s="10" t="s">
        <v>98</v>
      </c>
      <c r="C250" s="49">
        <v>200</v>
      </c>
      <c r="D250" s="31">
        <f>20.4*C250/1000</f>
        <v>4.0799999999999992</v>
      </c>
      <c r="E250" s="31">
        <f>17.7*C250/1000</f>
        <v>3.54</v>
      </c>
      <c r="F250" s="31">
        <f>87.9*C250/1000</f>
        <v>17.579999999999998</v>
      </c>
      <c r="G250" s="31">
        <f>593*C250/1000</f>
        <v>118.6</v>
      </c>
      <c r="H250" s="31">
        <f>122*C250/1000</f>
        <v>24.4</v>
      </c>
      <c r="I250" s="31">
        <f>0.28*C250/1000</f>
        <v>5.6000000000000008E-2</v>
      </c>
      <c r="J250" s="31">
        <f>7.9*C250/1000</f>
        <v>1.58</v>
      </c>
      <c r="K250" s="31">
        <f>761.1*C250/1000</f>
        <v>152.22</v>
      </c>
      <c r="L250" s="31">
        <f>622.8*C250/1000</f>
        <v>124.55999999999999</v>
      </c>
      <c r="M250" s="31">
        <f>2.4*C250/1000</f>
        <v>0.48</v>
      </c>
    </row>
    <row r="251" spans="1:13" x14ac:dyDescent="0.25">
      <c r="A251" s="9" t="s">
        <v>66</v>
      </c>
      <c r="B251" s="10" t="s">
        <v>33</v>
      </c>
      <c r="C251" s="49">
        <v>40</v>
      </c>
      <c r="D251" s="20">
        <f>107*C251/1000</f>
        <v>4.28</v>
      </c>
      <c r="E251" s="20">
        <f>45*C251/1000</f>
        <v>1.8</v>
      </c>
      <c r="F251" s="20">
        <f>435*C251/1000</f>
        <v>17.399999999999999</v>
      </c>
      <c r="G251" s="20">
        <f>2740*C251/1000</f>
        <v>109.6</v>
      </c>
      <c r="H251" s="20">
        <f>0</f>
        <v>0</v>
      </c>
      <c r="I251" s="20">
        <f>4.1*C251/1000</f>
        <v>0.16400000000000001</v>
      </c>
      <c r="J251" s="20">
        <f>2*C251/1000</f>
        <v>0.08</v>
      </c>
      <c r="K251" s="20">
        <f>1250*C251/1000</f>
        <v>50</v>
      </c>
      <c r="L251" s="20">
        <f>1290*C251/1000</f>
        <v>51.6</v>
      </c>
      <c r="M251" s="20">
        <f>36*C251/1000</f>
        <v>1.44</v>
      </c>
    </row>
    <row r="252" spans="1:13" x14ac:dyDescent="0.25">
      <c r="A252" s="15" t="s">
        <v>70</v>
      </c>
      <c r="B252" s="10" t="s">
        <v>3</v>
      </c>
      <c r="C252" s="49">
        <v>20</v>
      </c>
      <c r="D252" s="31">
        <f>85*C252/1000</f>
        <v>1.7</v>
      </c>
      <c r="E252" s="31">
        <f>33*C252/1000</f>
        <v>0.66</v>
      </c>
      <c r="F252" s="31">
        <f>425*C252/1000</f>
        <v>8.5</v>
      </c>
      <c r="G252" s="31">
        <f>2590*C252/1000</f>
        <v>51.8</v>
      </c>
      <c r="H252" s="35">
        <f>0</f>
        <v>0</v>
      </c>
      <c r="I252" s="31">
        <f>4.3*C252/1000</f>
        <v>8.5999999999999993E-2</v>
      </c>
      <c r="J252" s="31">
        <f>4*C252/1000</f>
        <v>0.08</v>
      </c>
      <c r="K252" s="31">
        <f>730*C252/1000</f>
        <v>14.6</v>
      </c>
      <c r="L252" s="31">
        <f>1250*C252/1000</f>
        <v>25</v>
      </c>
      <c r="M252" s="31">
        <f>28.3*C252/1000</f>
        <v>0.56599999999999995</v>
      </c>
    </row>
    <row r="253" spans="1:13" x14ac:dyDescent="0.25">
      <c r="A253" s="27"/>
      <c r="B253" s="10"/>
      <c r="C253" s="10"/>
      <c r="D253" s="20"/>
      <c r="E253" s="20"/>
      <c r="F253" s="20"/>
      <c r="G253" s="20"/>
      <c r="H253" s="20"/>
      <c r="I253" s="20"/>
      <c r="J253" s="20"/>
      <c r="K253" s="20"/>
      <c r="L253" s="20"/>
      <c r="M253" s="20"/>
    </row>
    <row r="254" spans="1:13" x14ac:dyDescent="0.25">
      <c r="A254" s="27"/>
      <c r="B254" s="12" t="s">
        <v>67</v>
      </c>
      <c r="C254" s="13">
        <f t="shared" ref="C254:M254" si="24">SUM(C248:C253)</f>
        <v>600</v>
      </c>
      <c r="D254" s="122">
        <f t="shared" si="24"/>
        <v>28.57</v>
      </c>
      <c r="E254" s="122">
        <f t="shared" si="24"/>
        <v>20.09</v>
      </c>
      <c r="F254" s="122">
        <f t="shared" si="24"/>
        <v>97.72</v>
      </c>
      <c r="G254" s="122">
        <f t="shared" si="24"/>
        <v>706.6</v>
      </c>
      <c r="H254" s="122">
        <f t="shared" si="24"/>
        <v>32.548000000000002</v>
      </c>
      <c r="I254" s="122">
        <f t="shared" si="24"/>
        <v>0.41600000000000004</v>
      </c>
      <c r="J254" s="122">
        <f t="shared" si="24"/>
        <v>6.9620000000000006</v>
      </c>
      <c r="K254" s="122">
        <f t="shared" si="24"/>
        <v>273.33800000000002</v>
      </c>
      <c r="L254" s="122">
        <f t="shared" si="24"/>
        <v>509.48600000000005</v>
      </c>
      <c r="M254" s="122">
        <f t="shared" si="24"/>
        <v>4.3760000000000003</v>
      </c>
    </row>
    <row r="255" spans="1:13" ht="18.75" x14ac:dyDescent="0.25">
      <c r="A255" s="27"/>
      <c r="B255" s="14" t="s">
        <v>68</v>
      </c>
      <c r="C255" s="11"/>
      <c r="D255" s="20"/>
      <c r="E255" s="20"/>
      <c r="F255" s="20"/>
      <c r="G255" s="20"/>
      <c r="H255" s="20"/>
      <c r="I255" s="20"/>
      <c r="J255" s="20"/>
      <c r="K255" s="20"/>
      <c r="L255" s="20"/>
      <c r="M255" s="20"/>
    </row>
    <row r="256" spans="1:13" x14ac:dyDescent="0.25">
      <c r="A256" s="27">
        <v>62</v>
      </c>
      <c r="B256" s="10" t="s">
        <v>108</v>
      </c>
      <c r="C256" s="49">
        <v>60</v>
      </c>
      <c r="D256" s="20">
        <f>12.3*C256/1000</f>
        <v>0.73799999999999999</v>
      </c>
      <c r="E256" s="20">
        <f>0.9*C256/1000</f>
        <v>5.3999999999999999E-2</v>
      </c>
      <c r="F256" s="20">
        <f>114.8*C256/1000</f>
        <v>6.8879999999999999</v>
      </c>
      <c r="G256" s="20">
        <f>817*C256/1000</f>
        <v>49.02</v>
      </c>
      <c r="H256" s="20">
        <f>0</f>
        <v>0</v>
      </c>
      <c r="I256" s="20">
        <f>0.6*C256/1000</f>
        <v>3.5999999999999997E-2</v>
      </c>
      <c r="J256" s="20">
        <f>33.6*C256/1000</f>
        <v>2.016</v>
      </c>
      <c r="K256" s="20">
        <f>257.6*C256/1000</f>
        <v>15.456000000000001</v>
      </c>
      <c r="L256" s="20">
        <f>527.7*C256/1000</f>
        <v>31.662000000000003</v>
      </c>
      <c r="M256" s="20">
        <f>6.6*C256/1000</f>
        <v>0.39600000000000002</v>
      </c>
    </row>
    <row r="257" spans="1:13" x14ac:dyDescent="0.25">
      <c r="A257" s="27">
        <v>104</v>
      </c>
      <c r="B257" s="10" t="s">
        <v>143</v>
      </c>
      <c r="C257" s="49">
        <v>200</v>
      </c>
      <c r="D257" s="20">
        <f>8.8*C257/1000</f>
        <v>1.7600000000000002</v>
      </c>
      <c r="E257" s="20">
        <f>11.1*C257/1000</f>
        <v>2.2200000000000002</v>
      </c>
      <c r="F257" s="20">
        <f>61.6*C257/1000</f>
        <v>12.32</v>
      </c>
      <c r="G257" s="20">
        <f>424*C257/1000</f>
        <v>84.8</v>
      </c>
      <c r="H257" s="20">
        <f>0</f>
        <v>0</v>
      </c>
      <c r="I257" s="20">
        <f>0.5*C257/1000</f>
        <v>0.1</v>
      </c>
      <c r="J257" s="20">
        <f>44.3*C257/1000</f>
        <v>8.86</v>
      </c>
      <c r="K257" s="20">
        <f>118.8*C257/1000</f>
        <v>23.76</v>
      </c>
      <c r="L257" s="20">
        <f>288.9*C257/1000</f>
        <v>57.779999999999994</v>
      </c>
      <c r="M257" s="20">
        <f>4.6*C257/1000</f>
        <v>0.91999999999999993</v>
      </c>
    </row>
    <row r="258" spans="1:13" x14ac:dyDescent="0.25">
      <c r="A258" s="28">
        <v>204</v>
      </c>
      <c r="B258" s="10" t="s">
        <v>144</v>
      </c>
      <c r="C258" s="49">
        <v>200</v>
      </c>
      <c r="D258" s="130">
        <f>67.7*C258/1000</f>
        <v>13.54</v>
      </c>
      <c r="E258" s="130">
        <f>79.7*C258/1000</f>
        <v>15.94</v>
      </c>
      <c r="F258" s="130">
        <f>170.6*C258/1000</f>
        <v>34.119999999999997</v>
      </c>
      <c r="G258" s="130">
        <f>1123*C258/1000</f>
        <v>224.6</v>
      </c>
      <c r="H258" s="130">
        <f>576*C258/1000</f>
        <v>115.2</v>
      </c>
      <c r="I258" s="130">
        <f>0.4*C258/1000</f>
        <v>0.08</v>
      </c>
      <c r="J258" s="130">
        <f>1.1*C258/1000</f>
        <v>0.22000000000000003</v>
      </c>
      <c r="K258" s="130">
        <f>1476*C258/1000</f>
        <v>295.2</v>
      </c>
      <c r="L258" s="130">
        <f>1010*C258/1000</f>
        <v>202</v>
      </c>
      <c r="M258" s="130">
        <f>6.2*C258/1000</f>
        <v>1.24</v>
      </c>
    </row>
    <row r="259" spans="1:13" x14ac:dyDescent="0.25">
      <c r="A259" s="27">
        <v>386</v>
      </c>
      <c r="B259" s="10" t="s">
        <v>147</v>
      </c>
      <c r="C259" s="49">
        <v>200</v>
      </c>
      <c r="D259" s="20">
        <f>5*C259/1000</f>
        <v>1</v>
      </c>
      <c r="E259" s="20">
        <f>0</f>
        <v>0</v>
      </c>
      <c r="F259" s="20">
        <f>101*C259/1000</f>
        <v>20.2</v>
      </c>
      <c r="G259" s="20">
        <f>424*C259/1000</f>
        <v>84.8</v>
      </c>
      <c r="H259" s="20">
        <f>0</f>
        <v>0</v>
      </c>
      <c r="I259" s="20">
        <f>0.1*C259/1000</f>
        <v>0.02</v>
      </c>
      <c r="J259" s="20">
        <f>20*C259/1000</f>
        <v>4</v>
      </c>
      <c r="K259" s="20">
        <f>70*C259/1000</f>
        <v>14</v>
      </c>
      <c r="L259" s="20">
        <f>70*C259/1000</f>
        <v>14</v>
      </c>
      <c r="M259" s="20">
        <f>14*C259/1000</f>
        <v>2.8</v>
      </c>
    </row>
    <row r="260" spans="1:13" x14ac:dyDescent="0.25">
      <c r="A260" s="9" t="s">
        <v>66</v>
      </c>
      <c r="B260" s="10" t="s">
        <v>33</v>
      </c>
      <c r="C260" s="49">
        <v>40</v>
      </c>
      <c r="D260" s="20">
        <f>107*C260/1000</f>
        <v>4.28</v>
      </c>
      <c r="E260" s="20">
        <f>45*C260/1000</f>
        <v>1.8</v>
      </c>
      <c r="F260" s="20">
        <f>435*C260/1000</f>
        <v>17.399999999999999</v>
      </c>
      <c r="G260" s="20">
        <f>2740*C260/1000</f>
        <v>109.6</v>
      </c>
      <c r="H260" s="20">
        <f>0</f>
        <v>0</v>
      </c>
      <c r="I260" s="20">
        <f>4.1*C260/1000</f>
        <v>0.16400000000000001</v>
      </c>
      <c r="J260" s="20">
        <f>2*C260/1000</f>
        <v>0.08</v>
      </c>
      <c r="K260" s="20">
        <f>1250*C260/1000</f>
        <v>50</v>
      </c>
      <c r="L260" s="20">
        <f>1290*C260/1000</f>
        <v>51.6</v>
      </c>
      <c r="M260" s="20">
        <f>36*C260/1000</f>
        <v>1.44</v>
      </c>
    </row>
    <row r="261" spans="1:13" x14ac:dyDescent="0.25">
      <c r="A261" s="15" t="s">
        <v>70</v>
      </c>
      <c r="B261" s="10" t="s">
        <v>3</v>
      </c>
      <c r="C261" s="49">
        <v>20</v>
      </c>
      <c r="D261" s="31">
        <f>85*C261/1000</f>
        <v>1.7</v>
      </c>
      <c r="E261" s="31">
        <f>33*C261/1000</f>
        <v>0.66</v>
      </c>
      <c r="F261" s="31">
        <f>425*C261/1000</f>
        <v>8.5</v>
      </c>
      <c r="G261" s="31">
        <f>2590*C261/1000</f>
        <v>51.8</v>
      </c>
      <c r="H261" s="35">
        <f>0</f>
        <v>0</v>
      </c>
      <c r="I261" s="31">
        <f>4.3*C261/1000</f>
        <v>8.5999999999999993E-2</v>
      </c>
      <c r="J261" s="31">
        <f>4*C261/1000</f>
        <v>0.08</v>
      </c>
      <c r="K261" s="31">
        <f>730*C261/1000</f>
        <v>14.6</v>
      </c>
      <c r="L261" s="31">
        <f>1250*C261/1000</f>
        <v>25</v>
      </c>
      <c r="M261" s="31">
        <f>28.3*C261/1000</f>
        <v>0.56599999999999995</v>
      </c>
    </row>
    <row r="262" spans="1:13" x14ac:dyDescent="0.25">
      <c r="A262" s="27">
        <v>209</v>
      </c>
      <c r="B262" s="10" t="s">
        <v>148</v>
      </c>
      <c r="C262" s="49">
        <v>40</v>
      </c>
      <c r="D262" s="20">
        <f>126*C262/1000</f>
        <v>5.04</v>
      </c>
      <c r="E262" s="20">
        <f>106*C262/1000</f>
        <v>4.24</v>
      </c>
      <c r="F262" s="20">
        <f>11*C262/1000</f>
        <v>0.44</v>
      </c>
      <c r="G262" s="20">
        <f>1550*C262/1000</f>
        <v>62</v>
      </c>
      <c r="H262" s="20">
        <f>1490*C262/1000</f>
        <v>59.6</v>
      </c>
      <c r="I262" s="20">
        <f>0.6*C262/1000</f>
        <v>2.4E-2</v>
      </c>
      <c r="J262" s="20">
        <f>0*C262/1000</f>
        <v>0</v>
      </c>
      <c r="K262" s="20">
        <f>500*C262/1000</f>
        <v>20</v>
      </c>
      <c r="L262" s="20">
        <f>1720*C262/1000</f>
        <v>68.8</v>
      </c>
      <c r="M262" s="20">
        <f>11.9*C262/1000</f>
        <v>0.47599999999999998</v>
      </c>
    </row>
    <row r="263" spans="1:13" x14ac:dyDescent="0.25">
      <c r="A263" s="28"/>
      <c r="B263" s="12" t="s">
        <v>67</v>
      </c>
      <c r="C263" s="13">
        <f t="shared" ref="C263:M263" si="25">SUM(C256:C262)</f>
        <v>760</v>
      </c>
      <c r="D263" s="122">
        <f t="shared" si="25"/>
        <v>28.058</v>
      </c>
      <c r="E263" s="122">
        <f t="shared" si="25"/>
        <v>24.914000000000001</v>
      </c>
      <c r="F263" s="122">
        <f t="shared" si="25"/>
        <v>99.867999999999995</v>
      </c>
      <c r="G263" s="122">
        <f t="shared" si="25"/>
        <v>666.61999999999989</v>
      </c>
      <c r="H263" s="122">
        <f t="shared" si="25"/>
        <v>174.8</v>
      </c>
      <c r="I263" s="122">
        <f t="shared" si="25"/>
        <v>0.51</v>
      </c>
      <c r="J263" s="122">
        <f t="shared" si="25"/>
        <v>15.256</v>
      </c>
      <c r="K263" s="122">
        <f t="shared" si="25"/>
        <v>433.01600000000002</v>
      </c>
      <c r="L263" s="122">
        <f t="shared" si="25"/>
        <v>450.84200000000004</v>
      </c>
      <c r="M263" s="122">
        <f t="shared" si="25"/>
        <v>7.8379999999999992</v>
      </c>
    </row>
    <row r="264" spans="1:13" ht="18.75" x14ac:dyDescent="0.25">
      <c r="A264" s="28"/>
      <c r="B264" s="17" t="s">
        <v>71</v>
      </c>
      <c r="C264" s="16">
        <f t="shared" ref="C264:M264" si="26">C254+C263</f>
        <v>1360</v>
      </c>
      <c r="D264" s="123">
        <f t="shared" si="26"/>
        <v>56.628</v>
      </c>
      <c r="E264" s="123">
        <f t="shared" si="26"/>
        <v>45.004000000000005</v>
      </c>
      <c r="F264" s="123">
        <f t="shared" si="26"/>
        <v>197.58799999999999</v>
      </c>
      <c r="G264" s="123">
        <f t="shared" si="26"/>
        <v>1373.2199999999998</v>
      </c>
      <c r="H264" s="123">
        <f t="shared" si="26"/>
        <v>207.34800000000001</v>
      </c>
      <c r="I264" s="123">
        <f t="shared" si="26"/>
        <v>0.92600000000000005</v>
      </c>
      <c r="J264" s="123">
        <f t="shared" si="26"/>
        <v>22.218</v>
      </c>
      <c r="K264" s="123">
        <f t="shared" si="26"/>
        <v>706.35400000000004</v>
      </c>
      <c r="L264" s="123">
        <f t="shared" si="26"/>
        <v>960.32800000000009</v>
      </c>
      <c r="M264" s="123">
        <f t="shared" si="26"/>
        <v>12.213999999999999</v>
      </c>
    </row>
    <row r="265" spans="1:13" ht="18" customHeight="1" x14ac:dyDescent="0.25">
      <c r="A265" s="18"/>
      <c r="B265" s="19" t="s">
        <v>170</v>
      </c>
      <c r="C265" s="20">
        <v>1350</v>
      </c>
      <c r="D265" s="21">
        <v>45</v>
      </c>
      <c r="E265" s="21">
        <v>46</v>
      </c>
      <c r="F265" s="21">
        <v>192</v>
      </c>
      <c r="G265" s="21">
        <v>1360</v>
      </c>
      <c r="H265" s="21">
        <v>450</v>
      </c>
      <c r="I265" s="21">
        <v>0.7</v>
      </c>
      <c r="J265" s="21">
        <v>35</v>
      </c>
      <c r="K265" s="21">
        <v>600</v>
      </c>
      <c r="L265" s="21">
        <v>600</v>
      </c>
      <c r="M265" s="21">
        <v>9</v>
      </c>
    </row>
    <row r="266" spans="1:13" ht="18" customHeight="1" x14ac:dyDescent="0.25">
      <c r="A266" s="22"/>
      <c r="B266" s="23"/>
      <c r="C266" s="24"/>
      <c r="D266" s="26"/>
      <c r="E266" s="26"/>
      <c r="F266" s="26"/>
      <c r="G266" s="26"/>
      <c r="H266" s="26"/>
      <c r="I266" s="26"/>
      <c r="J266" s="26"/>
      <c r="K266" s="26"/>
      <c r="L266" s="26"/>
      <c r="M266" s="26"/>
    </row>
    <row r="267" spans="1:13" ht="18" customHeight="1" x14ac:dyDescent="0.25">
      <c r="A267" s="22"/>
      <c r="B267" s="23"/>
      <c r="C267" s="24"/>
      <c r="D267" s="26"/>
      <c r="E267" s="26"/>
      <c r="F267" s="26"/>
      <c r="G267" s="26"/>
      <c r="H267" s="26"/>
      <c r="I267" s="26"/>
      <c r="J267" s="26"/>
      <c r="K267" s="26"/>
      <c r="L267" s="26"/>
      <c r="M267" s="26"/>
    </row>
    <row r="268" spans="1:13" ht="36.6" customHeight="1" x14ac:dyDescent="0.25">
      <c r="A268" s="22"/>
      <c r="B268" s="23"/>
      <c r="C268" s="24"/>
      <c r="D268" s="26"/>
      <c r="E268" s="26"/>
      <c r="F268" s="26"/>
      <c r="G268" s="26"/>
      <c r="H268" s="26"/>
      <c r="I268" s="26"/>
      <c r="J268" s="26"/>
      <c r="K268" s="26"/>
      <c r="L268" s="26"/>
      <c r="M268" s="26"/>
    </row>
    <row r="269" spans="1:13" ht="16.149999999999999" hidden="1" customHeight="1" x14ac:dyDescent="0.25">
      <c r="B269" s="144"/>
      <c r="C269" s="144"/>
      <c r="D269" s="32"/>
      <c r="E269" s="32"/>
      <c r="F269" s="32"/>
      <c r="G269" s="32"/>
      <c r="H269" s="32"/>
      <c r="I269" s="32"/>
      <c r="J269" s="32"/>
      <c r="K269" s="32"/>
      <c r="L269" s="32"/>
      <c r="M269" s="32"/>
    </row>
    <row r="270" spans="1:13" ht="18.75" x14ac:dyDescent="0.25">
      <c r="A270" s="198" t="s">
        <v>77</v>
      </c>
      <c r="B270" s="199"/>
      <c r="D270" s="32"/>
      <c r="E270" s="32"/>
      <c r="F270" s="32"/>
      <c r="G270" s="32"/>
      <c r="H270" s="32"/>
      <c r="I270" s="32"/>
      <c r="J270" s="32"/>
      <c r="K270" s="32"/>
      <c r="L270" s="32"/>
      <c r="M270" s="32"/>
    </row>
    <row r="271" spans="1:13" x14ac:dyDescent="0.25">
      <c r="A271" s="198" t="s">
        <v>79</v>
      </c>
      <c r="B271" s="199"/>
      <c r="D271" s="32"/>
      <c r="E271" s="32"/>
      <c r="F271" s="32"/>
      <c r="G271" s="32"/>
      <c r="H271" s="32"/>
      <c r="I271" s="32"/>
      <c r="J271" s="32"/>
      <c r="K271" s="32"/>
      <c r="L271" s="32"/>
      <c r="M271" s="32"/>
    </row>
    <row r="272" spans="1:13" ht="15.75" thickBot="1" x14ac:dyDescent="0.3">
      <c r="A272" s="200" t="s">
        <v>168</v>
      </c>
      <c r="B272" s="201"/>
      <c r="D272" s="32"/>
      <c r="E272" s="32"/>
      <c r="F272" s="32"/>
      <c r="G272" s="32"/>
      <c r="H272" s="32"/>
      <c r="I272" s="32"/>
      <c r="J272" s="32"/>
      <c r="K272" s="32"/>
      <c r="L272" s="32"/>
      <c r="M272" s="32"/>
    </row>
    <row r="273" spans="1:13" x14ac:dyDescent="0.25">
      <c r="A273" s="192" t="s">
        <v>49</v>
      </c>
      <c r="B273" s="192" t="s">
        <v>50</v>
      </c>
      <c r="C273" s="192" t="s">
        <v>51</v>
      </c>
      <c r="D273" s="207" t="s">
        <v>52</v>
      </c>
      <c r="E273" s="208"/>
      <c r="F273" s="209"/>
      <c r="G273" s="204" t="s">
        <v>53</v>
      </c>
      <c r="H273" s="207" t="s">
        <v>54</v>
      </c>
      <c r="I273" s="208"/>
      <c r="J273" s="209"/>
      <c r="K273" s="207" t="s">
        <v>55</v>
      </c>
      <c r="L273" s="208"/>
      <c r="M273" s="209"/>
    </row>
    <row r="274" spans="1:13" ht="15.75" thickBot="1" x14ac:dyDescent="0.3">
      <c r="A274" s="202"/>
      <c r="B274" s="193"/>
      <c r="C274" s="193"/>
      <c r="D274" s="210" t="s">
        <v>56</v>
      </c>
      <c r="E274" s="211"/>
      <c r="F274" s="212"/>
      <c r="G274" s="205"/>
      <c r="H274" s="210"/>
      <c r="I274" s="211"/>
      <c r="J274" s="212"/>
      <c r="K274" s="210"/>
      <c r="L274" s="211"/>
      <c r="M274" s="212"/>
    </row>
    <row r="275" spans="1:13" ht="16.149999999999999" customHeight="1" thickBot="1" x14ac:dyDescent="0.3">
      <c r="A275" s="203"/>
      <c r="B275" s="194"/>
      <c r="C275" s="194"/>
      <c r="D275" s="33" t="s">
        <v>57</v>
      </c>
      <c r="E275" s="33" t="s">
        <v>58</v>
      </c>
      <c r="F275" s="33" t="s">
        <v>59</v>
      </c>
      <c r="G275" s="206"/>
      <c r="H275" s="33" t="s">
        <v>60</v>
      </c>
      <c r="I275" s="33" t="s">
        <v>84</v>
      </c>
      <c r="J275" s="33" t="s">
        <v>62</v>
      </c>
      <c r="K275" s="33" t="s">
        <v>63</v>
      </c>
      <c r="L275" s="33" t="s">
        <v>81</v>
      </c>
      <c r="M275" s="33" t="s">
        <v>64</v>
      </c>
    </row>
    <row r="276" spans="1:13" ht="16.5" customHeight="1" x14ac:dyDescent="0.25">
      <c r="A276" s="6"/>
      <c r="B276" s="7" t="s">
        <v>65</v>
      </c>
      <c r="C276" s="8"/>
      <c r="D276" s="34"/>
      <c r="E276" s="34"/>
      <c r="F276" s="34"/>
      <c r="G276" s="34"/>
      <c r="H276" s="34"/>
      <c r="I276" s="34"/>
      <c r="J276" s="34"/>
      <c r="K276" s="34"/>
      <c r="L276" s="34"/>
      <c r="M276" s="34"/>
    </row>
    <row r="277" spans="1:13" ht="30" x14ac:dyDescent="0.25">
      <c r="A277" s="27">
        <v>173</v>
      </c>
      <c r="B277" s="145" t="s">
        <v>163</v>
      </c>
      <c r="C277" s="49">
        <v>200</v>
      </c>
      <c r="D277" s="20">
        <f>16.9*C277/1000</f>
        <v>3.3799999999999994</v>
      </c>
      <c r="E277" s="20">
        <f>109.9*C277/1000</f>
        <v>21.98</v>
      </c>
      <c r="F277" s="20">
        <f>81.9*C277/1000</f>
        <v>16.380000000000003</v>
      </c>
      <c r="G277" s="20">
        <f>1352.4*C277/1000</f>
        <v>270.48</v>
      </c>
      <c r="H277" s="20">
        <f>438.1*C277/1000</f>
        <v>87.62</v>
      </c>
      <c r="I277" s="20">
        <f>0.6*C277/1000</f>
        <v>0.12</v>
      </c>
      <c r="J277" s="20">
        <f>119.1*C277/1000</f>
        <v>23.82</v>
      </c>
      <c r="K277" s="20">
        <f>353.9*C277/1000</f>
        <v>70.78</v>
      </c>
      <c r="L277" s="20">
        <f>428.6*C277/1000</f>
        <v>85.72</v>
      </c>
      <c r="M277" s="20">
        <f>5.7*C277/1000</f>
        <v>1.1399999999999999</v>
      </c>
    </row>
    <row r="278" spans="1:13" x14ac:dyDescent="0.25">
      <c r="A278" s="27">
        <v>338</v>
      </c>
      <c r="B278" s="10" t="s">
        <v>131</v>
      </c>
      <c r="C278" s="49">
        <v>100</v>
      </c>
      <c r="D278" s="20">
        <f>129*C278/1000</f>
        <v>12.9</v>
      </c>
      <c r="E278" s="20">
        <f>334.2*C278/1000</f>
        <v>33.42</v>
      </c>
      <c r="F278" s="20">
        <f>132.2*C278/1000</f>
        <v>13.219999999999999</v>
      </c>
      <c r="G278" s="20">
        <f>4080*C278/1000</f>
        <v>408</v>
      </c>
      <c r="H278" s="20">
        <f>400*C278/1000</f>
        <v>40</v>
      </c>
      <c r="I278" s="20">
        <f>3.6*C278/1000</f>
        <v>0.36</v>
      </c>
      <c r="J278" s="20">
        <f>42.8*C278/1000</f>
        <v>4.28</v>
      </c>
      <c r="K278" s="20">
        <f>115*C278/1000</f>
        <v>11.5</v>
      </c>
      <c r="L278" s="20">
        <f>1541.6*C278/1000</f>
        <v>154.16</v>
      </c>
      <c r="M278" s="20">
        <f>32*C278/1000</f>
        <v>3.2</v>
      </c>
    </row>
    <row r="279" spans="1:13" x14ac:dyDescent="0.25">
      <c r="A279" s="27">
        <v>379</v>
      </c>
      <c r="B279" s="10" t="s">
        <v>95</v>
      </c>
      <c r="C279" s="49">
        <v>200</v>
      </c>
      <c r="D279" s="31">
        <f>15.8*C279/1000</f>
        <v>3.16</v>
      </c>
      <c r="E279" s="31">
        <f>13.4*C279/1000</f>
        <v>2.68</v>
      </c>
      <c r="F279" s="31">
        <f>79.7*C279/1000</f>
        <v>15.94</v>
      </c>
      <c r="G279" s="31">
        <f>503*C279/1000</f>
        <v>100.6</v>
      </c>
      <c r="H279" s="31">
        <f>100*C279/1000</f>
        <v>20</v>
      </c>
      <c r="I279" s="31">
        <f>0.22*C279/1000</f>
        <v>4.3999999999999997E-2</v>
      </c>
      <c r="J279" s="31">
        <f>6.5*C279/1000</f>
        <v>1.3</v>
      </c>
      <c r="K279" s="31">
        <f>628.9*C279/1000</f>
        <v>125.78</v>
      </c>
      <c r="L279" s="31">
        <f>450*C279/1000</f>
        <v>90</v>
      </c>
      <c r="M279" s="31">
        <f>0.7*C279/1000</f>
        <v>0.14000000000000001</v>
      </c>
    </row>
    <row r="280" spans="1:13" x14ac:dyDescent="0.25">
      <c r="A280" s="27">
        <v>15</v>
      </c>
      <c r="B280" s="10" t="s">
        <v>9</v>
      </c>
      <c r="C280" s="49">
        <v>15</v>
      </c>
      <c r="D280" s="20">
        <f>232*C280/1000</f>
        <v>3.48</v>
      </c>
      <c r="E280" s="20">
        <f>295*C280/1000</f>
        <v>4.4249999999999998</v>
      </c>
      <c r="F280" s="20">
        <f>0</f>
        <v>0</v>
      </c>
      <c r="G280" s="20">
        <f>3600*C280/1000</f>
        <v>54</v>
      </c>
      <c r="H280" s="20">
        <f>2600*C280/1000</f>
        <v>39</v>
      </c>
      <c r="I280" s="20">
        <f>0.3*C280/1000</f>
        <v>4.4999999999999997E-3</v>
      </c>
      <c r="J280" s="20">
        <f>7*C280/1000</f>
        <v>0.105</v>
      </c>
      <c r="K280" s="20">
        <f>8800*C280/1000</f>
        <v>132</v>
      </c>
      <c r="L280" s="20">
        <f>5000*C280/1000</f>
        <v>75</v>
      </c>
      <c r="M280" s="20">
        <f>10*C280/1000</f>
        <v>0.15</v>
      </c>
    </row>
    <row r="281" spans="1:13" x14ac:dyDescent="0.25">
      <c r="A281" s="9" t="s">
        <v>66</v>
      </c>
      <c r="B281" s="10" t="s">
        <v>33</v>
      </c>
      <c r="C281" s="49">
        <v>40</v>
      </c>
      <c r="D281" s="20">
        <f>107*C281/1000</f>
        <v>4.28</v>
      </c>
      <c r="E281" s="20">
        <f>45*C281/1000</f>
        <v>1.8</v>
      </c>
      <c r="F281" s="20">
        <f>435*C281/1000</f>
        <v>17.399999999999999</v>
      </c>
      <c r="G281" s="20">
        <f>2740*C281/1000</f>
        <v>109.6</v>
      </c>
      <c r="H281" s="20">
        <f>0</f>
        <v>0</v>
      </c>
      <c r="I281" s="20">
        <f>4.1*C281/1000</f>
        <v>0.16400000000000001</v>
      </c>
      <c r="J281" s="20">
        <f>2*C281/1000</f>
        <v>0.08</v>
      </c>
      <c r="K281" s="20">
        <f>1250*C281/1000</f>
        <v>50</v>
      </c>
      <c r="L281" s="20">
        <f>1290*C281/1000</f>
        <v>51.6</v>
      </c>
      <c r="M281" s="20">
        <f>36*C281/1000</f>
        <v>1.44</v>
      </c>
    </row>
    <row r="282" spans="1:13" x14ac:dyDescent="0.25">
      <c r="A282" s="15" t="s">
        <v>70</v>
      </c>
      <c r="B282" s="10" t="s">
        <v>3</v>
      </c>
      <c r="C282" s="49">
        <v>20</v>
      </c>
      <c r="D282" s="31">
        <f>85*C282/1000</f>
        <v>1.7</v>
      </c>
      <c r="E282" s="31">
        <f>33*C282/1000</f>
        <v>0.66</v>
      </c>
      <c r="F282" s="31">
        <f>425*C282/1000</f>
        <v>8.5</v>
      </c>
      <c r="G282" s="31">
        <f>2590*C282/1000</f>
        <v>51.8</v>
      </c>
      <c r="H282" s="35">
        <f>0</f>
        <v>0</v>
      </c>
      <c r="I282" s="31">
        <f>4.3*C282/1000</f>
        <v>8.5999999999999993E-2</v>
      </c>
      <c r="J282" s="31">
        <f>4*C282/1000</f>
        <v>0.08</v>
      </c>
      <c r="K282" s="31">
        <f>730*C282/1000</f>
        <v>14.6</v>
      </c>
      <c r="L282" s="31">
        <f>1250*C282/1000</f>
        <v>25</v>
      </c>
      <c r="M282" s="31">
        <f>28.3*C282/1000</f>
        <v>0.56599999999999995</v>
      </c>
    </row>
    <row r="283" spans="1:13" ht="15.75" customHeight="1" x14ac:dyDescent="0.25">
      <c r="A283" s="27">
        <v>386</v>
      </c>
      <c r="B283" s="10" t="s">
        <v>135</v>
      </c>
      <c r="C283" s="49">
        <v>200</v>
      </c>
      <c r="D283" s="20">
        <f>5*C283/1000</f>
        <v>1</v>
      </c>
      <c r="E283" s="20">
        <f>0</f>
        <v>0</v>
      </c>
      <c r="F283" s="20">
        <f>101*C283/1000</f>
        <v>20.2</v>
      </c>
      <c r="G283" s="20">
        <f>424*C283/1000</f>
        <v>84.8</v>
      </c>
      <c r="H283" s="20">
        <f>0</f>
        <v>0</v>
      </c>
      <c r="I283" s="20">
        <f>0.1*C283/1000</f>
        <v>0.02</v>
      </c>
      <c r="J283" s="20">
        <f>20*C283/1000</f>
        <v>4</v>
      </c>
      <c r="K283" s="20">
        <f>70*C283/1000</f>
        <v>14</v>
      </c>
      <c r="L283" s="20">
        <f>70*C283/1000</f>
        <v>14</v>
      </c>
      <c r="M283" s="20">
        <f>14*C283/1000</f>
        <v>2.8</v>
      </c>
    </row>
    <row r="284" spans="1:13" x14ac:dyDescent="0.25">
      <c r="A284" s="27"/>
      <c r="B284" s="12" t="s">
        <v>67</v>
      </c>
      <c r="C284" s="13">
        <f>SUM(C277:C283)</f>
        <v>775</v>
      </c>
      <c r="D284" s="122">
        <f t="shared" ref="D284:M284" si="27">SUM(D277:D283)</f>
        <v>29.900000000000002</v>
      </c>
      <c r="E284" s="122">
        <f t="shared" si="27"/>
        <v>64.965000000000003</v>
      </c>
      <c r="F284" s="122">
        <f t="shared" si="27"/>
        <v>91.64</v>
      </c>
      <c r="G284" s="122">
        <f t="shared" si="27"/>
        <v>1079.28</v>
      </c>
      <c r="H284" s="122">
        <f t="shared" si="27"/>
        <v>186.62</v>
      </c>
      <c r="I284" s="122">
        <f t="shared" si="27"/>
        <v>0.79849999999999999</v>
      </c>
      <c r="J284" s="122">
        <f t="shared" si="27"/>
        <v>33.664999999999999</v>
      </c>
      <c r="K284" s="122">
        <f t="shared" si="27"/>
        <v>418.66</v>
      </c>
      <c r="L284" s="122">
        <f t="shared" si="27"/>
        <v>495.48</v>
      </c>
      <c r="M284" s="122">
        <f t="shared" si="27"/>
        <v>9.4359999999999999</v>
      </c>
    </row>
    <row r="285" spans="1:13" ht="18.75" x14ac:dyDescent="0.25">
      <c r="A285" s="27"/>
      <c r="B285" s="14" t="s">
        <v>68</v>
      </c>
      <c r="C285" s="11"/>
      <c r="D285" s="20"/>
      <c r="E285" s="20"/>
      <c r="F285" s="20"/>
      <c r="G285" s="20"/>
      <c r="H285" s="20"/>
      <c r="I285" s="20"/>
      <c r="J285" s="20"/>
      <c r="K285" s="20"/>
      <c r="L285" s="20"/>
      <c r="M285" s="20"/>
    </row>
    <row r="286" spans="1:13" x14ac:dyDescent="0.25">
      <c r="A286" s="27">
        <v>81</v>
      </c>
      <c r="B286" s="10" t="s">
        <v>72</v>
      </c>
      <c r="C286" s="49">
        <v>200</v>
      </c>
      <c r="D286" s="20">
        <f>6.4*C286/1000</f>
        <v>1.28</v>
      </c>
      <c r="E286" s="20">
        <f>19.4*C286/1000</f>
        <v>3.8799999999999994</v>
      </c>
      <c r="F286" s="20">
        <f>34.3*C286/1000</f>
        <v>6.8599999999999994</v>
      </c>
      <c r="G286" s="20">
        <f>365*C286/1000</f>
        <v>73</v>
      </c>
      <c r="H286" s="20">
        <f>0</f>
        <v>0</v>
      </c>
      <c r="I286" s="20">
        <f>0.1*C286/1000</f>
        <v>0.02</v>
      </c>
      <c r="J286" s="20">
        <f>43.7*C286/1000</f>
        <v>8.74</v>
      </c>
      <c r="K286" s="20">
        <f>210.1*C286/1000</f>
        <v>42.02</v>
      </c>
      <c r="L286" s="20">
        <f>184.4*C286/1000</f>
        <v>36.880000000000003</v>
      </c>
      <c r="M286" s="20">
        <f>4.4*C286/1000</f>
        <v>0.88000000000000012</v>
      </c>
    </row>
    <row r="287" spans="1:13" x14ac:dyDescent="0.25">
      <c r="A287" s="27">
        <v>310</v>
      </c>
      <c r="B287" s="10" t="s">
        <v>145</v>
      </c>
      <c r="C287" s="49">
        <v>200</v>
      </c>
      <c r="D287" s="20">
        <f>19.1*C287/1000</f>
        <v>3.8200000000000003</v>
      </c>
      <c r="E287" s="20">
        <f>28.8*C287/1000</f>
        <v>5.76</v>
      </c>
      <c r="F287" s="20">
        <f>153.4*C287/1000</f>
        <v>30.68</v>
      </c>
      <c r="G287" s="20">
        <f>949*C287/1000</f>
        <v>189.8</v>
      </c>
      <c r="H287" s="20">
        <f>0</f>
        <v>0</v>
      </c>
      <c r="I287" s="20">
        <f>1*C287/1000</f>
        <v>0.2</v>
      </c>
      <c r="J287" s="20">
        <f>140*C287/1000</f>
        <v>28</v>
      </c>
      <c r="K287" s="20">
        <f>97.6*C287/1000</f>
        <v>19.52</v>
      </c>
      <c r="L287" s="20">
        <f>531.5*C287/1000</f>
        <v>106.3</v>
      </c>
      <c r="M287" s="20">
        <f>7.7*C287/1000</f>
        <v>1.54</v>
      </c>
    </row>
    <row r="288" spans="1:13" x14ac:dyDescent="0.25">
      <c r="A288" s="27">
        <v>255</v>
      </c>
      <c r="B288" s="10" t="s">
        <v>133</v>
      </c>
      <c r="C288" s="49">
        <v>100</v>
      </c>
      <c r="D288" s="20">
        <f>132.6*C288/1000</f>
        <v>13.26</v>
      </c>
      <c r="E288" s="20">
        <f>112.3*C288/1000</f>
        <v>11.23</v>
      </c>
      <c r="F288" s="20">
        <f>35.2*C288/1000</f>
        <v>3.5200000000000005</v>
      </c>
      <c r="G288" s="20">
        <f>1850*C288/1000</f>
        <v>185</v>
      </c>
      <c r="H288" s="20">
        <f>57820*C288/1000</f>
        <v>5782</v>
      </c>
      <c r="I288" s="20">
        <f>2*C288/1000</f>
        <v>0.2</v>
      </c>
      <c r="J288" s="20">
        <f>84.2*C288/1000</f>
        <v>8.42</v>
      </c>
      <c r="K288" s="20">
        <f>332.4*C288/1000</f>
        <v>33.24</v>
      </c>
      <c r="L288" s="20">
        <f>2393.2*C288/1000</f>
        <v>239.31999999999996</v>
      </c>
      <c r="M288" s="20">
        <f>50*C288/1000</f>
        <v>5</v>
      </c>
    </row>
    <row r="289" spans="1:13" x14ac:dyDescent="0.25">
      <c r="A289" s="27">
        <v>379</v>
      </c>
      <c r="B289" s="10" t="s">
        <v>34</v>
      </c>
      <c r="C289" s="49">
        <v>200</v>
      </c>
      <c r="D289" s="31">
        <f>15.8*C289/1000</f>
        <v>3.16</v>
      </c>
      <c r="E289" s="31">
        <f>13.4*C289/1000</f>
        <v>2.68</v>
      </c>
      <c r="F289" s="31">
        <f>79.7*C289/1000</f>
        <v>15.94</v>
      </c>
      <c r="G289" s="31">
        <f>503*C289/1000</f>
        <v>100.6</v>
      </c>
      <c r="H289" s="31">
        <f>100*C289/1000</f>
        <v>20</v>
      </c>
      <c r="I289" s="31">
        <f>0.22*C289/1000</f>
        <v>4.3999999999999997E-2</v>
      </c>
      <c r="J289" s="31">
        <f>6.5*C289/1000</f>
        <v>1.3</v>
      </c>
      <c r="K289" s="31">
        <f>628.9*C289/1000</f>
        <v>125.78</v>
      </c>
      <c r="L289" s="31">
        <f>450*C289/1000</f>
        <v>90</v>
      </c>
      <c r="M289" s="31">
        <f>0.7*C289/1000</f>
        <v>0.14000000000000001</v>
      </c>
    </row>
    <row r="290" spans="1:13" x14ac:dyDescent="0.25">
      <c r="A290" s="9" t="s">
        <v>66</v>
      </c>
      <c r="B290" s="10" t="s">
        <v>33</v>
      </c>
      <c r="C290" s="49">
        <v>40</v>
      </c>
      <c r="D290" s="20">
        <f>107*C290/1000</f>
        <v>4.28</v>
      </c>
      <c r="E290" s="20">
        <f>45*C290/1000</f>
        <v>1.8</v>
      </c>
      <c r="F290" s="20">
        <f>435*C290/1000</f>
        <v>17.399999999999999</v>
      </c>
      <c r="G290" s="20">
        <f>2740*C290/1000</f>
        <v>109.6</v>
      </c>
      <c r="H290" s="20">
        <f>0</f>
        <v>0</v>
      </c>
      <c r="I290" s="20">
        <f>4.1*C290/1000</f>
        <v>0.16400000000000001</v>
      </c>
      <c r="J290" s="20">
        <f>2*C290/1000</f>
        <v>0.08</v>
      </c>
      <c r="K290" s="20">
        <f>1250*C290/1000</f>
        <v>50</v>
      </c>
      <c r="L290" s="20">
        <f>1290*C290/1000</f>
        <v>51.6</v>
      </c>
      <c r="M290" s="20">
        <f>36*C290/1000</f>
        <v>1.44</v>
      </c>
    </row>
    <row r="291" spans="1:13" x14ac:dyDescent="0.25">
      <c r="A291" s="15" t="s">
        <v>70</v>
      </c>
      <c r="B291" s="10" t="s">
        <v>3</v>
      </c>
      <c r="C291" s="49">
        <v>20</v>
      </c>
      <c r="D291" s="31">
        <f>85*C291/1000</f>
        <v>1.7</v>
      </c>
      <c r="E291" s="31">
        <f>33*C291/1000</f>
        <v>0.66</v>
      </c>
      <c r="F291" s="31">
        <f>425*C291/1000</f>
        <v>8.5</v>
      </c>
      <c r="G291" s="31">
        <f>2590*C291/1000</f>
        <v>51.8</v>
      </c>
      <c r="H291" s="35">
        <f>0</f>
        <v>0</v>
      </c>
      <c r="I291" s="31">
        <f>4.3*C291/1000</f>
        <v>8.5999999999999993E-2</v>
      </c>
      <c r="J291" s="31">
        <f>4*C291/1000</f>
        <v>0.08</v>
      </c>
      <c r="K291" s="31">
        <f>730*C291/1000</f>
        <v>14.6</v>
      </c>
      <c r="L291" s="31">
        <f>1250*C291/1000</f>
        <v>25</v>
      </c>
      <c r="M291" s="31">
        <f>28.3*C291/1000</f>
        <v>0.56599999999999995</v>
      </c>
    </row>
    <row r="292" spans="1:13" x14ac:dyDescent="0.25">
      <c r="A292" s="28"/>
      <c r="B292" s="12" t="s">
        <v>67</v>
      </c>
      <c r="C292" s="13">
        <f t="shared" ref="C292:M292" si="28">SUM(C286:C291)</f>
        <v>760</v>
      </c>
      <c r="D292" s="122">
        <f t="shared" si="28"/>
        <v>27.5</v>
      </c>
      <c r="E292" s="122">
        <f t="shared" si="28"/>
        <v>26.009999999999998</v>
      </c>
      <c r="F292" s="122">
        <f t="shared" si="28"/>
        <v>82.9</v>
      </c>
      <c r="G292" s="122">
        <f t="shared" si="28"/>
        <v>709.8</v>
      </c>
      <c r="H292" s="122">
        <f t="shared" si="28"/>
        <v>5802</v>
      </c>
      <c r="I292" s="122">
        <f t="shared" si="28"/>
        <v>0.71399999999999997</v>
      </c>
      <c r="J292" s="122">
        <f t="shared" si="28"/>
        <v>46.62</v>
      </c>
      <c r="K292" s="122">
        <f t="shared" si="28"/>
        <v>285.16000000000003</v>
      </c>
      <c r="L292" s="122">
        <f t="shared" si="28"/>
        <v>549.1</v>
      </c>
      <c r="M292" s="122">
        <f t="shared" si="28"/>
        <v>9.5660000000000007</v>
      </c>
    </row>
    <row r="293" spans="1:13" ht="18.75" x14ac:dyDescent="0.25">
      <c r="A293" s="28"/>
      <c r="B293" s="17" t="s">
        <v>71</v>
      </c>
      <c r="C293" s="16">
        <f t="shared" ref="C293:M293" si="29">C284+C292</f>
        <v>1535</v>
      </c>
      <c r="D293" s="123">
        <f t="shared" si="29"/>
        <v>57.400000000000006</v>
      </c>
      <c r="E293" s="123">
        <f t="shared" si="29"/>
        <v>90.974999999999994</v>
      </c>
      <c r="F293" s="123">
        <f t="shared" si="29"/>
        <v>174.54000000000002</v>
      </c>
      <c r="G293" s="123">
        <f t="shared" si="29"/>
        <v>1789.08</v>
      </c>
      <c r="H293" s="123">
        <f t="shared" si="29"/>
        <v>5988.62</v>
      </c>
      <c r="I293" s="123">
        <f t="shared" si="29"/>
        <v>1.5125</v>
      </c>
      <c r="J293" s="123">
        <f t="shared" si="29"/>
        <v>80.284999999999997</v>
      </c>
      <c r="K293" s="123">
        <f t="shared" si="29"/>
        <v>703.82</v>
      </c>
      <c r="L293" s="123">
        <f t="shared" si="29"/>
        <v>1044.58</v>
      </c>
      <c r="M293" s="123">
        <f t="shared" si="29"/>
        <v>19.002000000000002</v>
      </c>
    </row>
    <row r="294" spans="1:13" ht="18" customHeight="1" x14ac:dyDescent="0.25">
      <c r="A294" s="18"/>
      <c r="B294" s="19" t="s">
        <v>170</v>
      </c>
      <c r="C294" s="20">
        <v>1350</v>
      </c>
      <c r="D294" s="21">
        <v>45</v>
      </c>
      <c r="E294" s="21">
        <v>46</v>
      </c>
      <c r="F294" s="21">
        <v>192</v>
      </c>
      <c r="G294" s="21">
        <v>1360</v>
      </c>
      <c r="H294" s="21">
        <v>450</v>
      </c>
      <c r="I294" s="21">
        <v>0.7</v>
      </c>
      <c r="J294" s="21">
        <v>35</v>
      </c>
      <c r="K294" s="21">
        <v>600</v>
      </c>
      <c r="L294" s="21">
        <v>600</v>
      </c>
      <c r="M294" s="21">
        <v>9</v>
      </c>
    </row>
    <row r="299" spans="1:13" ht="73.150000000000006" customHeight="1" x14ac:dyDescent="0.25">
      <c r="A299" s="57"/>
      <c r="B299" s="57"/>
      <c r="C299" s="57"/>
      <c r="D299" s="58"/>
      <c r="E299" s="58"/>
      <c r="F299" s="58"/>
      <c r="G299" s="59"/>
      <c r="H299" s="58"/>
      <c r="I299" s="58"/>
      <c r="J299" s="60" t="s">
        <v>103</v>
      </c>
      <c r="K299" s="60"/>
      <c r="L299" s="60"/>
      <c r="M299" s="60"/>
    </row>
    <row r="300" spans="1:13" x14ac:dyDescent="0.25">
      <c r="A300" s="57"/>
      <c r="B300" s="57"/>
      <c r="C300" s="57"/>
      <c r="D300" s="58"/>
      <c r="E300" s="58"/>
      <c r="F300" s="58"/>
      <c r="G300" s="59"/>
      <c r="H300" s="58" t="s">
        <v>102</v>
      </c>
      <c r="I300" s="58"/>
      <c r="J300" s="60"/>
      <c r="K300" s="60"/>
      <c r="L300" s="60"/>
      <c r="M300" s="60"/>
    </row>
    <row r="301" spans="1:13" x14ac:dyDescent="0.25">
      <c r="A301" s="57"/>
      <c r="B301" s="57"/>
      <c r="C301" s="57"/>
      <c r="D301" s="58"/>
      <c r="E301" s="58"/>
      <c r="F301" s="58"/>
      <c r="G301" s="59" t="s">
        <v>106</v>
      </c>
      <c r="H301" s="58"/>
      <c r="I301" s="58"/>
      <c r="J301" s="60"/>
      <c r="K301" s="60"/>
      <c r="L301" s="60"/>
      <c r="M301" s="60"/>
    </row>
    <row r="302" spans="1:13" x14ac:dyDescent="0.25">
      <c r="A302" s="57"/>
      <c r="B302" s="57"/>
      <c r="C302" s="57"/>
      <c r="D302" s="58"/>
      <c r="E302" s="58"/>
      <c r="F302" s="58"/>
      <c r="G302" s="59"/>
      <c r="H302" s="58"/>
      <c r="I302" s="58"/>
      <c r="J302" s="60"/>
      <c r="K302" s="60"/>
      <c r="L302" s="60"/>
      <c r="M302" s="60"/>
    </row>
    <row r="303" spans="1:13" x14ac:dyDescent="0.25">
      <c r="A303" s="57"/>
      <c r="B303" s="57"/>
      <c r="C303" s="57"/>
      <c r="D303" s="58"/>
      <c r="E303" s="58"/>
      <c r="F303" s="58"/>
      <c r="G303" s="215" t="s">
        <v>104</v>
      </c>
      <c r="H303" s="216"/>
      <c r="I303" s="216"/>
      <c r="J303" s="216"/>
      <c r="K303" s="60"/>
      <c r="L303" s="60"/>
      <c r="M303" s="60"/>
    </row>
    <row r="304" spans="1:13" x14ac:dyDescent="0.25">
      <c r="A304" s="57"/>
      <c r="B304" s="57"/>
      <c r="C304" s="57"/>
      <c r="D304" s="58"/>
      <c r="E304" s="58"/>
      <c r="F304" s="58"/>
      <c r="G304" s="59"/>
      <c r="H304" s="58"/>
      <c r="I304" s="58"/>
      <c r="J304" s="60"/>
      <c r="K304" s="60"/>
      <c r="L304" s="60"/>
      <c r="M304" s="60"/>
    </row>
    <row r="305" spans="1:13" x14ac:dyDescent="0.25">
      <c r="A305" s="57"/>
      <c r="B305" s="57"/>
      <c r="C305" s="57"/>
      <c r="D305" s="58"/>
      <c r="E305" s="58"/>
      <c r="F305" s="58"/>
      <c r="G305" s="59"/>
      <c r="H305" s="215" t="s">
        <v>105</v>
      </c>
      <c r="I305" s="216"/>
      <c r="J305" s="216"/>
      <c r="K305" s="60"/>
      <c r="L305" s="60"/>
      <c r="M305" s="60"/>
    </row>
    <row r="306" spans="1:13" x14ac:dyDescent="0.25">
      <c r="A306" s="57"/>
      <c r="B306" s="57"/>
      <c r="C306" s="57"/>
      <c r="D306" s="58"/>
      <c r="E306" s="58"/>
      <c r="F306" s="58"/>
      <c r="G306" s="59"/>
      <c r="H306" s="58"/>
      <c r="I306" s="58"/>
      <c r="J306" s="60"/>
      <c r="K306" s="60"/>
      <c r="L306" s="60"/>
      <c r="M306" s="60"/>
    </row>
    <row r="307" spans="1:13" ht="18.75" x14ac:dyDescent="0.3">
      <c r="A307" s="61"/>
      <c r="B307" s="213" t="s">
        <v>132</v>
      </c>
      <c r="C307" s="213"/>
      <c r="D307" s="213"/>
      <c r="E307" s="213"/>
      <c r="F307" s="213"/>
      <c r="G307" s="213"/>
      <c r="H307" s="213"/>
      <c r="I307" s="213"/>
      <c r="J307" s="213"/>
      <c r="K307" s="213"/>
      <c r="L307" s="213"/>
      <c r="M307" s="213"/>
    </row>
    <row r="308" spans="1:13" ht="18.75" x14ac:dyDescent="0.3">
      <c r="A308" s="61"/>
      <c r="B308" s="213"/>
      <c r="C308" s="213"/>
      <c r="D308" s="213"/>
      <c r="E308" s="213"/>
      <c r="F308" s="213"/>
      <c r="G308" s="213"/>
      <c r="H308" s="213"/>
      <c r="I308" s="213"/>
      <c r="J308" s="213"/>
      <c r="K308" s="213"/>
      <c r="L308" s="213"/>
      <c r="M308" s="213"/>
    </row>
    <row r="309" spans="1:13" ht="18.75" x14ac:dyDescent="0.3">
      <c r="A309" s="61"/>
      <c r="B309" s="213"/>
      <c r="C309" s="213"/>
      <c r="D309" s="213"/>
      <c r="E309" s="213"/>
      <c r="F309" s="213"/>
      <c r="G309" s="213"/>
      <c r="H309" s="213"/>
      <c r="I309" s="213"/>
      <c r="J309" s="213"/>
      <c r="K309" s="213"/>
      <c r="L309" s="213"/>
      <c r="M309" s="213"/>
    </row>
    <row r="310" spans="1:13" ht="18.75" x14ac:dyDescent="0.3">
      <c r="A310" s="61"/>
      <c r="B310" s="213"/>
      <c r="C310" s="213"/>
      <c r="D310" s="213"/>
      <c r="E310" s="213"/>
      <c r="F310" s="213"/>
      <c r="G310" s="213"/>
      <c r="H310" s="213"/>
      <c r="I310" s="213"/>
      <c r="J310" s="213"/>
      <c r="K310" s="213"/>
      <c r="L310" s="213"/>
      <c r="M310" s="213"/>
    </row>
    <row r="311" spans="1:13" ht="1.9" customHeight="1" x14ac:dyDescent="0.3">
      <c r="A311" s="61"/>
      <c r="B311" s="213"/>
      <c r="C311" s="213"/>
      <c r="D311" s="213"/>
      <c r="E311" s="213"/>
      <c r="F311" s="213"/>
      <c r="G311" s="213"/>
      <c r="H311" s="213"/>
      <c r="I311" s="213"/>
      <c r="J311" s="213"/>
      <c r="K311" s="213"/>
      <c r="L311" s="213"/>
      <c r="M311" s="213"/>
    </row>
    <row r="312" spans="1:13" ht="18.75" hidden="1" x14ac:dyDescent="0.3">
      <c r="A312" s="61"/>
      <c r="B312" s="213"/>
      <c r="C312" s="213"/>
      <c r="D312" s="213"/>
      <c r="E312" s="213"/>
      <c r="F312" s="213"/>
      <c r="G312" s="213"/>
      <c r="H312" s="213"/>
      <c r="I312" s="213"/>
      <c r="J312" s="213"/>
      <c r="K312" s="213"/>
      <c r="L312" s="213"/>
      <c r="M312" s="213"/>
    </row>
    <row r="313" spans="1:13" ht="18.75" hidden="1" x14ac:dyDescent="0.3">
      <c r="A313" s="61"/>
      <c r="B313" s="213"/>
      <c r="C313" s="213"/>
      <c r="D313" s="213"/>
      <c r="E313" s="213"/>
      <c r="F313" s="213"/>
      <c r="G313" s="213"/>
      <c r="H313" s="213"/>
      <c r="I313" s="213"/>
      <c r="J313" s="213"/>
      <c r="K313" s="213"/>
      <c r="L313" s="213"/>
      <c r="M313" s="213"/>
    </row>
    <row r="314" spans="1:13" ht="18.75" hidden="1" x14ac:dyDescent="0.3">
      <c r="A314" s="61"/>
      <c r="B314" s="213"/>
      <c r="C314" s="213"/>
      <c r="D314" s="213"/>
      <c r="E314" s="213"/>
      <c r="F314" s="213"/>
      <c r="G314" s="213"/>
      <c r="H314" s="213"/>
      <c r="I314" s="213"/>
      <c r="J314" s="213"/>
      <c r="K314" s="213"/>
      <c r="L314" s="213"/>
      <c r="M314" s="213"/>
    </row>
    <row r="315" spans="1:13" ht="4.1500000000000004" hidden="1" customHeight="1" x14ac:dyDescent="0.3">
      <c r="A315" s="61"/>
      <c r="B315" s="213"/>
      <c r="C315" s="213"/>
      <c r="D315" s="213"/>
      <c r="E315" s="213"/>
      <c r="F315" s="213"/>
      <c r="G315" s="213"/>
      <c r="H315" s="213"/>
      <c r="I315" s="213"/>
      <c r="J315" s="213"/>
      <c r="K315" s="213"/>
      <c r="L315" s="213"/>
      <c r="M315" s="213"/>
    </row>
    <row r="316" spans="1:13" ht="18.75" hidden="1" x14ac:dyDescent="0.3">
      <c r="A316" s="61"/>
      <c r="B316" s="213"/>
      <c r="C316" s="213"/>
      <c r="D316" s="213"/>
      <c r="E316" s="213"/>
      <c r="F316" s="213"/>
      <c r="G316" s="213"/>
      <c r="H316" s="213"/>
      <c r="I316" s="213"/>
      <c r="J316" s="213"/>
      <c r="K316" s="213"/>
      <c r="L316" s="213"/>
      <c r="M316" s="213"/>
    </row>
    <row r="317" spans="1:13" ht="18.75" hidden="1" x14ac:dyDescent="0.3">
      <c r="A317" s="61"/>
      <c r="B317" s="213"/>
      <c r="C317" s="213"/>
      <c r="D317" s="213"/>
      <c r="E317" s="213"/>
      <c r="F317" s="213"/>
      <c r="G317" s="213"/>
      <c r="H317" s="213"/>
      <c r="I317" s="213"/>
      <c r="J317" s="213"/>
      <c r="K317" s="213"/>
      <c r="L317" s="213"/>
      <c r="M317" s="213"/>
    </row>
    <row r="318" spans="1:13" ht="18.75" hidden="1" x14ac:dyDescent="0.3">
      <c r="A318" s="61"/>
      <c r="B318" s="61"/>
      <c r="C318" s="61"/>
      <c r="D318" s="214" t="s">
        <v>101</v>
      </c>
      <c r="E318" s="214"/>
      <c r="F318" s="214"/>
      <c r="G318" s="214"/>
      <c r="H318" s="214"/>
      <c r="I318" s="63"/>
      <c r="J318" s="63"/>
      <c r="K318" s="63"/>
      <c r="L318" s="63"/>
      <c r="M318" s="62"/>
    </row>
    <row r="319" spans="1:13" ht="18.75" hidden="1" x14ac:dyDescent="0.3">
      <c r="A319" s="61"/>
      <c r="B319" s="61"/>
      <c r="C319" s="61"/>
      <c r="D319" s="62"/>
      <c r="E319" s="62"/>
      <c r="F319" s="62"/>
      <c r="G319" s="63"/>
      <c r="H319" s="62"/>
      <c r="I319" s="62"/>
      <c r="J319" s="62"/>
      <c r="K319" s="62"/>
      <c r="L319" s="62"/>
      <c r="M319" s="62"/>
    </row>
    <row r="320" spans="1:13" ht="18.75" hidden="1" x14ac:dyDescent="0.3">
      <c r="A320" s="61"/>
      <c r="B320" s="61"/>
      <c r="C320" s="61"/>
      <c r="D320" s="62"/>
      <c r="E320" s="62"/>
      <c r="F320" s="62"/>
      <c r="G320" s="63"/>
      <c r="H320" s="62"/>
      <c r="I320" s="62"/>
      <c r="J320" s="62"/>
      <c r="K320" s="62"/>
      <c r="L320" s="62"/>
      <c r="M320" s="62"/>
    </row>
    <row r="324" spans="1:13" ht="13.9" customHeight="1" x14ac:dyDescent="0.25"/>
    <row r="325" spans="1:13" hidden="1" x14ac:dyDescent="0.25"/>
    <row r="326" spans="1:13" hidden="1" x14ac:dyDescent="0.25"/>
    <row r="327" spans="1:13" hidden="1" x14ac:dyDescent="0.25"/>
    <row r="328" spans="1:13" hidden="1" x14ac:dyDescent="0.25"/>
    <row r="329" spans="1:13" x14ac:dyDescent="0.25">
      <c r="A329" s="198" t="s">
        <v>155</v>
      </c>
      <c r="B329" s="199"/>
      <c r="D329" s="32"/>
      <c r="E329" s="32"/>
      <c r="F329" s="32"/>
      <c r="G329" s="32"/>
      <c r="H329" s="32"/>
      <c r="I329" s="32"/>
      <c r="J329" s="32"/>
      <c r="K329" s="32"/>
      <c r="L329" s="32"/>
      <c r="M329" s="32"/>
    </row>
    <row r="330" spans="1:13" x14ac:dyDescent="0.25">
      <c r="A330" s="198" t="s">
        <v>48</v>
      </c>
      <c r="B330" s="199"/>
      <c r="D330" s="32"/>
      <c r="E330" s="32"/>
      <c r="F330" s="32"/>
      <c r="G330" s="32"/>
      <c r="H330" s="32"/>
      <c r="I330" s="32"/>
      <c r="J330" s="32"/>
      <c r="K330" s="32"/>
      <c r="L330" s="32"/>
      <c r="M330" s="32"/>
    </row>
    <row r="331" spans="1:13" ht="15.75" thickBot="1" x14ac:dyDescent="0.3">
      <c r="A331" s="200" t="s">
        <v>165</v>
      </c>
      <c r="B331" s="201"/>
      <c r="D331" s="32"/>
      <c r="E331" s="32"/>
      <c r="F331" s="32"/>
      <c r="G331" s="32"/>
      <c r="H331" s="32"/>
      <c r="I331" s="32"/>
      <c r="J331" s="32"/>
      <c r="K331" s="32"/>
      <c r="L331" s="32"/>
      <c r="M331" s="32"/>
    </row>
    <row r="332" spans="1:13" x14ac:dyDescent="0.25">
      <c r="A332" s="192" t="s">
        <v>49</v>
      </c>
      <c r="B332" s="192" t="s">
        <v>50</v>
      </c>
      <c r="C332" s="192" t="s">
        <v>51</v>
      </c>
      <c r="D332" s="207" t="s">
        <v>52</v>
      </c>
      <c r="E332" s="208"/>
      <c r="F332" s="209"/>
      <c r="G332" s="204" t="s">
        <v>53</v>
      </c>
      <c r="H332" s="207" t="s">
        <v>54</v>
      </c>
      <c r="I332" s="208"/>
      <c r="J332" s="209"/>
      <c r="K332" s="207" t="s">
        <v>55</v>
      </c>
      <c r="L332" s="208"/>
      <c r="M332" s="209"/>
    </row>
    <row r="333" spans="1:13" ht="15.75" thickBot="1" x14ac:dyDescent="0.3">
      <c r="A333" s="202"/>
      <c r="B333" s="193"/>
      <c r="C333" s="193"/>
      <c r="D333" s="210" t="s">
        <v>56</v>
      </c>
      <c r="E333" s="211"/>
      <c r="F333" s="212"/>
      <c r="G333" s="205"/>
      <c r="H333" s="210"/>
      <c r="I333" s="211"/>
      <c r="J333" s="212"/>
      <c r="K333" s="210"/>
      <c r="L333" s="211"/>
      <c r="M333" s="212"/>
    </row>
    <row r="334" spans="1:13" ht="15" customHeight="1" thickBot="1" x14ac:dyDescent="0.3">
      <c r="A334" s="203"/>
      <c r="B334" s="194"/>
      <c r="C334" s="194"/>
      <c r="D334" s="33" t="s">
        <v>57</v>
      </c>
      <c r="E334" s="33" t="s">
        <v>58</v>
      </c>
      <c r="F334" s="33" t="s">
        <v>59</v>
      </c>
      <c r="G334" s="206"/>
      <c r="H334" s="33" t="s">
        <v>60</v>
      </c>
      <c r="I334" s="33" t="s">
        <v>84</v>
      </c>
      <c r="J334" s="33" t="s">
        <v>62</v>
      </c>
      <c r="K334" s="33" t="s">
        <v>63</v>
      </c>
      <c r="L334" s="33" t="s">
        <v>81</v>
      </c>
      <c r="M334" s="33" t="s">
        <v>64</v>
      </c>
    </row>
    <row r="335" spans="1:13" hidden="1" x14ac:dyDescent="0.25"/>
    <row r="336" spans="1:13" hidden="1" x14ac:dyDescent="0.25"/>
    <row r="337" spans="1:13" hidden="1" x14ac:dyDescent="0.25"/>
    <row r="338" spans="1:13" hidden="1" x14ac:dyDescent="0.25"/>
    <row r="339" spans="1:13" hidden="1" x14ac:dyDescent="0.25"/>
    <row r="340" spans="1:13" hidden="1" x14ac:dyDescent="0.25"/>
    <row r="341" spans="1:13" hidden="1" x14ac:dyDescent="0.25"/>
    <row r="342" spans="1:13" hidden="1" x14ac:dyDescent="0.25"/>
    <row r="343" spans="1:13" hidden="1" x14ac:dyDescent="0.25"/>
    <row r="344" spans="1:13" ht="18.75" x14ac:dyDescent="0.25">
      <c r="A344" s="27"/>
      <c r="B344" s="14" t="s">
        <v>68</v>
      </c>
      <c r="C344" s="11"/>
      <c r="D344" s="20"/>
      <c r="E344" s="20"/>
      <c r="F344" s="20"/>
      <c r="G344" s="20"/>
      <c r="H344" s="20"/>
      <c r="I344" s="20"/>
      <c r="J344" s="20"/>
      <c r="K344" s="20"/>
      <c r="L344" s="20"/>
      <c r="M344" s="20"/>
    </row>
    <row r="345" spans="1:13" x14ac:dyDescent="0.25">
      <c r="A345" s="27">
        <v>45</v>
      </c>
      <c r="B345" s="10" t="s">
        <v>107</v>
      </c>
      <c r="C345" s="49">
        <v>60</v>
      </c>
      <c r="D345" s="20">
        <f>13.1*C345/1000</f>
        <v>0.78600000000000003</v>
      </c>
      <c r="E345" s="20">
        <f>32.5*C345/1000</f>
        <v>1.95</v>
      </c>
      <c r="F345" s="20">
        <f>64.7*C345/1000</f>
        <v>3.8820000000000001</v>
      </c>
      <c r="G345" s="20">
        <f>604*C345/1000</f>
        <v>36.24</v>
      </c>
      <c r="H345" s="20">
        <f>0</f>
        <v>0</v>
      </c>
      <c r="I345" s="20">
        <f>0.2*C345/1000</f>
        <v>1.2E-2</v>
      </c>
      <c r="J345" s="20">
        <f>171*C345/1000</f>
        <v>10.26</v>
      </c>
      <c r="K345" s="20">
        <f>249.7*C345/1000</f>
        <v>14.981999999999999</v>
      </c>
      <c r="L345" s="20">
        <f>283.1*C345/1000</f>
        <v>16.986000000000001</v>
      </c>
      <c r="M345" s="20">
        <f>4.7*C345/1000</f>
        <v>0.28199999999999997</v>
      </c>
    </row>
    <row r="346" spans="1:13" x14ac:dyDescent="0.25">
      <c r="A346" s="27">
        <v>82</v>
      </c>
      <c r="B346" s="10" t="s">
        <v>72</v>
      </c>
      <c r="C346" s="49">
        <v>200</v>
      </c>
      <c r="D346" s="20">
        <f>6.4*C346/1000</f>
        <v>1.28</v>
      </c>
      <c r="E346" s="20">
        <f>19.4*C346/1000</f>
        <v>3.8799999999999994</v>
      </c>
      <c r="F346" s="20">
        <f>34.3*C346/1000</f>
        <v>6.8599999999999994</v>
      </c>
      <c r="G346" s="20">
        <f>365*C346/1000</f>
        <v>73</v>
      </c>
      <c r="H346" s="20">
        <f>0</f>
        <v>0</v>
      </c>
      <c r="I346" s="20">
        <f>0.1*C346/1000</f>
        <v>0.02</v>
      </c>
      <c r="J346" s="20">
        <f>43.7*C346/1000</f>
        <v>8.74</v>
      </c>
      <c r="K346" s="20">
        <f>210.1*C346/1000</f>
        <v>42.02</v>
      </c>
      <c r="L346" s="20">
        <f>184.4*C346/1000</f>
        <v>36.880000000000003</v>
      </c>
      <c r="M346" s="20">
        <f>4.4*C346/1000</f>
        <v>0.88000000000000012</v>
      </c>
    </row>
    <row r="347" spans="1:13" x14ac:dyDescent="0.25">
      <c r="A347" s="27">
        <v>243</v>
      </c>
      <c r="B347" s="10" t="s">
        <v>142</v>
      </c>
      <c r="C347" s="49">
        <v>200</v>
      </c>
      <c r="D347" s="20">
        <f>16.9*C347/1000</f>
        <v>3.3799999999999994</v>
      </c>
      <c r="E347" s="20">
        <f>109.9*C347/1000</f>
        <v>21.98</v>
      </c>
      <c r="F347" s="20">
        <f>81.9*C347/1000</f>
        <v>16.380000000000003</v>
      </c>
      <c r="G347" s="20">
        <f>1352.4*C347/1000</f>
        <v>270.48</v>
      </c>
      <c r="H347" s="20">
        <f>438.1*C347/1000</f>
        <v>87.62</v>
      </c>
      <c r="I347" s="20">
        <f>0.6*C347/1000</f>
        <v>0.12</v>
      </c>
      <c r="J347" s="20">
        <f>119.1*C347/1000</f>
        <v>23.82</v>
      </c>
      <c r="K347" s="20">
        <f>353.9*C347/1000</f>
        <v>70.78</v>
      </c>
      <c r="L347" s="20">
        <f>428.6*C347/1000</f>
        <v>85.72</v>
      </c>
      <c r="M347" s="20">
        <f>5.7*C347/1000</f>
        <v>1.1399999999999999</v>
      </c>
    </row>
    <row r="348" spans="1:13" x14ac:dyDescent="0.25">
      <c r="A348" s="27">
        <v>359</v>
      </c>
      <c r="B348" s="10" t="s">
        <v>146</v>
      </c>
      <c r="C348" s="49">
        <v>200</v>
      </c>
      <c r="D348" s="20">
        <f>1.6*C348/1000</f>
        <v>0.32</v>
      </c>
      <c r="E348" s="20">
        <f>0</f>
        <v>0</v>
      </c>
      <c r="F348" s="20">
        <f>197*C348/1000</f>
        <v>39.4</v>
      </c>
      <c r="G348" s="20">
        <f>800*C348/1000</f>
        <v>160</v>
      </c>
      <c r="H348" s="20">
        <f>0</f>
        <v>0</v>
      </c>
      <c r="I348" s="20">
        <f>0.1*C348/1000</f>
        <v>0.02</v>
      </c>
      <c r="J348" s="20">
        <f>12*C348/1000</f>
        <v>2.4</v>
      </c>
      <c r="K348" s="20">
        <f>112.3*C348/1000</f>
        <v>22.46</v>
      </c>
      <c r="L348" s="20">
        <f>92.5*C348/1000</f>
        <v>18.5</v>
      </c>
      <c r="M348" s="20">
        <f>0.96*C348/1000</f>
        <v>0.192</v>
      </c>
    </row>
    <row r="349" spans="1:13" x14ac:dyDescent="0.25">
      <c r="A349" s="9" t="s">
        <v>66</v>
      </c>
      <c r="B349" s="10" t="s">
        <v>33</v>
      </c>
      <c r="C349" s="49">
        <v>30</v>
      </c>
      <c r="D349" s="20">
        <f>107*C349/1000</f>
        <v>3.21</v>
      </c>
      <c r="E349" s="20">
        <f>45*C349/1000</f>
        <v>1.35</v>
      </c>
      <c r="F349" s="20">
        <f>435*C349/1000</f>
        <v>13.05</v>
      </c>
      <c r="G349" s="20">
        <f>2740*C349/1000</f>
        <v>82.2</v>
      </c>
      <c r="H349" s="20">
        <f>0</f>
        <v>0</v>
      </c>
      <c r="I349" s="20">
        <f>4.1*C349/1000</f>
        <v>0.12299999999999998</v>
      </c>
      <c r="J349" s="20">
        <f>2*C349/1000</f>
        <v>0.06</v>
      </c>
      <c r="K349" s="20">
        <f>1250*C349/1000</f>
        <v>37.5</v>
      </c>
      <c r="L349" s="20">
        <f>1290*C349/1000</f>
        <v>38.700000000000003</v>
      </c>
      <c r="M349" s="20">
        <f>36*C349/1000</f>
        <v>1.08</v>
      </c>
    </row>
    <row r="350" spans="1:13" x14ac:dyDescent="0.25">
      <c r="A350" s="15" t="s">
        <v>70</v>
      </c>
      <c r="B350" s="10" t="s">
        <v>3</v>
      </c>
      <c r="C350" s="49">
        <v>20</v>
      </c>
      <c r="D350" s="31">
        <f>85*C350/1000</f>
        <v>1.7</v>
      </c>
      <c r="E350" s="31">
        <f>33*C350/1000</f>
        <v>0.66</v>
      </c>
      <c r="F350" s="31">
        <f>425*C350/1000</f>
        <v>8.5</v>
      </c>
      <c r="G350" s="31">
        <f>2590*C350/1000</f>
        <v>51.8</v>
      </c>
      <c r="H350" s="35">
        <f>0</f>
        <v>0</v>
      </c>
      <c r="I350" s="31">
        <f>4.3*C350/1000</f>
        <v>8.5999999999999993E-2</v>
      </c>
      <c r="J350" s="31">
        <f>4*C350/1000</f>
        <v>0.08</v>
      </c>
      <c r="K350" s="31">
        <f>730*C350/1000</f>
        <v>14.6</v>
      </c>
      <c r="L350" s="31">
        <f>1250*C350/1000</f>
        <v>25</v>
      </c>
      <c r="M350" s="31">
        <f>28.3*C350/1000</f>
        <v>0.56599999999999995</v>
      </c>
    </row>
    <row r="351" spans="1:13" x14ac:dyDescent="0.25">
      <c r="A351" s="27"/>
      <c r="B351" s="10"/>
      <c r="C351" s="10"/>
      <c r="D351" s="20"/>
      <c r="E351" s="20"/>
      <c r="F351" s="20"/>
      <c r="G351" s="20"/>
      <c r="H351" s="20"/>
      <c r="I351" s="20"/>
      <c r="J351" s="20"/>
      <c r="K351" s="20"/>
      <c r="L351" s="20"/>
      <c r="M351" s="20"/>
    </row>
    <row r="352" spans="1:13" x14ac:dyDescent="0.25">
      <c r="A352" s="28"/>
      <c r="B352" s="12" t="s">
        <v>67</v>
      </c>
      <c r="C352" s="13">
        <f t="shared" ref="C352:M352" si="30">SUM(C345:C351)</f>
        <v>710</v>
      </c>
      <c r="D352" s="122">
        <f t="shared" si="30"/>
        <v>10.675999999999998</v>
      </c>
      <c r="E352" s="122">
        <f t="shared" si="30"/>
        <v>29.82</v>
      </c>
      <c r="F352" s="122">
        <f t="shared" si="30"/>
        <v>88.071999999999989</v>
      </c>
      <c r="G352" s="122">
        <f t="shared" si="30"/>
        <v>673.72</v>
      </c>
      <c r="H352" s="122">
        <f t="shared" si="30"/>
        <v>87.62</v>
      </c>
      <c r="I352" s="122">
        <f t="shared" si="30"/>
        <v>0.38100000000000001</v>
      </c>
      <c r="J352" s="122">
        <f t="shared" si="30"/>
        <v>45.36</v>
      </c>
      <c r="K352" s="122">
        <f t="shared" si="30"/>
        <v>202.34200000000001</v>
      </c>
      <c r="L352" s="122">
        <f t="shared" si="30"/>
        <v>221.786</v>
      </c>
      <c r="M352" s="122">
        <f t="shared" si="30"/>
        <v>4.1400000000000006</v>
      </c>
    </row>
    <row r="353" spans="1:13" ht="18.75" x14ac:dyDescent="0.25">
      <c r="A353" s="28"/>
      <c r="B353" s="17" t="s">
        <v>71</v>
      </c>
      <c r="C353" s="16">
        <f t="shared" ref="C353:M353" si="31">C343+C352</f>
        <v>710</v>
      </c>
      <c r="D353" s="123">
        <f t="shared" si="31"/>
        <v>10.675999999999998</v>
      </c>
      <c r="E353" s="123">
        <f t="shared" si="31"/>
        <v>29.82</v>
      </c>
      <c r="F353" s="123">
        <f t="shared" si="31"/>
        <v>88.071999999999989</v>
      </c>
      <c r="G353" s="123">
        <f t="shared" si="31"/>
        <v>673.72</v>
      </c>
      <c r="H353" s="123">
        <f t="shared" si="31"/>
        <v>87.62</v>
      </c>
      <c r="I353" s="123">
        <f t="shared" si="31"/>
        <v>0.38100000000000001</v>
      </c>
      <c r="J353" s="123">
        <f t="shared" si="31"/>
        <v>45.36</v>
      </c>
      <c r="K353" s="123">
        <f t="shared" si="31"/>
        <v>202.34200000000001</v>
      </c>
      <c r="L353" s="123">
        <f t="shared" si="31"/>
        <v>221.786</v>
      </c>
      <c r="M353" s="123">
        <f t="shared" si="31"/>
        <v>4.1400000000000006</v>
      </c>
    </row>
    <row r="354" spans="1:13" ht="15.75" x14ac:dyDescent="0.25">
      <c r="A354" s="18"/>
      <c r="B354" s="19" t="s">
        <v>170</v>
      </c>
      <c r="C354" s="20">
        <v>1200</v>
      </c>
      <c r="D354" s="21">
        <v>45</v>
      </c>
      <c r="E354" s="21">
        <v>46</v>
      </c>
      <c r="F354" s="21">
        <v>192</v>
      </c>
      <c r="G354" s="21">
        <v>1360</v>
      </c>
      <c r="H354" s="21">
        <v>450</v>
      </c>
      <c r="I354" s="21">
        <v>0.7</v>
      </c>
      <c r="J354" s="21">
        <v>35</v>
      </c>
      <c r="K354" s="21">
        <v>600</v>
      </c>
      <c r="L354" s="21">
        <v>600</v>
      </c>
      <c r="M354" s="21">
        <v>9</v>
      </c>
    </row>
    <row r="367" spans="1:13" ht="38.450000000000003" customHeight="1" x14ac:dyDescent="0.25"/>
    <row r="368" spans="1:13" hidden="1" x14ac:dyDescent="0.25"/>
    <row r="369" spans="1:13" hidden="1" x14ac:dyDescent="0.25"/>
    <row r="370" spans="1:13" ht="18.75" x14ac:dyDescent="0.25">
      <c r="A370" s="198" t="s">
        <v>77</v>
      </c>
      <c r="B370" s="199"/>
      <c r="D370" s="32"/>
      <c r="E370" s="32"/>
      <c r="F370" s="32"/>
      <c r="G370" s="32"/>
      <c r="H370" s="32"/>
      <c r="I370" s="32"/>
      <c r="J370" s="32"/>
      <c r="K370" s="32"/>
      <c r="L370" s="32"/>
      <c r="M370" s="32"/>
    </row>
    <row r="371" spans="1:13" x14ac:dyDescent="0.25">
      <c r="A371" s="198" t="s">
        <v>48</v>
      </c>
      <c r="B371" s="199"/>
      <c r="D371" s="32"/>
      <c r="E371" s="32"/>
      <c r="F371" s="32"/>
      <c r="G371" s="32"/>
      <c r="H371" s="32"/>
      <c r="I371" s="32"/>
      <c r="J371" s="32"/>
      <c r="K371" s="32"/>
      <c r="L371" s="32"/>
      <c r="M371" s="32"/>
    </row>
    <row r="372" spans="1:13" ht="15.75" thickBot="1" x14ac:dyDescent="0.3">
      <c r="A372" s="200" t="s">
        <v>168</v>
      </c>
      <c r="B372" s="201"/>
      <c r="D372" s="32"/>
      <c r="E372" s="32"/>
      <c r="F372" s="32"/>
      <c r="G372" s="32"/>
      <c r="H372" s="32"/>
      <c r="I372" s="32"/>
      <c r="J372" s="32"/>
      <c r="K372" s="32"/>
      <c r="L372" s="32"/>
      <c r="M372" s="32"/>
    </row>
    <row r="373" spans="1:13" x14ac:dyDescent="0.25">
      <c r="A373" s="192" t="s">
        <v>49</v>
      </c>
      <c r="B373" s="192" t="s">
        <v>50</v>
      </c>
      <c r="C373" s="192" t="s">
        <v>51</v>
      </c>
      <c r="D373" s="207" t="s">
        <v>52</v>
      </c>
      <c r="E373" s="208"/>
      <c r="F373" s="209"/>
      <c r="G373" s="204" t="s">
        <v>53</v>
      </c>
      <c r="H373" s="207" t="s">
        <v>54</v>
      </c>
      <c r="I373" s="208"/>
      <c r="J373" s="209"/>
      <c r="K373" s="207" t="s">
        <v>55</v>
      </c>
      <c r="L373" s="208"/>
      <c r="M373" s="209"/>
    </row>
    <row r="374" spans="1:13" ht="15.75" thickBot="1" x14ac:dyDescent="0.3">
      <c r="A374" s="202"/>
      <c r="B374" s="193"/>
      <c r="C374" s="193"/>
      <c r="D374" s="210" t="s">
        <v>56</v>
      </c>
      <c r="E374" s="211"/>
      <c r="F374" s="212"/>
      <c r="G374" s="205"/>
      <c r="H374" s="210"/>
      <c r="I374" s="211"/>
      <c r="J374" s="212"/>
      <c r="K374" s="210"/>
      <c r="L374" s="211"/>
      <c r="M374" s="212"/>
    </row>
    <row r="375" spans="1:13" ht="17.25" thickBot="1" x14ac:dyDescent="0.3">
      <c r="A375" s="203"/>
      <c r="B375" s="194"/>
      <c r="C375" s="194"/>
      <c r="D375" s="33" t="s">
        <v>57</v>
      </c>
      <c r="E375" s="33" t="s">
        <v>58</v>
      </c>
      <c r="F375" s="33" t="s">
        <v>59</v>
      </c>
      <c r="G375" s="206"/>
      <c r="H375" s="33" t="s">
        <v>60</v>
      </c>
      <c r="I375" s="33" t="s">
        <v>84</v>
      </c>
      <c r="J375" s="33" t="s">
        <v>62</v>
      </c>
      <c r="K375" s="33" t="s">
        <v>63</v>
      </c>
      <c r="L375" s="33" t="s">
        <v>81</v>
      </c>
      <c r="M375" s="33" t="s">
        <v>64</v>
      </c>
    </row>
    <row r="380" spans="1:13" ht="18.75" x14ac:dyDescent="0.25">
      <c r="A380" s="27"/>
      <c r="B380" s="14" t="s">
        <v>68</v>
      </c>
      <c r="C380" s="11"/>
      <c r="D380" s="20"/>
      <c r="E380" s="20"/>
      <c r="F380" s="20"/>
      <c r="G380" s="20"/>
      <c r="H380" s="20"/>
      <c r="I380" s="20"/>
      <c r="J380" s="20"/>
      <c r="K380" s="20"/>
      <c r="L380" s="20"/>
      <c r="M380" s="20"/>
    </row>
    <row r="381" spans="1:13" x14ac:dyDescent="0.25">
      <c r="A381" s="27">
        <v>96</v>
      </c>
      <c r="B381" s="10" t="s">
        <v>41</v>
      </c>
      <c r="C381" s="49">
        <v>200</v>
      </c>
      <c r="D381" s="20">
        <f>8.1*C381/1000</f>
        <v>1.62</v>
      </c>
      <c r="E381" s="20">
        <f>20.4*C381/1000</f>
        <v>4.0799999999999992</v>
      </c>
      <c r="F381" s="20">
        <f>47.9*C381/1000</f>
        <v>9.58</v>
      </c>
      <c r="G381" s="20">
        <f>429*C381/1000</f>
        <v>85.8</v>
      </c>
      <c r="H381" s="20">
        <f>0</f>
        <v>0</v>
      </c>
      <c r="I381" s="20">
        <f>0.4*C381/1000</f>
        <v>0.08</v>
      </c>
      <c r="J381" s="20">
        <f>33.5*C381/1000</f>
        <v>6.7</v>
      </c>
      <c r="K381" s="20">
        <f>116.6*C381/1000</f>
        <v>23.32</v>
      </c>
      <c r="L381" s="20">
        <f>226.9*C381/1000</f>
        <v>45.38</v>
      </c>
      <c r="M381" s="20">
        <f>3.7*C381/1000</f>
        <v>0.74</v>
      </c>
    </row>
    <row r="382" spans="1:13" x14ac:dyDescent="0.25">
      <c r="A382" s="28">
        <v>223</v>
      </c>
      <c r="B382" s="10" t="s">
        <v>151</v>
      </c>
      <c r="C382" s="49">
        <v>125</v>
      </c>
      <c r="D382" s="31">
        <f>122.8*C382/1000</f>
        <v>15.35</v>
      </c>
      <c r="E382" s="31">
        <f>109.6*C382/1000</f>
        <v>13.7</v>
      </c>
      <c r="F382" s="31">
        <f>97.5*C382/1000</f>
        <v>12.1875</v>
      </c>
      <c r="G382" s="31">
        <f>1862.5*C382/1000</f>
        <v>232.8125</v>
      </c>
      <c r="H382" s="31">
        <f>482.5*C382/1000</f>
        <v>60.3125</v>
      </c>
      <c r="I382" s="31">
        <f>0.5*C382/1000</f>
        <v>6.25E-2</v>
      </c>
      <c r="J382" s="31">
        <f>1.8*C382/1000</f>
        <v>0.22500000000000001</v>
      </c>
      <c r="K382" s="31">
        <f>1093.6*C382/1000</f>
        <v>136.69999999999999</v>
      </c>
      <c r="L382" s="31">
        <f>1498.8*C382/1000</f>
        <v>187.35</v>
      </c>
      <c r="M382" s="31">
        <f>5*C382/1000</f>
        <v>0.625</v>
      </c>
    </row>
    <row r="383" spans="1:13" x14ac:dyDescent="0.25">
      <c r="A383" s="27">
        <v>349</v>
      </c>
      <c r="B383" s="10" t="s">
        <v>37</v>
      </c>
      <c r="C383" s="49">
        <v>200</v>
      </c>
      <c r="D383" s="20">
        <f>3.3*C383/1000</f>
        <v>0.66</v>
      </c>
      <c r="E383" s="20">
        <f>0.5*C383/1000</f>
        <v>0.1</v>
      </c>
      <c r="F383" s="20">
        <f>160.1*C383/1000</f>
        <v>32.020000000000003</v>
      </c>
      <c r="G383" s="20">
        <f>664*C383/1000</f>
        <v>132.80000000000001</v>
      </c>
      <c r="H383" s="20">
        <f>0</f>
        <v>0</v>
      </c>
      <c r="I383" s="20">
        <f>0.1*C383/1000</f>
        <v>0.02</v>
      </c>
      <c r="J383" s="20">
        <f>5.6*C383/1000</f>
        <v>1.1200000000000001</v>
      </c>
      <c r="K383" s="20">
        <f>162.4*C383/1000</f>
        <v>32.479999999999997</v>
      </c>
      <c r="L383" s="20">
        <f>117.2*C383/1000</f>
        <v>23.44</v>
      </c>
      <c r="M383" s="20">
        <f>3.5*C383/1000</f>
        <v>0.7</v>
      </c>
    </row>
    <row r="384" spans="1:13" x14ac:dyDescent="0.25">
      <c r="A384" s="9" t="s">
        <v>66</v>
      </c>
      <c r="B384" s="10" t="s">
        <v>33</v>
      </c>
      <c r="C384" s="49">
        <v>30</v>
      </c>
      <c r="D384" s="20">
        <f>107*C384/1000</f>
        <v>3.21</v>
      </c>
      <c r="E384" s="20">
        <f>45*C384/1000</f>
        <v>1.35</v>
      </c>
      <c r="F384" s="20">
        <f>435*C384/1000</f>
        <v>13.05</v>
      </c>
      <c r="G384" s="20">
        <f>2740*C384/1000</f>
        <v>82.2</v>
      </c>
      <c r="H384" s="20">
        <f>0</f>
        <v>0</v>
      </c>
      <c r="I384" s="20">
        <f>4.1*C384/1000</f>
        <v>0.12299999999999998</v>
      </c>
      <c r="J384" s="20">
        <f>2*C384/1000</f>
        <v>0.06</v>
      </c>
      <c r="K384" s="20">
        <f>1250*C384/1000</f>
        <v>37.5</v>
      </c>
      <c r="L384" s="20">
        <f>1290*C384/1000</f>
        <v>38.700000000000003</v>
      </c>
      <c r="M384" s="20">
        <f>36*C384/1000</f>
        <v>1.08</v>
      </c>
    </row>
    <row r="385" spans="1:13" x14ac:dyDescent="0.25">
      <c r="A385" s="15" t="s">
        <v>70</v>
      </c>
      <c r="B385" s="10" t="s">
        <v>3</v>
      </c>
      <c r="C385" s="49">
        <v>20</v>
      </c>
      <c r="D385" s="31">
        <f>85*C385/1000</f>
        <v>1.7</v>
      </c>
      <c r="E385" s="31">
        <f>33*C385/1000</f>
        <v>0.66</v>
      </c>
      <c r="F385" s="31">
        <f>425*C385/1000</f>
        <v>8.5</v>
      </c>
      <c r="G385" s="31">
        <f>2590*C385/1000</f>
        <v>51.8</v>
      </c>
      <c r="H385" s="35">
        <f>0</f>
        <v>0</v>
      </c>
      <c r="I385" s="31">
        <f>4.3*C385/1000</f>
        <v>8.5999999999999993E-2</v>
      </c>
      <c r="J385" s="31">
        <f>4*C385/1000</f>
        <v>0.08</v>
      </c>
      <c r="K385" s="31">
        <f>730*C385/1000</f>
        <v>14.6</v>
      </c>
      <c r="L385" s="31">
        <f>1250*C385/1000</f>
        <v>25</v>
      </c>
      <c r="M385" s="31">
        <f>28.3*C385/1000</f>
        <v>0.56599999999999995</v>
      </c>
    </row>
    <row r="386" spans="1:13" x14ac:dyDescent="0.25">
      <c r="A386" s="9">
        <v>338</v>
      </c>
      <c r="B386" s="10" t="s">
        <v>131</v>
      </c>
      <c r="C386" s="49">
        <v>100</v>
      </c>
      <c r="D386" s="20">
        <f>4*C386/1000</f>
        <v>0.4</v>
      </c>
      <c r="E386" s="20">
        <f>4*C386/1000</f>
        <v>0.4</v>
      </c>
      <c r="F386" s="20">
        <f>98*C386/1000</f>
        <v>9.8000000000000007</v>
      </c>
      <c r="G386" s="20">
        <f>470*C386/1000</f>
        <v>47</v>
      </c>
      <c r="H386" s="20">
        <f>0</f>
        <v>0</v>
      </c>
      <c r="I386" s="20">
        <f>0.3*C386/1000</f>
        <v>0.03</v>
      </c>
      <c r="J386" s="20">
        <f>100*C386/1000</f>
        <v>10</v>
      </c>
      <c r="K386" s="20">
        <f>160*C386/1000</f>
        <v>16</v>
      </c>
      <c r="L386" s="20">
        <f>110*C386/1000</f>
        <v>11</v>
      </c>
      <c r="M386" s="20">
        <f>22*C386/1000</f>
        <v>2.2000000000000002</v>
      </c>
    </row>
    <row r="387" spans="1:13" x14ac:dyDescent="0.25">
      <c r="A387" s="28"/>
      <c r="B387" s="10" t="s">
        <v>141</v>
      </c>
      <c r="C387" s="10">
        <v>20</v>
      </c>
      <c r="D387" s="31"/>
      <c r="E387" s="31"/>
      <c r="F387" s="31"/>
      <c r="G387" s="31"/>
      <c r="H387" s="35"/>
      <c r="I387" s="31"/>
      <c r="J387" s="31"/>
      <c r="K387" s="31"/>
      <c r="L387" s="31"/>
      <c r="M387" s="31"/>
    </row>
    <row r="388" spans="1:13" x14ac:dyDescent="0.25">
      <c r="A388" s="28"/>
      <c r="B388" s="12" t="s">
        <v>67</v>
      </c>
      <c r="C388" s="13">
        <f t="shared" ref="C388:M388" si="32">SUM(C381:C387)</f>
        <v>695</v>
      </c>
      <c r="D388" s="122">
        <f t="shared" si="32"/>
        <v>22.939999999999998</v>
      </c>
      <c r="E388" s="122">
        <f t="shared" si="32"/>
        <v>20.29</v>
      </c>
      <c r="F388" s="122">
        <f t="shared" si="32"/>
        <v>85.137500000000003</v>
      </c>
      <c r="G388" s="122">
        <f t="shared" si="32"/>
        <v>632.41250000000002</v>
      </c>
      <c r="H388" s="122">
        <f t="shared" si="32"/>
        <v>60.3125</v>
      </c>
      <c r="I388" s="122">
        <f t="shared" si="32"/>
        <v>0.40149999999999997</v>
      </c>
      <c r="J388" s="122">
        <f t="shared" si="32"/>
        <v>18.185000000000002</v>
      </c>
      <c r="K388" s="122">
        <f t="shared" si="32"/>
        <v>260.59999999999997</v>
      </c>
      <c r="L388" s="122">
        <f t="shared" si="32"/>
        <v>330.87</v>
      </c>
      <c r="M388" s="122">
        <f t="shared" si="32"/>
        <v>5.9109999999999996</v>
      </c>
    </row>
    <row r="389" spans="1:13" ht="18.75" x14ac:dyDescent="0.25">
      <c r="A389" s="28"/>
      <c r="B389" s="17" t="s">
        <v>71</v>
      </c>
      <c r="C389" s="16">
        <f t="shared" ref="C389:M389" si="33">C379+C388</f>
        <v>695</v>
      </c>
      <c r="D389" s="123">
        <f t="shared" si="33"/>
        <v>22.939999999999998</v>
      </c>
      <c r="E389" s="123">
        <f t="shared" si="33"/>
        <v>20.29</v>
      </c>
      <c r="F389" s="123">
        <f t="shared" si="33"/>
        <v>85.137500000000003</v>
      </c>
      <c r="G389" s="123">
        <f t="shared" si="33"/>
        <v>632.41250000000002</v>
      </c>
      <c r="H389" s="123">
        <f t="shared" si="33"/>
        <v>60.3125</v>
      </c>
      <c r="I389" s="123">
        <f t="shared" si="33"/>
        <v>0.40149999999999997</v>
      </c>
      <c r="J389" s="123">
        <f t="shared" si="33"/>
        <v>18.185000000000002</v>
      </c>
      <c r="K389" s="123">
        <f t="shared" si="33"/>
        <v>260.59999999999997</v>
      </c>
      <c r="L389" s="123">
        <f t="shared" si="33"/>
        <v>330.87</v>
      </c>
      <c r="M389" s="123">
        <f t="shared" si="33"/>
        <v>5.9109999999999996</v>
      </c>
    </row>
    <row r="390" spans="1:13" ht="15.75" x14ac:dyDescent="0.25">
      <c r="A390" s="18"/>
      <c r="B390" s="19" t="s">
        <v>170</v>
      </c>
      <c r="C390" s="20">
        <v>1200</v>
      </c>
      <c r="D390" s="21">
        <v>45</v>
      </c>
      <c r="E390" s="21">
        <v>46</v>
      </c>
      <c r="F390" s="21">
        <v>192</v>
      </c>
      <c r="G390" s="21">
        <v>1360</v>
      </c>
      <c r="H390" s="21">
        <v>450</v>
      </c>
      <c r="I390" s="21">
        <v>0.7</v>
      </c>
      <c r="J390" s="21">
        <v>35</v>
      </c>
      <c r="K390" s="21">
        <v>600</v>
      </c>
      <c r="L390" s="21">
        <v>600</v>
      </c>
      <c r="M390" s="21">
        <v>9</v>
      </c>
    </row>
    <row r="399" spans="1:13" ht="43.9" customHeight="1" x14ac:dyDescent="0.25"/>
    <row r="400" spans="1:13" ht="0.6" customHeight="1" x14ac:dyDescent="0.25"/>
    <row r="401" spans="1:13" hidden="1" x14ac:dyDescent="0.25"/>
    <row r="402" spans="1:13" hidden="1" x14ac:dyDescent="0.25"/>
    <row r="403" spans="1:13" x14ac:dyDescent="0.25">
      <c r="A403" s="198" t="s">
        <v>167</v>
      </c>
      <c r="B403" s="199"/>
      <c r="D403" s="32"/>
      <c r="E403" s="32"/>
      <c r="F403" s="32"/>
      <c r="G403" s="32"/>
      <c r="H403" s="32"/>
      <c r="I403" s="32"/>
      <c r="J403" s="32"/>
      <c r="K403" s="32"/>
      <c r="L403" s="32"/>
      <c r="M403" s="32"/>
    </row>
    <row r="404" spans="1:13" x14ac:dyDescent="0.25">
      <c r="A404" s="198" t="s">
        <v>48</v>
      </c>
      <c r="B404" s="199"/>
      <c r="D404" s="32"/>
      <c r="E404" s="32"/>
      <c r="F404" s="32"/>
      <c r="G404" s="32"/>
      <c r="H404" s="32"/>
      <c r="I404" s="32"/>
      <c r="J404" s="32"/>
      <c r="K404" s="32"/>
      <c r="L404" s="32"/>
      <c r="M404" s="32"/>
    </row>
    <row r="405" spans="1:13" ht="15.75" thickBot="1" x14ac:dyDescent="0.3">
      <c r="A405" s="200" t="s">
        <v>168</v>
      </c>
      <c r="B405" s="201"/>
      <c r="D405" s="32"/>
      <c r="E405" s="32"/>
      <c r="F405" s="32"/>
      <c r="G405" s="32"/>
      <c r="H405" s="32"/>
      <c r="I405" s="32"/>
      <c r="J405" s="32"/>
      <c r="K405" s="32"/>
      <c r="L405" s="32"/>
      <c r="M405" s="32"/>
    </row>
    <row r="406" spans="1:13" x14ac:dyDescent="0.25">
      <c r="A406" s="192" t="s">
        <v>49</v>
      </c>
      <c r="B406" s="192" t="s">
        <v>50</v>
      </c>
      <c r="C406" s="192" t="s">
        <v>51</v>
      </c>
      <c r="D406" s="207" t="s">
        <v>52</v>
      </c>
      <c r="E406" s="208"/>
      <c r="F406" s="209"/>
      <c r="G406" s="204" t="s">
        <v>53</v>
      </c>
      <c r="H406" s="207" t="s">
        <v>54</v>
      </c>
      <c r="I406" s="208"/>
      <c r="J406" s="209"/>
      <c r="K406" s="207" t="s">
        <v>55</v>
      </c>
      <c r="L406" s="208"/>
      <c r="M406" s="209"/>
    </row>
    <row r="407" spans="1:13" ht="15.75" thickBot="1" x14ac:dyDescent="0.3">
      <c r="A407" s="202"/>
      <c r="B407" s="193"/>
      <c r="C407" s="193"/>
      <c r="D407" s="210" t="s">
        <v>56</v>
      </c>
      <c r="E407" s="211"/>
      <c r="F407" s="212"/>
      <c r="G407" s="205"/>
      <c r="H407" s="210"/>
      <c r="I407" s="211"/>
      <c r="J407" s="212"/>
      <c r="K407" s="210"/>
      <c r="L407" s="211"/>
      <c r="M407" s="212"/>
    </row>
    <row r="408" spans="1:13" ht="17.25" thickBot="1" x14ac:dyDescent="0.3">
      <c r="A408" s="203"/>
      <c r="B408" s="194"/>
      <c r="C408" s="194"/>
      <c r="D408" s="33" t="s">
        <v>57</v>
      </c>
      <c r="E408" s="33" t="s">
        <v>58</v>
      </c>
      <c r="F408" s="33" t="s">
        <v>59</v>
      </c>
      <c r="G408" s="206"/>
      <c r="H408" s="33" t="s">
        <v>60</v>
      </c>
      <c r="I408" s="33" t="s">
        <v>84</v>
      </c>
      <c r="J408" s="33" t="s">
        <v>62</v>
      </c>
      <c r="K408" s="33" t="s">
        <v>63</v>
      </c>
      <c r="L408" s="33" t="s">
        <v>81</v>
      </c>
      <c r="M408" s="33" t="s">
        <v>64</v>
      </c>
    </row>
    <row r="413" spans="1:13" ht="18.75" x14ac:dyDescent="0.25">
      <c r="A413" s="27"/>
      <c r="B413" s="14" t="s">
        <v>68</v>
      </c>
      <c r="C413" s="11"/>
      <c r="D413" s="20"/>
      <c r="E413" s="20"/>
      <c r="F413" s="20"/>
      <c r="G413" s="20"/>
      <c r="H413" s="20"/>
      <c r="I413" s="20"/>
      <c r="J413" s="20"/>
      <c r="K413" s="20"/>
      <c r="L413" s="20"/>
      <c r="M413" s="20"/>
    </row>
    <row r="414" spans="1:13" x14ac:dyDescent="0.25">
      <c r="A414" s="27">
        <v>62</v>
      </c>
      <c r="B414" s="10" t="s">
        <v>108</v>
      </c>
      <c r="C414" s="49">
        <v>60</v>
      </c>
      <c r="D414" s="20">
        <f>12.3*C414/1000</f>
        <v>0.73799999999999999</v>
      </c>
      <c r="E414" s="20">
        <f>0.9*C414/1000</f>
        <v>5.3999999999999999E-2</v>
      </c>
      <c r="F414" s="20">
        <f>114.8*C414/1000</f>
        <v>6.8879999999999999</v>
      </c>
      <c r="G414" s="20">
        <f>817*C414/1000</f>
        <v>49.02</v>
      </c>
      <c r="H414" s="20">
        <f>0</f>
        <v>0</v>
      </c>
      <c r="I414" s="20">
        <f>0.6*C414/1000</f>
        <v>3.5999999999999997E-2</v>
      </c>
      <c r="J414" s="20">
        <f>33.6*C414/1000</f>
        <v>2.016</v>
      </c>
      <c r="K414" s="20">
        <f>257.6*C414/1000</f>
        <v>15.456000000000001</v>
      </c>
      <c r="L414" s="20">
        <f>527.7*C414/1000</f>
        <v>31.662000000000003</v>
      </c>
      <c r="M414" s="20">
        <f>6.6*C414/1000</f>
        <v>0.39600000000000002</v>
      </c>
    </row>
    <row r="415" spans="1:13" x14ac:dyDescent="0.25">
      <c r="A415" s="27">
        <v>103</v>
      </c>
      <c r="B415" s="10" t="s">
        <v>97</v>
      </c>
      <c r="C415" s="49">
        <v>200</v>
      </c>
      <c r="D415" s="20">
        <f>10.8*C415/1000</f>
        <v>2.16</v>
      </c>
      <c r="E415" s="20">
        <f>11.4*C415/1000</f>
        <v>2.2799999999999998</v>
      </c>
      <c r="F415" s="20">
        <f>8.2*C415/1000</f>
        <v>1.6399999999999997</v>
      </c>
      <c r="G415" s="20">
        <f>473*C415/1000</f>
        <v>94.6</v>
      </c>
      <c r="H415" s="20">
        <f>0</f>
        <v>0</v>
      </c>
      <c r="I415" s="20">
        <f>0.5*C415/1000</f>
        <v>0.1</v>
      </c>
      <c r="J415" s="20">
        <f>33*C415/1000</f>
        <v>6.6</v>
      </c>
      <c r="K415" s="20">
        <f>116.8*C415/1000</f>
        <v>23.36</v>
      </c>
      <c r="L415" s="20">
        <f>270.3*C415/1000</f>
        <v>54.06</v>
      </c>
      <c r="M415" s="20">
        <f>4.5*C415/1000</f>
        <v>0.9</v>
      </c>
    </row>
    <row r="416" spans="1:13" x14ac:dyDescent="0.25">
      <c r="A416" s="27">
        <v>263</v>
      </c>
      <c r="B416" s="10" t="s">
        <v>142</v>
      </c>
      <c r="C416" s="49">
        <v>200</v>
      </c>
      <c r="D416" s="130">
        <f>66.7*C416/1000</f>
        <v>13.34</v>
      </c>
      <c r="E416" s="130">
        <f>171.6*C416/1000</f>
        <v>34.32</v>
      </c>
      <c r="F416" s="130">
        <f>98.3*C416/1000</f>
        <v>19.66</v>
      </c>
      <c r="G416" s="130">
        <f>2160*C416/1000</f>
        <v>432</v>
      </c>
      <c r="H416" s="130">
        <f>0*C416/1000</f>
        <v>0</v>
      </c>
      <c r="I416" s="130">
        <f>2.3*C416/1000</f>
        <v>0.45999999999999996</v>
      </c>
      <c r="J416" s="130">
        <f>35*C416/1000</f>
        <v>7</v>
      </c>
      <c r="K416" s="130">
        <f>122.8*C416/1000</f>
        <v>24.56</v>
      </c>
      <c r="L416" s="130">
        <f>995*C416/1000</f>
        <v>199</v>
      </c>
      <c r="M416" s="130">
        <f>12.3*C416/1000</f>
        <v>2.46</v>
      </c>
    </row>
    <row r="417" spans="1:13" x14ac:dyDescent="0.25">
      <c r="A417" s="27">
        <v>342</v>
      </c>
      <c r="B417" s="10" t="s">
        <v>76</v>
      </c>
      <c r="C417" s="49">
        <v>200</v>
      </c>
      <c r="D417" s="20">
        <f>0.8*C417/1000</f>
        <v>0.16</v>
      </c>
      <c r="E417" s="20">
        <f>0.8*C417/1000</f>
        <v>0.16</v>
      </c>
      <c r="F417" s="20">
        <f>139.4*C417/1000</f>
        <v>27.88</v>
      </c>
      <c r="G417" s="20">
        <f>573*C417/1000</f>
        <v>114.6</v>
      </c>
      <c r="H417" s="20">
        <f>0</f>
        <v>0</v>
      </c>
      <c r="I417" s="20">
        <v>0.02</v>
      </c>
      <c r="J417" s="20">
        <f>5.5*C417/1000</f>
        <v>1.1000000000000001</v>
      </c>
      <c r="K417" s="20">
        <f>70.9*C417/1000</f>
        <v>14.180000000000001</v>
      </c>
      <c r="L417" s="20">
        <f>22*C417/1000</f>
        <v>4.4000000000000004</v>
      </c>
      <c r="M417" s="20">
        <f>4.8*C417/1000</f>
        <v>0.96</v>
      </c>
    </row>
    <row r="418" spans="1:13" x14ac:dyDescent="0.25">
      <c r="A418" s="9" t="s">
        <v>66</v>
      </c>
      <c r="B418" s="10" t="s">
        <v>33</v>
      </c>
      <c r="C418" s="49">
        <v>30</v>
      </c>
      <c r="D418" s="20">
        <f>107*C418/1000</f>
        <v>3.21</v>
      </c>
      <c r="E418" s="20">
        <f>45*C418/1000</f>
        <v>1.35</v>
      </c>
      <c r="F418" s="20">
        <f>435*C418/1000</f>
        <v>13.05</v>
      </c>
      <c r="G418" s="20">
        <f>2740*C418/1000</f>
        <v>82.2</v>
      </c>
      <c r="H418" s="20">
        <f>0</f>
        <v>0</v>
      </c>
      <c r="I418" s="20">
        <f>4.1*C418/1000</f>
        <v>0.12299999999999998</v>
      </c>
      <c r="J418" s="20">
        <f>2*C418/1000</f>
        <v>0.06</v>
      </c>
      <c r="K418" s="20">
        <f>1250*C418/1000</f>
        <v>37.5</v>
      </c>
      <c r="L418" s="20">
        <f>1290*C418/1000</f>
        <v>38.700000000000003</v>
      </c>
      <c r="M418" s="20">
        <f>36*C418/1000</f>
        <v>1.08</v>
      </c>
    </row>
    <row r="419" spans="1:13" x14ac:dyDescent="0.25">
      <c r="A419" s="15" t="s">
        <v>70</v>
      </c>
      <c r="B419" s="10" t="s">
        <v>3</v>
      </c>
      <c r="C419" s="49">
        <v>20</v>
      </c>
      <c r="D419" s="31">
        <f>85*C419/1000</f>
        <v>1.7</v>
      </c>
      <c r="E419" s="31">
        <f>33*C419/1000</f>
        <v>0.66</v>
      </c>
      <c r="F419" s="31">
        <f>425*C419/1000</f>
        <v>8.5</v>
      </c>
      <c r="G419" s="31">
        <f>2590*C419/1000</f>
        <v>51.8</v>
      </c>
      <c r="H419" s="35">
        <f>0</f>
        <v>0</v>
      </c>
      <c r="I419" s="31">
        <f>4.3*C419/1000</f>
        <v>8.5999999999999993E-2</v>
      </c>
      <c r="J419" s="31">
        <f>4*C419/1000</f>
        <v>0.08</v>
      </c>
      <c r="K419" s="31">
        <f>730*C419/1000</f>
        <v>14.6</v>
      </c>
      <c r="L419" s="31">
        <f>1250*C419/1000</f>
        <v>25</v>
      </c>
      <c r="M419" s="31">
        <f>28.3*C419/1000</f>
        <v>0.56599999999999995</v>
      </c>
    </row>
    <row r="420" spans="1:13" x14ac:dyDescent="0.25">
      <c r="A420" s="9">
        <v>338</v>
      </c>
      <c r="B420" s="10" t="s">
        <v>131</v>
      </c>
      <c r="C420" s="49">
        <v>100</v>
      </c>
      <c r="D420" s="20">
        <f>4*C420/1000</f>
        <v>0.4</v>
      </c>
      <c r="E420" s="20">
        <f>4*C420/1000</f>
        <v>0.4</v>
      </c>
      <c r="F420" s="20">
        <f>98*C420/1000</f>
        <v>9.8000000000000007</v>
      </c>
      <c r="G420" s="20">
        <f>470*C420/1000</f>
        <v>47</v>
      </c>
      <c r="H420" s="20">
        <f>0</f>
        <v>0</v>
      </c>
      <c r="I420" s="20">
        <f>0.3*C420/1000</f>
        <v>0.03</v>
      </c>
      <c r="J420" s="20">
        <f>100*C420/1000</f>
        <v>10</v>
      </c>
      <c r="K420" s="20">
        <f>160*C420/1000</f>
        <v>16</v>
      </c>
      <c r="L420" s="20">
        <f>110*C420/1000</f>
        <v>11</v>
      </c>
      <c r="M420" s="20">
        <f>22*C420/1000</f>
        <v>2.2000000000000002</v>
      </c>
    </row>
    <row r="421" spans="1:13" x14ac:dyDescent="0.25">
      <c r="A421" s="27">
        <v>15</v>
      </c>
      <c r="B421" s="10" t="s">
        <v>9</v>
      </c>
      <c r="C421" s="49">
        <v>10</v>
      </c>
      <c r="D421" s="20">
        <f>232*C421/1000</f>
        <v>2.3199999999999998</v>
      </c>
      <c r="E421" s="20">
        <f>295*C421/1000</f>
        <v>2.95</v>
      </c>
      <c r="F421" s="20">
        <f>0</f>
        <v>0</v>
      </c>
      <c r="G421" s="20">
        <f>3600*C421/1000</f>
        <v>36</v>
      </c>
      <c r="H421" s="20">
        <f>2600*C421/1000</f>
        <v>26</v>
      </c>
      <c r="I421" s="20">
        <f>0.3*C421/1000</f>
        <v>3.0000000000000001E-3</v>
      </c>
      <c r="J421" s="20">
        <f>7*C421/1000</f>
        <v>7.0000000000000007E-2</v>
      </c>
      <c r="K421" s="20">
        <f>8800*C421/1000</f>
        <v>88</v>
      </c>
      <c r="L421" s="20">
        <f>5000*C421/1000</f>
        <v>50</v>
      </c>
      <c r="M421" s="20">
        <f>10*C421/1000</f>
        <v>0.1</v>
      </c>
    </row>
    <row r="422" spans="1:13" x14ac:dyDescent="0.25">
      <c r="A422" s="28"/>
      <c r="B422" s="12" t="s">
        <v>67</v>
      </c>
      <c r="C422" s="13">
        <f t="shared" ref="C422:M422" si="34">SUM(C414:C421)</f>
        <v>820</v>
      </c>
      <c r="D422" s="122">
        <f t="shared" si="34"/>
        <v>24.027999999999999</v>
      </c>
      <c r="E422" s="122">
        <f t="shared" si="34"/>
        <v>42.173999999999992</v>
      </c>
      <c r="F422" s="122">
        <f t="shared" si="34"/>
        <v>87.417999999999992</v>
      </c>
      <c r="G422" s="122">
        <f t="shared" si="34"/>
        <v>907.22</v>
      </c>
      <c r="H422" s="122">
        <f t="shared" si="34"/>
        <v>26</v>
      </c>
      <c r="I422" s="122">
        <f t="shared" si="34"/>
        <v>0.85799999999999998</v>
      </c>
      <c r="J422" s="122">
        <f t="shared" si="34"/>
        <v>26.925999999999998</v>
      </c>
      <c r="K422" s="122">
        <f t="shared" si="34"/>
        <v>233.65600000000001</v>
      </c>
      <c r="L422" s="122">
        <f t="shared" si="34"/>
        <v>413.82199999999995</v>
      </c>
      <c r="M422" s="122">
        <f t="shared" si="34"/>
        <v>8.6620000000000008</v>
      </c>
    </row>
    <row r="423" spans="1:13" ht="18.75" x14ac:dyDescent="0.25">
      <c r="A423" s="28"/>
      <c r="B423" s="17" t="s">
        <v>71</v>
      </c>
      <c r="C423" s="16">
        <f t="shared" ref="C423:M423" si="35">C412+C422</f>
        <v>820</v>
      </c>
      <c r="D423" s="123">
        <f t="shared" si="35"/>
        <v>24.027999999999999</v>
      </c>
      <c r="E423" s="123">
        <f t="shared" si="35"/>
        <v>42.173999999999992</v>
      </c>
      <c r="F423" s="123">
        <f t="shared" si="35"/>
        <v>87.417999999999992</v>
      </c>
      <c r="G423" s="123">
        <f t="shared" si="35"/>
        <v>907.22</v>
      </c>
      <c r="H423" s="123">
        <f t="shared" si="35"/>
        <v>26</v>
      </c>
      <c r="I423" s="123">
        <f t="shared" si="35"/>
        <v>0.85799999999999998</v>
      </c>
      <c r="J423" s="123">
        <f t="shared" si="35"/>
        <v>26.925999999999998</v>
      </c>
      <c r="K423" s="123">
        <f t="shared" si="35"/>
        <v>233.65600000000001</v>
      </c>
      <c r="L423" s="123">
        <f t="shared" si="35"/>
        <v>413.82199999999995</v>
      </c>
      <c r="M423" s="123">
        <f t="shared" si="35"/>
        <v>8.6620000000000008</v>
      </c>
    </row>
    <row r="424" spans="1:13" ht="15.75" x14ac:dyDescent="0.25">
      <c r="A424" s="18"/>
      <c r="B424" s="19" t="s">
        <v>170</v>
      </c>
      <c r="C424" s="20">
        <v>1200</v>
      </c>
      <c r="D424" s="21">
        <v>45</v>
      </c>
      <c r="E424" s="21">
        <v>46</v>
      </c>
      <c r="F424" s="21">
        <v>192</v>
      </c>
      <c r="G424" s="21">
        <v>1360</v>
      </c>
      <c r="H424" s="21">
        <v>450</v>
      </c>
      <c r="I424" s="21">
        <v>0.7</v>
      </c>
      <c r="J424" s="21">
        <v>35</v>
      </c>
      <c r="K424" s="21">
        <v>600</v>
      </c>
      <c r="L424" s="21">
        <v>600</v>
      </c>
      <c r="M424" s="21">
        <v>9</v>
      </c>
    </row>
    <row r="431" spans="1:13" ht="55.9" customHeight="1" x14ac:dyDescent="0.25"/>
    <row r="432" spans="1:13" hidden="1" x14ac:dyDescent="0.25"/>
    <row r="433" spans="1:13" hidden="1" x14ac:dyDescent="0.25"/>
    <row r="434" spans="1:13" x14ac:dyDescent="0.25">
      <c r="A434" s="198" t="s">
        <v>156</v>
      </c>
      <c r="B434" s="199"/>
      <c r="D434" s="32"/>
      <c r="E434" s="32"/>
      <c r="F434" s="32"/>
      <c r="G434" s="32"/>
      <c r="H434" s="32"/>
      <c r="I434" s="32"/>
      <c r="J434" s="32"/>
      <c r="K434" s="32"/>
      <c r="L434" s="32"/>
      <c r="M434" s="32"/>
    </row>
    <row r="435" spans="1:13" x14ac:dyDescent="0.25">
      <c r="A435" s="198" t="s">
        <v>48</v>
      </c>
      <c r="B435" s="199"/>
      <c r="D435" s="32"/>
      <c r="E435" s="32"/>
      <c r="F435" s="32"/>
      <c r="G435" s="32"/>
      <c r="H435" s="32"/>
      <c r="I435" s="32"/>
      <c r="J435" s="32"/>
      <c r="K435" s="32"/>
      <c r="L435" s="32"/>
      <c r="M435" s="32"/>
    </row>
    <row r="436" spans="1:13" ht="15.75" thickBot="1" x14ac:dyDescent="0.3">
      <c r="A436" s="200" t="s">
        <v>168</v>
      </c>
      <c r="B436" s="201"/>
      <c r="D436" s="32"/>
      <c r="E436" s="32"/>
      <c r="F436" s="32"/>
      <c r="G436" s="32"/>
      <c r="H436" s="32"/>
      <c r="I436" s="32"/>
      <c r="J436" s="32"/>
      <c r="K436" s="32"/>
      <c r="L436" s="32"/>
      <c r="M436" s="32"/>
    </row>
    <row r="437" spans="1:13" x14ac:dyDescent="0.25">
      <c r="A437" s="192" t="s">
        <v>49</v>
      </c>
      <c r="B437" s="192" t="s">
        <v>50</v>
      </c>
      <c r="C437" s="192" t="s">
        <v>51</v>
      </c>
      <c r="D437" s="207" t="s">
        <v>52</v>
      </c>
      <c r="E437" s="208"/>
      <c r="F437" s="209"/>
      <c r="G437" s="204" t="s">
        <v>53</v>
      </c>
      <c r="H437" s="207" t="s">
        <v>54</v>
      </c>
      <c r="I437" s="208"/>
      <c r="J437" s="209"/>
      <c r="K437" s="207" t="s">
        <v>55</v>
      </c>
      <c r="L437" s="208"/>
      <c r="M437" s="209"/>
    </row>
    <row r="438" spans="1:13" ht="15.75" thickBot="1" x14ac:dyDescent="0.3">
      <c r="A438" s="202"/>
      <c r="B438" s="193"/>
      <c r="C438" s="193"/>
      <c r="D438" s="210" t="s">
        <v>56</v>
      </c>
      <c r="E438" s="211"/>
      <c r="F438" s="212"/>
      <c r="G438" s="205"/>
      <c r="H438" s="210"/>
      <c r="I438" s="211"/>
      <c r="J438" s="212"/>
      <c r="K438" s="210"/>
      <c r="L438" s="211"/>
      <c r="M438" s="212"/>
    </row>
    <row r="439" spans="1:13" ht="17.25" thickBot="1" x14ac:dyDescent="0.3">
      <c r="A439" s="203"/>
      <c r="B439" s="194"/>
      <c r="C439" s="194"/>
      <c r="D439" s="33" t="s">
        <v>57</v>
      </c>
      <c r="E439" s="33" t="s">
        <v>58</v>
      </c>
      <c r="F439" s="33" t="s">
        <v>59</v>
      </c>
      <c r="G439" s="206"/>
      <c r="H439" s="33" t="s">
        <v>60</v>
      </c>
      <c r="I439" s="33" t="s">
        <v>84</v>
      </c>
      <c r="J439" s="33" t="s">
        <v>62</v>
      </c>
      <c r="K439" s="33" t="s">
        <v>63</v>
      </c>
      <c r="L439" s="33" t="s">
        <v>81</v>
      </c>
      <c r="M439" s="33" t="s">
        <v>64</v>
      </c>
    </row>
    <row r="443" spans="1:13" ht="18.75" x14ac:dyDescent="0.25">
      <c r="A443" s="27"/>
      <c r="B443" s="14" t="s">
        <v>68</v>
      </c>
      <c r="C443" s="11"/>
      <c r="D443" s="20"/>
      <c r="E443" s="20"/>
      <c r="F443" s="20"/>
      <c r="G443" s="20"/>
      <c r="H443" s="20"/>
      <c r="I443" s="20"/>
      <c r="J443" s="20"/>
      <c r="K443" s="20"/>
      <c r="L443" s="20"/>
      <c r="M443" s="20"/>
    </row>
    <row r="444" spans="1:13" x14ac:dyDescent="0.25">
      <c r="A444" s="27">
        <v>55</v>
      </c>
      <c r="B444" s="10" t="s">
        <v>157</v>
      </c>
      <c r="C444" s="49">
        <v>60</v>
      </c>
      <c r="D444" s="20"/>
      <c r="E444" s="20"/>
      <c r="F444" s="20"/>
      <c r="G444" s="20"/>
      <c r="H444" s="20"/>
      <c r="I444" s="20"/>
      <c r="J444" s="20"/>
      <c r="K444" s="20"/>
      <c r="L444" s="20"/>
      <c r="M444" s="20"/>
    </row>
    <row r="445" spans="1:13" x14ac:dyDescent="0.25">
      <c r="A445" s="27">
        <v>82</v>
      </c>
      <c r="B445" s="10" t="s">
        <v>72</v>
      </c>
      <c r="C445" s="49">
        <v>200</v>
      </c>
      <c r="D445" s="20">
        <f>6.4*C445/1000</f>
        <v>1.28</v>
      </c>
      <c r="E445" s="20">
        <f>19.4*C445/1000</f>
        <v>3.8799999999999994</v>
      </c>
      <c r="F445" s="20">
        <f>34.3*C445/1000</f>
        <v>6.8599999999999994</v>
      </c>
      <c r="G445" s="20">
        <f>365*C445/1000</f>
        <v>73</v>
      </c>
      <c r="H445" s="20">
        <f>0</f>
        <v>0</v>
      </c>
      <c r="I445" s="20">
        <f>0.1*C445/1000</f>
        <v>0.02</v>
      </c>
      <c r="J445" s="20">
        <f>43.7*C445/1000</f>
        <v>8.74</v>
      </c>
      <c r="K445" s="20">
        <f>210.1*C445/1000</f>
        <v>42.02</v>
      </c>
      <c r="L445" s="20">
        <f>184.4*C445/1000</f>
        <v>36.880000000000003</v>
      </c>
      <c r="M445" s="20">
        <f>4.4*C445/1000</f>
        <v>0.88000000000000012</v>
      </c>
    </row>
    <row r="446" spans="1:13" x14ac:dyDescent="0.25">
      <c r="A446" s="27">
        <v>312</v>
      </c>
      <c r="B446" s="10" t="s">
        <v>150</v>
      </c>
      <c r="C446" s="49">
        <v>200</v>
      </c>
      <c r="D446" s="20">
        <f>20.4*C446/1000</f>
        <v>4.0799999999999992</v>
      </c>
      <c r="E446" s="20">
        <f>32*C446/1000</f>
        <v>6.4</v>
      </c>
      <c r="F446" s="20">
        <f>136.3*C446/1000</f>
        <v>27.260000000000005</v>
      </c>
      <c r="G446" s="20">
        <f>915*C446/1000</f>
        <v>183</v>
      </c>
      <c r="H446" s="20">
        <f>0</f>
        <v>0</v>
      </c>
      <c r="I446" s="20">
        <f>0.9*C446/1000</f>
        <v>0.18</v>
      </c>
      <c r="J446" s="20">
        <f>121.1*C446/1000</f>
        <v>24.22</v>
      </c>
      <c r="K446" s="20">
        <f>246.5*C446/1000</f>
        <v>49.3</v>
      </c>
      <c r="L446" s="20">
        <f>577.3*C446/1000</f>
        <v>115.45999999999998</v>
      </c>
      <c r="M446" s="20">
        <f>6.7*C446/1000</f>
        <v>1.34</v>
      </c>
    </row>
    <row r="447" spans="1:13" x14ac:dyDescent="0.25">
      <c r="A447" s="27">
        <v>234</v>
      </c>
      <c r="B447" s="10" t="s">
        <v>78</v>
      </c>
      <c r="C447" s="49">
        <v>100</v>
      </c>
      <c r="D447" s="20">
        <f>130*C447/1000</f>
        <v>13</v>
      </c>
      <c r="E447" s="20">
        <f>154.6*C447/1000</f>
        <v>15.46</v>
      </c>
      <c r="F447" s="20">
        <f>159.8*C447/1000</f>
        <v>15.980000000000002</v>
      </c>
      <c r="G447" s="20">
        <f>2560*C447/1000</f>
        <v>256</v>
      </c>
      <c r="H447" s="20">
        <f>494*C447/1000</f>
        <v>49.4</v>
      </c>
      <c r="I447" s="20">
        <f>0.8*C447/1000</f>
        <v>0.08</v>
      </c>
      <c r="J447" s="20">
        <f>6.6*C447/1000</f>
        <v>0.66</v>
      </c>
      <c r="K447" s="20">
        <f>742.8*C447/1000</f>
        <v>74.28</v>
      </c>
      <c r="L447" s="20">
        <f>1884.6*C447/1000</f>
        <v>188.46</v>
      </c>
      <c r="M447" s="20">
        <f>14.8*C447/1000</f>
        <v>1.48</v>
      </c>
    </row>
    <row r="448" spans="1:13" x14ac:dyDescent="0.25">
      <c r="A448" s="27">
        <v>382</v>
      </c>
      <c r="B448" s="10" t="s">
        <v>98</v>
      </c>
      <c r="C448" s="49">
        <v>200</v>
      </c>
      <c r="D448" s="31">
        <f>20.4*C448/1000</f>
        <v>4.0799999999999992</v>
      </c>
      <c r="E448" s="31">
        <f>17.7*C448/1000</f>
        <v>3.54</v>
      </c>
      <c r="F448" s="31">
        <f>87.9*C448/1000</f>
        <v>17.579999999999998</v>
      </c>
      <c r="G448" s="31">
        <f>593*C448/1000</f>
        <v>118.6</v>
      </c>
      <c r="H448" s="31">
        <f>122*C448/1000</f>
        <v>24.4</v>
      </c>
      <c r="I448" s="31">
        <f>0.28*C448/1000</f>
        <v>5.6000000000000008E-2</v>
      </c>
      <c r="J448" s="31">
        <f>7.9*C448/1000</f>
        <v>1.58</v>
      </c>
      <c r="K448" s="31">
        <f>761.1*C448/1000</f>
        <v>152.22</v>
      </c>
      <c r="L448" s="31">
        <f>622.8*C448/1000</f>
        <v>124.55999999999999</v>
      </c>
      <c r="M448" s="31">
        <f>2.4*C448/1000</f>
        <v>0.48</v>
      </c>
    </row>
    <row r="449" spans="1:13" x14ac:dyDescent="0.25">
      <c r="A449" s="9" t="s">
        <v>66</v>
      </c>
      <c r="B449" s="10" t="s">
        <v>33</v>
      </c>
      <c r="C449" s="49">
        <v>30</v>
      </c>
      <c r="D449" s="20">
        <f>107*C449/1000</f>
        <v>3.21</v>
      </c>
      <c r="E449" s="20">
        <f>45*C449/1000</f>
        <v>1.35</v>
      </c>
      <c r="F449" s="20">
        <f>435*C449/1000</f>
        <v>13.05</v>
      </c>
      <c r="G449" s="20">
        <f>2740*C449/1000</f>
        <v>82.2</v>
      </c>
      <c r="H449" s="20">
        <f>0</f>
        <v>0</v>
      </c>
      <c r="I449" s="20">
        <f>4.1*C449/1000</f>
        <v>0.12299999999999998</v>
      </c>
      <c r="J449" s="20">
        <f>2*C449/1000</f>
        <v>0.06</v>
      </c>
      <c r="K449" s="20">
        <f>1250*C449/1000</f>
        <v>37.5</v>
      </c>
      <c r="L449" s="20">
        <f>1290*C449/1000</f>
        <v>38.700000000000003</v>
      </c>
      <c r="M449" s="20">
        <f>36*C449/1000</f>
        <v>1.08</v>
      </c>
    </row>
    <row r="450" spans="1:13" x14ac:dyDescent="0.25">
      <c r="A450" s="15" t="s">
        <v>70</v>
      </c>
      <c r="B450" s="10" t="s">
        <v>3</v>
      </c>
      <c r="C450" s="49">
        <v>20</v>
      </c>
      <c r="D450" s="31">
        <f>85*C450/1000</f>
        <v>1.7</v>
      </c>
      <c r="E450" s="31">
        <f>33*C450/1000</f>
        <v>0.66</v>
      </c>
      <c r="F450" s="31">
        <f>425*C450/1000</f>
        <v>8.5</v>
      </c>
      <c r="G450" s="31">
        <f>2590*C450/1000</f>
        <v>51.8</v>
      </c>
      <c r="H450" s="35">
        <f>0</f>
        <v>0</v>
      </c>
      <c r="I450" s="31">
        <f>4.3*C450/1000</f>
        <v>8.5999999999999993E-2</v>
      </c>
      <c r="J450" s="31">
        <f>4*C450/1000</f>
        <v>0.08</v>
      </c>
      <c r="K450" s="31">
        <f>730*C450/1000</f>
        <v>14.6</v>
      </c>
      <c r="L450" s="31">
        <f>1250*C450/1000</f>
        <v>25</v>
      </c>
      <c r="M450" s="31">
        <f>28.3*C450/1000</f>
        <v>0.56599999999999995</v>
      </c>
    </row>
    <row r="451" spans="1:13" x14ac:dyDescent="0.25">
      <c r="A451" s="28"/>
      <c r="B451" s="10" t="s">
        <v>136</v>
      </c>
      <c r="C451" s="49">
        <v>125</v>
      </c>
      <c r="D451" s="20">
        <f>41*C451/1000</f>
        <v>5.125</v>
      </c>
      <c r="E451" s="20">
        <f>15*C451/1000</f>
        <v>1.875</v>
      </c>
      <c r="F451" s="20">
        <f>59*C451/1000</f>
        <v>7.375</v>
      </c>
      <c r="G451" s="20">
        <f>570*C451/1000</f>
        <v>71.25</v>
      </c>
      <c r="H451" s="20">
        <f>100*C451/1000</f>
        <v>12.5</v>
      </c>
      <c r="I451" s="20">
        <f>0.3*C451/1000</f>
        <v>3.7499999999999999E-2</v>
      </c>
      <c r="J451" s="20">
        <f>6*C451/1000</f>
        <v>0.75</v>
      </c>
      <c r="K451" s="20">
        <f>1240*C451/1000</f>
        <v>155</v>
      </c>
      <c r="L451" s="20">
        <f>950*C451/1000</f>
        <v>118.75</v>
      </c>
      <c r="M451" s="20">
        <f>1*C451/1000</f>
        <v>0.125</v>
      </c>
    </row>
    <row r="452" spans="1:13" x14ac:dyDescent="0.25">
      <c r="A452" s="28"/>
      <c r="B452" s="12" t="s">
        <v>67</v>
      </c>
      <c r="C452" s="13">
        <f t="shared" ref="C452:M452" si="36">SUM(C444:C451)</f>
        <v>935</v>
      </c>
      <c r="D452" s="122">
        <f t="shared" si="36"/>
        <v>32.474999999999994</v>
      </c>
      <c r="E452" s="122">
        <f t="shared" si="36"/>
        <v>33.165000000000006</v>
      </c>
      <c r="F452" s="122">
        <f t="shared" si="36"/>
        <v>96.605000000000004</v>
      </c>
      <c r="G452" s="122">
        <f t="shared" si="36"/>
        <v>835.85</v>
      </c>
      <c r="H452" s="122">
        <f t="shared" si="36"/>
        <v>86.3</v>
      </c>
      <c r="I452" s="122">
        <f t="shared" si="36"/>
        <v>0.58249999999999991</v>
      </c>
      <c r="J452" s="122">
        <f t="shared" si="36"/>
        <v>36.089999999999996</v>
      </c>
      <c r="K452" s="122">
        <f t="shared" si="36"/>
        <v>524.92000000000007</v>
      </c>
      <c r="L452" s="122">
        <f t="shared" si="36"/>
        <v>647.80999999999995</v>
      </c>
      <c r="M452" s="122">
        <f t="shared" si="36"/>
        <v>5.9509999999999996</v>
      </c>
    </row>
    <row r="453" spans="1:13" ht="18.75" x14ac:dyDescent="0.25">
      <c r="A453" s="28"/>
      <c r="B453" s="17" t="s">
        <v>71</v>
      </c>
      <c r="C453" s="16">
        <f t="shared" ref="C453:M453" si="37">C442+C452</f>
        <v>935</v>
      </c>
      <c r="D453" s="123">
        <f t="shared" si="37"/>
        <v>32.474999999999994</v>
      </c>
      <c r="E453" s="123">
        <f t="shared" si="37"/>
        <v>33.165000000000006</v>
      </c>
      <c r="F453" s="123">
        <f t="shared" si="37"/>
        <v>96.605000000000004</v>
      </c>
      <c r="G453" s="123">
        <f t="shared" si="37"/>
        <v>835.85</v>
      </c>
      <c r="H453" s="123">
        <f t="shared" si="37"/>
        <v>86.3</v>
      </c>
      <c r="I453" s="123">
        <f t="shared" si="37"/>
        <v>0.58249999999999991</v>
      </c>
      <c r="J453" s="123">
        <f t="shared" si="37"/>
        <v>36.089999999999996</v>
      </c>
      <c r="K453" s="123">
        <f t="shared" si="37"/>
        <v>524.92000000000007</v>
      </c>
      <c r="L453" s="123">
        <f t="shared" si="37"/>
        <v>647.80999999999995</v>
      </c>
      <c r="M453" s="123">
        <f t="shared" si="37"/>
        <v>5.9509999999999996</v>
      </c>
    </row>
    <row r="454" spans="1:13" ht="15.75" x14ac:dyDescent="0.25">
      <c r="A454" s="18"/>
      <c r="B454" s="19" t="s">
        <v>170</v>
      </c>
      <c r="C454" s="20">
        <v>1200</v>
      </c>
      <c r="D454" s="21">
        <v>45</v>
      </c>
      <c r="E454" s="21">
        <v>46</v>
      </c>
      <c r="F454" s="21">
        <v>192</v>
      </c>
      <c r="G454" s="21">
        <v>1360</v>
      </c>
      <c r="H454" s="21">
        <v>450</v>
      </c>
      <c r="I454" s="21">
        <v>0.7</v>
      </c>
      <c r="J454" s="21">
        <v>35</v>
      </c>
      <c r="K454" s="21">
        <v>600</v>
      </c>
      <c r="L454" s="21">
        <v>600</v>
      </c>
      <c r="M454" s="21">
        <v>9</v>
      </c>
    </row>
    <row r="463" spans="1:13" ht="46.15" customHeight="1" x14ac:dyDescent="0.25"/>
    <row r="464" spans="1:13" hidden="1" x14ac:dyDescent="0.25"/>
    <row r="465" spans="1:13" hidden="1" x14ac:dyDescent="0.25"/>
    <row r="466" spans="1:13" hidden="1" x14ac:dyDescent="0.25"/>
    <row r="467" spans="1:13" ht="18.75" x14ac:dyDescent="0.25">
      <c r="A467" s="198" t="s">
        <v>166</v>
      </c>
      <c r="B467" s="199"/>
      <c r="D467" s="32"/>
      <c r="E467" s="32"/>
      <c r="F467" s="32"/>
      <c r="G467" s="32"/>
      <c r="H467" s="32"/>
      <c r="I467" s="32"/>
      <c r="J467" s="32"/>
      <c r="K467" s="32"/>
      <c r="L467" s="32"/>
      <c r="M467" s="32"/>
    </row>
    <row r="468" spans="1:13" x14ac:dyDescent="0.25">
      <c r="A468" s="198" t="s">
        <v>79</v>
      </c>
      <c r="B468" s="199"/>
      <c r="D468" s="32"/>
      <c r="E468" s="32"/>
      <c r="F468" s="32"/>
      <c r="G468" s="32"/>
      <c r="H468" s="32"/>
      <c r="I468" s="32"/>
      <c r="J468" s="32"/>
      <c r="K468" s="32"/>
      <c r="L468" s="32"/>
      <c r="M468" s="32"/>
    </row>
    <row r="469" spans="1:13" ht="15.75" thickBot="1" x14ac:dyDescent="0.3">
      <c r="A469" s="200" t="s">
        <v>165</v>
      </c>
      <c r="B469" s="201"/>
      <c r="D469" s="32"/>
      <c r="E469" s="32"/>
      <c r="F469" s="32"/>
      <c r="G469" s="32"/>
      <c r="H469" s="32"/>
      <c r="I469" s="32"/>
      <c r="J469" s="32"/>
      <c r="K469" s="32"/>
      <c r="L469" s="32"/>
      <c r="M469" s="32"/>
    </row>
    <row r="470" spans="1:13" x14ac:dyDescent="0.25">
      <c r="A470" s="192" t="s">
        <v>49</v>
      </c>
      <c r="B470" s="192" t="s">
        <v>50</v>
      </c>
      <c r="C470" s="192" t="s">
        <v>51</v>
      </c>
      <c r="D470" s="207" t="s">
        <v>52</v>
      </c>
      <c r="E470" s="208"/>
      <c r="F470" s="209"/>
      <c r="G470" s="204" t="s">
        <v>53</v>
      </c>
      <c r="H470" s="207" t="s">
        <v>54</v>
      </c>
      <c r="I470" s="208"/>
      <c r="J470" s="209"/>
      <c r="K470" s="207" t="s">
        <v>55</v>
      </c>
      <c r="L470" s="208"/>
      <c r="M470" s="209"/>
    </row>
    <row r="471" spans="1:13" ht="15.75" thickBot="1" x14ac:dyDescent="0.3">
      <c r="A471" s="202"/>
      <c r="B471" s="193"/>
      <c r="C471" s="193"/>
      <c r="D471" s="210" t="s">
        <v>56</v>
      </c>
      <c r="E471" s="211"/>
      <c r="F471" s="212"/>
      <c r="G471" s="205"/>
      <c r="H471" s="210"/>
      <c r="I471" s="211"/>
      <c r="J471" s="212"/>
      <c r="K471" s="210"/>
      <c r="L471" s="211"/>
      <c r="M471" s="212"/>
    </row>
    <row r="472" spans="1:13" ht="17.25" thickBot="1" x14ac:dyDescent="0.3">
      <c r="A472" s="203"/>
      <c r="B472" s="194"/>
      <c r="C472" s="194"/>
      <c r="D472" s="33" t="s">
        <v>57</v>
      </c>
      <c r="E472" s="33" t="s">
        <v>58</v>
      </c>
      <c r="F472" s="33" t="s">
        <v>59</v>
      </c>
      <c r="G472" s="206"/>
      <c r="H472" s="33" t="s">
        <v>60</v>
      </c>
      <c r="I472" s="33" t="s">
        <v>84</v>
      </c>
      <c r="J472" s="33" t="s">
        <v>62</v>
      </c>
      <c r="K472" s="33" t="s">
        <v>63</v>
      </c>
      <c r="L472" s="33" t="s">
        <v>81</v>
      </c>
      <c r="M472" s="33" t="s">
        <v>64</v>
      </c>
    </row>
    <row r="475" spans="1:13" ht="18.75" x14ac:dyDescent="0.25">
      <c r="A475" s="27"/>
      <c r="B475" s="14" t="s">
        <v>68</v>
      </c>
      <c r="C475" s="11"/>
      <c r="D475" s="20"/>
      <c r="E475" s="20"/>
      <c r="F475" s="20"/>
      <c r="G475" s="20"/>
      <c r="H475" s="20"/>
      <c r="I475" s="20"/>
      <c r="J475" s="20"/>
      <c r="K475" s="20"/>
      <c r="L475" s="20"/>
      <c r="M475" s="20"/>
    </row>
    <row r="476" spans="1:13" x14ac:dyDescent="0.25">
      <c r="A476" s="27">
        <v>49</v>
      </c>
      <c r="B476" s="10" t="s">
        <v>161</v>
      </c>
      <c r="C476" s="49">
        <v>60</v>
      </c>
      <c r="D476" s="20">
        <f>11*C476/1000</f>
        <v>0.66</v>
      </c>
      <c r="E476" s="20">
        <f>2*C476/1000</f>
        <v>0.12</v>
      </c>
      <c r="F476" s="20">
        <f>38*C476/1000</f>
        <v>2.2799999999999998</v>
      </c>
      <c r="G476" s="20">
        <f>220*C476/1000</f>
        <v>13.2</v>
      </c>
      <c r="H476" s="20">
        <f>0</f>
        <v>0</v>
      </c>
      <c r="I476" s="20">
        <f>0.6*C476/1000</f>
        <v>3.5999999999999997E-2</v>
      </c>
      <c r="J476" s="20">
        <f>175*C476/1000</f>
        <v>10.5</v>
      </c>
      <c r="K476" s="20">
        <f>140*C476/1000</f>
        <v>8.4</v>
      </c>
      <c r="L476" s="20">
        <f>260*C476/1000</f>
        <v>15.6</v>
      </c>
      <c r="M476" s="20">
        <f>9*C476/1000</f>
        <v>0.54</v>
      </c>
    </row>
    <row r="477" spans="1:13" x14ac:dyDescent="0.25">
      <c r="A477" s="27">
        <v>96</v>
      </c>
      <c r="B477" s="10" t="s">
        <v>41</v>
      </c>
      <c r="C477" s="49">
        <v>200</v>
      </c>
      <c r="D477" s="20">
        <f>8.1*C477/1000</f>
        <v>1.62</v>
      </c>
      <c r="E477" s="20">
        <f>20.4*C477/1000</f>
        <v>4.0799999999999992</v>
      </c>
      <c r="F477" s="20">
        <f>47.9*C477/1000</f>
        <v>9.58</v>
      </c>
      <c r="G477" s="20">
        <f>429*C477/1000</f>
        <v>85.8</v>
      </c>
      <c r="H477" s="20">
        <f>0</f>
        <v>0</v>
      </c>
      <c r="I477" s="20">
        <f>0.4*C477/1000</f>
        <v>0.08</v>
      </c>
      <c r="J477" s="20">
        <f>33.5*C477/1000</f>
        <v>6.7</v>
      </c>
      <c r="K477" s="20">
        <f>116.6*C477/1000</f>
        <v>23.32</v>
      </c>
      <c r="L477" s="20">
        <f>226.9*C477/1000</f>
        <v>45.38</v>
      </c>
      <c r="M477" s="20">
        <f>3.7*C477/1000</f>
        <v>0.74</v>
      </c>
    </row>
    <row r="478" spans="1:13" x14ac:dyDescent="0.25">
      <c r="A478" s="27">
        <v>321</v>
      </c>
      <c r="B478" s="10" t="s">
        <v>130</v>
      </c>
      <c r="C478" s="49">
        <v>200</v>
      </c>
      <c r="D478" s="20">
        <f>20.7*C478/1000</f>
        <v>4.1399999999999997</v>
      </c>
      <c r="E478" s="20">
        <f>32.4*C478/1000</f>
        <v>6.48</v>
      </c>
      <c r="F478" s="20">
        <f>94.3*C478/1000</f>
        <v>18.86</v>
      </c>
      <c r="G478" s="20">
        <f>751*C478/1000</f>
        <v>150.19999999999999</v>
      </c>
      <c r="H478" s="20">
        <v>0</v>
      </c>
      <c r="I478" s="20">
        <f>0.3*C478/1000</f>
        <v>0.06</v>
      </c>
      <c r="J478" s="20">
        <f>171.6*C478/1000</f>
        <v>34.32</v>
      </c>
      <c r="K478" s="20">
        <f>554.5*C478/1000</f>
        <v>110.9</v>
      </c>
      <c r="L478" s="20">
        <f>401.4*C478/1000</f>
        <v>80.28</v>
      </c>
      <c r="M478" s="20">
        <f>8.1*C478/1000</f>
        <v>1.62</v>
      </c>
    </row>
    <row r="479" spans="1:13" x14ac:dyDescent="0.25">
      <c r="A479" s="27">
        <v>278</v>
      </c>
      <c r="B479" s="10" t="s">
        <v>137</v>
      </c>
      <c r="C479" s="49">
        <v>100</v>
      </c>
      <c r="D479" s="127">
        <f>71.18*C479/1000</f>
        <v>7.1180000000000012</v>
      </c>
      <c r="E479" s="127">
        <f>79.5*C479/1000</f>
        <v>7.95</v>
      </c>
      <c r="F479" s="127">
        <f>93.2*C479/1000</f>
        <v>9.32</v>
      </c>
      <c r="G479" s="127">
        <f>1372.7*C479/1000</f>
        <v>137.27000000000001</v>
      </c>
      <c r="H479" s="127">
        <f>308.4*C479/1000</f>
        <v>30.839999999999996</v>
      </c>
      <c r="I479" s="127">
        <f>0.5*C479/1000</f>
        <v>0.05</v>
      </c>
      <c r="J479" s="127">
        <f>6.5*C479/1000</f>
        <v>0.65</v>
      </c>
      <c r="K479" s="127">
        <f>254.1*C479/1000</f>
        <v>25.41</v>
      </c>
      <c r="L479" s="127">
        <f>803.4*C479/1000</f>
        <v>80.34</v>
      </c>
      <c r="M479" s="127">
        <f>7.9*C479/1000</f>
        <v>0.79</v>
      </c>
    </row>
    <row r="480" spans="1:13" x14ac:dyDescent="0.25">
      <c r="A480" s="27">
        <v>359</v>
      </c>
      <c r="B480" s="10" t="s">
        <v>146</v>
      </c>
      <c r="C480" s="49">
        <v>200</v>
      </c>
      <c r="D480" s="20">
        <f>1.6*C480/1000</f>
        <v>0.32</v>
      </c>
      <c r="E480" s="20">
        <f>0</f>
        <v>0</v>
      </c>
      <c r="F480" s="20">
        <f>197*C480/1000</f>
        <v>39.4</v>
      </c>
      <c r="G480" s="20">
        <f>800*C480/1000</f>
        <v>160</v>
      </c>
      <c r="H480" s="20">
        <f>0</f>
        <v>0</v>
      </c>
      <c r="I480" s="20">
        <f>0.1*C480/1000</f>
        <v>0.02</v>
      </c>
      <c r="J480" s="20">
        <f>12*C480/1000</f>
        <v>2.4</v>
      </c>
      <c r="K480" s="20">
        <f>112.3*C480/1000</f>
        <v>22.46</v>
      </c>
      <c r="L480" s="20">
        <f>92.5*C480/1000</f>
        <v>18.5</v>
      </c>
      <c r="M480" s="20">
        <f>0.96*C480/1000</f>
        <v>0.192</v>
      </c>
    </row>
    <row r="481" spans="1:13" x14ac:dyDescent="0.25">
      <c r="A481" s="9" t="s">
        <v>66</v>
      </c>
      <c r="B481" s="10" t="s">
        <v>33</v>
      </c>
      <c r="C481" s="49">
        <v>30</v>
      </c>
      <c r="D481" s="20">
        <f>107*C481/1000</f>
        <v>3.21</v>
      </c>
      <c r="E481" s="20">
        <f>45*C481/1000</f>
        <v>1.35</v>
      </c>
      <c r="F481" s="20">
        <f>435*C481/1000</f>
        <v>13.05</v>
      </c>
      <c r="G481" s="20">
        <f>2740*C481/1000</f>
        <v>82.2</v>
      </c>
      <c r="H481" s="20">
        <f>0</f>
        <v>0</v>
      </c>
      <c r="I481" s="20">
        <f>4.1*C481/1000</f>
        <v>0.12299999999999998</v>
      </c>
      <c r="J481" s="20">
        <f>2*C481/1000</f>
        <v>0.06</v>
      </c>
      <c r="K481" s="20">
        <f>1250*C481/1000</f>
        <v>37.5</v>
      </c>
      <c r="L481" s="20">
        <f>1290*C481/1000</f>
        <v>38.700000000000003</v>
      </c>
      <c r="M481" s="20">
        <f>36*C481/1000</f>
        <v>1.08</v>
      </c>
    </row>
    <row r="482" spans="1:13" x14ac:dyDescent="0.25">
      <c r="A482" s="15" t="s">
        <v>70</v>
      </c>
      <c r="B482" s="10" t="s">
        <v>3</v>
      </c>
      <c r="C482" s="49">
        <v>20</v>
      </c>
      <c r="D482" s="31">
        <f>85*C482/1000</f>
        <v>1.7</v>
      </c>
      <c r="E482" s="31">
        <f>33*C482/1000</f>
        <v>0.66</v>
      </c>
      <c r="F482" s="31">
        <f>425*C482/1000</f>
        <v>8.5</v>
      </c>
      <c r="G482" s="31">
        <f>2590*C482/1000</f>
        <v>51.8</v>
      </c>
      <c r="H482" s="35">
        <f>0</f>
        <v>0</v>
      </c>
      <c r="I482" s="31">
        <f>4.3*C482/1000</f>
        <v>8.5999999999999993E-2</v>
      </c>
      <c r="J482" s="31">
        <f>4*C482/1000</f>
        <v>0.08</v>
      </c>
      <c r="K482" s="31">
        <f>730*C482/1000</f>
        <v>14.6</v>
      </c>
      <c r="L482" s="31">
        <f>1250*C482/1000</f>
        <v>25</v>
      </c>
      <c r="M482" s="31">
        <f>28.3*C482/1000</f>
        <v>0.56599999999999995</v>
      </c>
    </row>
    <row r="483" spans="1:13" x14ac:dyDescent="0.25">
      <c r="A483" s="28"/>
      <c r="B483" s="10"/>
      <c r="C483" s="10"/>
      <c r="D483" s="31"/>
      <c r="E483" s="31"/>
      <c r="F483" s="31"/>
      <c r="G483" s="31"/>
      <c r="H483" s="35"/>
      <c r="I483" s="31"/>
      <c r="J483" s="31"/>
      <c r="K483" s="31"/>
      <c r="L483" s="31"/>
      <c r="M483" s="31"/>
    </row>
    <row r="484" spans="1:13" x14ac:dyDescent="0.25">
      <c r="A484" s="28"/>
      <c r="B484" s="12" t="s">
        <v>67</v>
      </c>
      <c r="C484" s="13">
        <f t="shared" ref="C484:M484" si="38">SUM(C476:C483)</f>
        <v>810</v>
      </c>
      <c r="D484" s="122">
        <f t="shared" si="38"/>
        <v>18.768000000000001</v>
      </c>
      <c r="E484" s="122">
        <f t="shared" si="38"/>
        <v>20.64</v>
      </c>
      <c r="F484" s="122">
        <f t="shared" si="38"/>
        <v>100.99</v>
      </c>
      <c r="G484" s="122">
        <f t="shared" si="38"/>
        <v>680.47</v>
      </c>
      <c r="H484" s="122">
        <f t="shared" si="38"/>
        <v>30.839999999999996</v>
      </c>
      <c r="I484" s="122">
        <f t="shared" si="38"/>
        <v>0.45499999999999996</v>
      </c>
      <c r="J484" s="122">
        <f t="shared" si="38"/>
        <v>54.709999999999994</v>
      </c>
      <c r="K484" s="122">
        <f t="shared" si="38"/>
        <v>242.59</v>
      </c>
      <c r="L484" s="122">
        <f t="shared" si="38"/>
        <v>303.8</v>
      </c>
      <c r="M484" s="122">
        <f t="shared" si="38"/>
        <v>5.5280000000000005</v>
      </c>
    </row>
    <row r="485" spans="1:13" ht="18.75" x14ac:dyDescent="0.25">
      <c r="A485" s="28"/>
      <c r="B485" s="17" t="s">
        <v>71</v>
      </c>
      <c r="C485" s="16">
        <f t="shared" ref="C485:M485" si="39">C474+C484</f>
        <v>810</v>
      </c>
      <c r="D485" s="123">
        <f t="shared" si="39"/>
        <v>18.768000000000001</v>
      </c>
      <c r="E485" s="123">
        <f t="shared" si="39"/>
        <v>20.64</v>
      </c>
      <c r="F485" s="123">
        <f t="shared" si="39"/>
        <v>100.99</v>
      </c>
      <c r="G485" s="123">
        <f t="shared" si="39"/>
        <v>680.47</v>
      </c>
      <c r="H485" s="123">
        <f t="shared" si="39"/>
        <v>30.839999999999996</v>
      </c>
      <c r="I485" s="123">
        <f t="shared" si="39"/>
        <v>0.45499999999999996</v>
      </c>
      <c r="J485" s="123">
        <f t="shared" si="39"/>
        <v>54.709999999999994</v>
      </c>
      <c r="K485" s="123">
        <f t="shared" si="39"/>
        <v>242.59</v>
      </c>
      <c r="L485" s="123">
        <f t="shared" si="39"/>
        <v>303.8</v>
      </c>
      <c r="M485" s="123">
        <f t="shared" si="39"/>
        <v>5.5280000000000005</v>
      </c>
    </row>
    <row r="486" spans="1:13" ht="15.75" x14ac:dyDescent="0.25">
      <c r="A486" s="18"/>
      <c r="B486" s="19" t="s">
        <v>170</v>
      </c>
      <c r="C486" s="20">
        <v>1200</v>
      </c>
      <c r="D486" s="21">
        <v>45</v>
      </c>
      <c r="E486" s="21">
        <v>46</v>
      </c>
      <c r="F486" s="21">
        <v>192</v>
      </c>
      <c r="G486" s="21">
        <v>1360</v>
      </c>
      <c r="H486" s="21">
        <v>450</v>
      </c>
      <c r="I486" s="21">
        <v>0.7</v>
      </c>
      <c r="J486" s="21">
        <v>35</v>
      </c>
      <c r="K486" s="21">
        <v>600</v>
      </c>
      <c r="L486" s="21">
        <v>600</v>
      </c>
      <c r="M486" s="21">
        <v>9</v>
      </c>
    </row>
    <row r="495" spans="1:13" ht="60" customHeight="1" x14ac:dyDescent="0.25"/>
    <row r="496" spans="1:13" ht="0.6" customHeight="1" x14ac:dyDescent="0.25"/>
    <row r="497" spans="1:13" hidden="1" x14ac:dyDescent="0.25"/>
    <row r="498" spans="1:13" hidden="1" x14ac:dyDescent="0.25"/>
    <row r="499" spans="1:13" x14ac:dyDescent="0.25">
      <c r="A499" s="198" t="s">
        <v>155</v>
      </c>
      <c r="B499" s="199"/>
      <c r="D499" s="32"/>
      <c r="E499" s="32"/>
      <c r="F499" s="32"/>
      <c r="G499" s="32"/>
      <c r="H499" s="32"/>
      <c r="I499" s="32"/>
      <c r="J499" s="32"/>
      <c r="K499" s="32"/>
      <c r="L499" s="32"/>
      <c r="M499" s="32"/>
    </row>
    <row r="500" spans="1:13" x14ac:dyDescent="0.25">
      <c r="A500" s="198" t="s">
        <v>79</v>
      </c>
      <c r="B500" s="199"/>
      <c r="D500" s="32"/>
      <c r="E500" s="32"/>
      <c r="F500" s="32"/>
      <c r="G500" s="32"/>
      <c r="H500" s="32"/>
      <c r="I500" s="32"/>
      <c r="J500" s="32"/>
      <c r="K500" s="32"/>
      <c r="L500" s="32"/>
      <c r="M500" s="32"/>
    </row>
    <row r="501" spans="1:13" ht="15.75" thickBot="1" x14ac:dyDescent="0.3">
      <c r="A501" s="200" t="s">
        <v>168</v>
      </c>
      <c r="B501" s="201"/>
      <c r="D501" s="32"/>
      <c r="E501" s="32"/>
      <c r="F501" s="32"/>
      <c r="G501" s="32"/>
      <c r="H501" s="32"/>
      <c r="I501" s="32"/>
      <c r="J501" s="32"/>
      <c r="K501" s="32"/>
      <c r="L501" s="32"/>
      <c r="M501" s="32"/>
    </row>
    <row r="502" spans="1:13" x14ac:dyDescent="0.25">
      <c r="A502" s="192" t="s">
        <v>49</v>
      </c>
      <c r="B502" s="192" t="s">
        <v>50</v>
      </c>
      <c r="C502" s="192" t="s">
        <v>51</v>
      </c>
      <c r="D502" s="207" t="s">
        <v>52</v>
      </c>
      <c r="E502" s="208"/>
      <c r="F502" s="209"/>
      <c r="G502" s="204" t="s">
        <v>53</v>
      </c>
      <c r="H502" s="207" t="s">
        <v>54</v>
      </c>
      <c r="I502" s="208"/>
      <c r="J502" s="209"/>
      <c r="K502" s="207" t="s">
        <v>55</v>
      </c>
      <c r="L502" s="208"/>
      <c r="M502" s="209"/>
    </row>
    <row r="503" spans="1:13" ht="15.75" thickBot="1" x14ac:dyDescent="0.3">
      <c r="A503" s="202"/>
      <c r="B503" s="193"/>
      <c r="C503" s="193"/>
      <c r="D503" s="210" t="s">
        <v>56</v>
      </c>
      <c r="E503" s="211"/>
      <c r="F503" s="212"/>
      <c r="G503" s="205"/>
      <c r="H503" s="210"/>
      <c r="I503" s="211"/>
      <c r="J503" s="212"/>
      <c r="K503" s="210"/>
      <c r="L503" s="211"/>
      <c r="M503" s="212"/>
    </row>
    <row r="504" spans="1:13" ht="17.25" thickBot="1" x14ac:dyDescent="0.3">
      <c r="A504" s="203"/>
      <c r="B504" s="194"/>
      <c r="C504" s="194"/>
      <c r="D504" s="33" t="s">
        <v>57</v>
      </c>
      <c r="E504" s="33" t="s">
        <v>58</v>
      </c>
      <c r="F504" s="33" t="s">
        <v>59</v>
      </c>
      <c r="G504" s="206"/>
      <c r="H504" s="33" t="s">
        <v>60</v>
      </c>
      <c r="I504" s="33" t="s">
        <v>84</v>
      </c>
      <c r="J504" s="33" t="s">
        <v>62</v>
      </c>
      <c r="K504" s="33" t="s">
        <v>63</v>
      </c>
      <c r="L504" s="33" t="s">
        <v>81</v>
      </c>
      <c r="M504" s="33" t="s">
        <v>64</v>
      </c>
    </row>
    <row r="507" spans="1:13" ht="18.75" x14ac:dyDescent="0.25">
      <c r="A507" s="27"/>
      <c r="B507" s="14" t="s">
        <v>68</v>
      </c>
      <c r="C507" s="11"/>
      <c r="D507" s="20"/>
      <c r="E507" s="20"/>
      <c r="F507" s="20"/>
      <c r="G507" s="20"/>
      <c r="H507" s="20"/>
      <c r="I507" s="20"/>
      <c r="J507" s="20"/>
      <c r="K507" s="20"/>
      <c r="L507" s="20"/>
      <c r="M507" s="20"/>
    </row>
    <row r="508" spans="1:13" x14ac:dyDescent="0.25">
      <c r="A508" s="27">
        <v>67</v>
      </c>
      <c r="B508" s="10" t="s">
        <v>159</v>
      </c>
      <c r="C508" s="49">
        <v>60</v>
      </c>
      <c r="D508" s="20">
        <f>7*C508/1000</f>
        <v>0.42</v>
      </c>
      <c r="E508" s="20">
        <f>1*C508/1000</f>
        <v>0.06</v>
      </c>
      <c r="F508" s="20">
        <f>19*C508/1000</f>
        <v>1.1399999999999999</v>
      </c>
      <c r="G508" s="20">
        <f>120*C508/1000</f>
        <v>7.2</v>
      </c>
      <c r="H508" s="20">
        <f>0</f>
        <v>0</v>
      </c>
      <c r="I508" s="20">
        <f>0.4*C508/1000</f>
        <v>2.4E-2</v>
      </c>
      <c r="J508" s="20">
        <f>49*C508/1000</f>
        <v>2.94</v>
      </c>
      <c r="K508" s="20">
        <f>170*C508/1000</f>
        <v>10.199999999999999</v>
      </c>
      <c r="L508" s="20">
        <f>300*C508/1000</f>
        <v>18</v>
      </c>
      <c r="M508" s="20">
        <f>5*C508/1000</f>
        <v>0.3</v>
      </c>
    </row>
    <row r="509" spans="1:13" x14ac:dyDescent="0.25">
      <c r="A509" s="27">
        <v>102</v>
      </c>
      <c r="B509" s="10" t="s">
        <v>80</v>
      </c>
      <c r="C509" s="49">
        <v>200</v>
      </c>
      <c r="D509" s="20">
        <f>22*C509/1000</f>
        <v>4.4000000000000004</v>
      </c>
      <c r="E509" s="20">
        <f>21.1*C509/1000</f>
        <v>4.22</v>
      </c>
      <c r="F509" s="20">
        <f>66.1*C509/1000</f>
        <v>13.219999999999999</v>
      </c>
      <c r="G509" s="20">
        <f>593*C509/1000</f>
        <v>118.6</v>
      </c>
      <c r="H509" s="20">
        <f>0</f>
        <v>0</v>
      </c>
      <c r="I509" s="20">
        <f>0.9*C509/1000</f>
        <v>0.18</v>
      </c>
      <c r="J509" s="20">
        <f>23.3*C509/1000</f>
        <v>4.66</v>
      </c>
      <c r="K509" s="20">
        <f>170.7*C509/1000</f>
        <v>34.14</v>
      </c>
      <c r="L509" s="20">
        <f>352.4*C509/1000</f>
        <v>70.48</v>
      </c>
      <c r="M509" s="20">
        <f>8.2*C509/1000</f>
        <v>1.6399999999999997</v>
      </c>
    </row>
    <row r="510" spans="1:13" x14ac:dyDescent="0.25">
      <c r="A510" s="27">
        <v>291</v>
      </c>
      <c r="B510" s="10" t="s">
        <v>99</v>
      </c>
      <c r="C510" s="49">
        <v>200</v>
      </c>
      <c r="D510" s="20">
        <f>90.1*C510/1000</f>
        <v>18.02</v>
      </c>
      <c r="E510" s="20">
        <f>44.7*C510/1000</f>
        <v>8.94</v>
      </c>
      <c r="F510" s="20">
        <f>182.3*C510/1000</f>
        <v>36.46</v>
      </c>
      <c r="G510" s="20">
        <f>1493.3*C510/1000</f>
        <v>298.66000000000003</v>
      </c>
      <c r="H510" s="20">
        <f>140*C510/1000</f>
        <v>28</v>
      </c>
      <c r="I510" s="20">
        <f>0.7*C510/1000</f>
        <v>0.14000000000000001</v>
      </c>
      <c r="J510" s="20">
        <f>32.7*C510/1000</f>
        <v>6.5400000000000009</v>
      </c>
      <c r="K510" s="20">
        <f>180.5*C510/1000</f>
        <v>36.1</v>
      </c>
      <c r="L510" s="20">
        <f>946.7*C510/1000</f>
        <v>189.34</v>
      </c>
      <c r="M510" s="20">
        <f>9.3*C510/1000</f>
        <v>1.8600000000000003</v>
      </c>
    </row>
    <row r="511" spans="1:13" x14ac:dyDescent="0.25">
      <c r="A511" s="27">
        <v>379</v>
      </c>
      <c r="B511" s="10" t="s">
        <v>95</v>
      </c>
      <c r="C511" s="49">
        <v>200</v>
      </c>
      <c r="D511" s="31">
        <f>15.8*C511/1000</f>
        <v>3.16</v>
      </c>
      <c r="E511" s="31">
        <f>13.4*C511/1000</f>
        <v>2.68</v>
      </c>
      <c r="F511" s="31">
        <f>79.7*C511/1000</f>
        <v>15.94</v>
      </c>
      <c r="G511" s="31">
        <f>503*C511/1000</f>
        <v>100.6</v>
      </c>
      <c r="H511" s="31">
        <f>100*C511/1000</f>
        <v>20</v>
      </c>
      <c r="I511" s="31">
        <f>0.22*C511/1000</f>
        <v>4.3999999999999997E-2</v>
      </c>
      <c r="J511" s="31">
        <f>6.5*C511/1000</f>
        <v>1.3</v>
      </c>
      <c r="K511" s="31">
        <f>628.9*C511/1000</f>
        <v>125.78</v>
      </c>
      <c r="L511" s="31">
        <f>450*C511/1000</f>
        <v>90</v>
      </c>
      <c r="M511" s="31">
        <f>0.7*C511/1000</f>
        <v>0.14000000000000001</v>
      </c>
    </row>
    <row r="512" spans="1:13" x14ac:dyDescent="0.25">
      <c r="A512" s="9" t="s">
        <v>66</v>
      </c>
      <c r="B512" s="10" t="s">
        <v>33</v>
      </c>
      <c r="C512" s="49">
        <v>30</v>
      </c>
      <c r="D512" s="20">
        <f>107*C512/1000</f>
        <v>3.21</v>
      </c>
      <c r="E512" s="20">
        <f>45*C512/1000</f>
        <v>1.35</v>
      </c>
      <c r="F512" s="20">
        <f>435*C512/1000</f>
        <v>13.05</v>
      </c>
      <c r="G512" s="20">
        <f>2740*C512/1000</f>
        <v>82.2</v>
      </c>
      <c r="H512" s="20">
        <f>0</f>
        <v>0</v>
      </c>
      <c r="I512" s="20">
        <f>4.1*C512/1000</f>
        <v>0.12299999999999998</v>
      </c>
      <c r="J512" s="20">
        <f>2*C512/1000</f>
        <v>0.06</v>
      </c>
      <c r="K512" s="20">
        <f>1250*C512/1000</f>
        <v>37.5</v>
      </c>
      <c r="L512" s="20">
        <f>1290*C512/1000</f>
        <v>38.700000000000003</v>
      </c>
      <c r="M512" s="20">
        <f>36*C512/1000</f>
        <v>1.08</v>
      </c>
    </row>
    <row r="513" spans="1:13" x14ac:dyDescent="0.25">
      <c r="A513" s="15" t="s">
        <v>70</v>
      </c>
      <c r="B513" s="10" t="s">
        <v>3</v>
      </c>
      <c r="C513" s="49">
        <v>20</v>
      </c>
      <c r="D513" s="31">
        <f>85*C513/1000</f>
        <v>1.7</v>
      </c>
      <c r="E513" s="31">
        <f>33*C513/1000</f>
        <v>0.66</v>
      </c>
      <c r="F513" s="31">
        <f>425*C513/1000</f>
        <v>8.5</v>
      </c>
      <c r="G513" s="31">
        <f>2590*C513/1000</f>
        <v>51.8</v>
      </c>
      <c r="H513" s="35">
        <f>0</f>
        <v>0</v>
      </c>
      <c r="I513" s="31">
        <f>4.3*C513/1000</f>
        <v>8.5999999999999993E-2</v>
      </c>
      <c r="J513" s="31">
        <f>4*C513/1000</f>
        <v>0.08</v>
      </c>
      <c r="K513" s="31">
        <f>730*C513/1000</f>
        <v>14.6</v>
      </c>
      <c r="L513" s="31">
        <f>1250*C513/1000</f>
        <v>25</v>
      </c>
      <c r="M513" s="31">
        <f>28.3*C513/1000</f>
        <v>0.56599999999999995</v>
      </c>
    </row>
    <row r="514" spans="1:13" x14ac:dyDescent="0.25">
      <c r="A514" s="27">
        <v>386</v>
      </c>
      <c r="B514" s="10" t="s">
        <v>135</v>
      </c>
      <c r="C514" s="49">
        <v>200</v>
      </c>
      <c r="D514" s="20">
        <f>5*C514/1000</f>
        <v>1</v>
      </c>
      <c r="E514" s="20">
        <f>0</f>
        <v>0</v>
      </c>
      <c r="F514" s="20">
        <f>101*C514/1000</f>
        <v>20.2</v>
      </c>
      <c r="G514" s="20">
        <f>424*C514/1000</f>
        <v>84.8</v>
      </c>
      <c r="H514" s="20">
        <f>0</f>
        <v>0</v>
      </c>
      <c r="I514" s="20">
        <f>0.1*C514/1000</f>
        <v>0.02</v>
      </c>
      <c r="J514" s="20">
        <f>20*C514/1000</f>
        <v>4</v>
      </c>
      <c r="K514" s="20">
        <f>70*C514/1000</f>
        <v>14</v>
      </c>
      <c r="L514" s="20">
        <f>70*C514/1000</f>
        <v>14</v>
      </c>
      <c r="M514" s="20">
        <f>14*C514/1000</f>
        <v>2.8</v>
      </c>
    </row>
    <row r="515" spans="1:13" x14ac:dyDescent="0.25">
      <c r="A515" s="28"/>
      <c r="B515" s="12" t="s">
        <v>67</v>
      </c>
      <c r="C515" s="13">
        <f t="shared" ref="C515:M515" si="40">SUM(C508:C514)</f>
        <v>910</v>
      </c>
      <c r="D515" s="122">
        <f t="shared" si="40"/>
        <v>31.91</v>
      </c>
      <c r="E515" s="122">
        <f t="shared" si="40"/>
        <v>17.91</v>
      </c>
      <c r="F515" s="122">
        <f t="shared" si="40"/>
        <v>108.51</v>
      </c>
      <c r="G515" s="122">
        <f t="shared" si="40"/>
        <v>743.86</v>
      </c>
      <c r="H515" s="122">
        <f t="shared" si="40"/>
        <v>48</v>
      </c>
      <c r="I515" s="122">
        <f t="shared" si="40"/>
        <v>0.61699999999999988</v>
      </c>
      <c r="J515" s="122">
        <f t="shared" si="40"/>
        <v>19.580000000000002</v>
      </c>
      <c r="K515" s="122">
        <f t="shared" si="40"/>
        <v>272.32</v>
      </c>
      <c r="L515" s="122">
        <f t="shared" si="40"/>
        <v>445.52</v>
      </c>
      <c r="M515" s="122">
        <f t="shared" si="40"/>
        <v>8.3859999999999992</v>
      </c>
    </row>
    <row r="516" spans="1:13" ht="18.75" x14ac:dyDescent="0.25">
      <c r="A516" s="28"/>
      <c r="B516" s="17" t="s">
        <v>71</v>
      </c>
      <c r="C516" s="16">
        <f t="shared" ref="C516:M516" si="41">C506+C515</f>
        <v>910</v>
      </c>
      <c r="D516" s="123">
        <f t="shared" si="41"/>
        <v>31.91</v>
      </c>
      <c r="E516" s="123">
        <f t="shared" si="41"/>
        <v>17.91</v>
      </c>
      <c r="F516" s="123">
        <f t="shared" si="41"/>
        <v>108.51</v>
      </c>
      <c r="G516" s="123">
        <f t="shared" si="41"/>
        <v>743.86</v>
      </c>
      <c r="H516" s="123">
        <f t="shared" si="41"/>
        <v>48</v>
      </c>
      <c r="I516" s="123">
        <f t="shared" si="41"/>
        <v>0.61699999999999988</v>
      </c>
      <c r="J516" s="123">
        <f t="shared" si="41"/>
        <v>19.580000000000002</v>
      </c>
      <c r="K516" s="123">
        <f t="shared" si="41"/>
        <v>272.32</v>
      </c>
      <c r="L516" s="123">
        <f t="shared" si="41"/>
        <v>445.52</v>
      </c>
      <c r="M516" s="123">
        <f t="shared" si="41"/>
        <v>8.3859999999999992</v>
      </c>
    </row>
    <row r="517" spans="1:13" ht="15.75" x14ac:dyDescent="0.25">
      <c r="A517" s="18"/>
      <c r="B517" s="19" t="s">
        <v>170</v>
      </c>
      <c r="C517" s="20">
        <v>1200</v>
      </c>
      <c r="D517" s="21">
        <v>45</v>
      </c>
      <c r="E517" s="21">
        <v>46</v>
      </c>
      <c r="F517" s="21">
        <v>192</v>
      </c>
      <c r="G517" s="21">
        <v>1360</v>
      </c>
      <c r="H517" s="21">
        <v>450</v>
      </c>
      <c r="I517" s="21">
        <v>0.7</v>
      </c>
      <c r="J517" s="21">
        <v>35</v>
      </c>
      <c r="K517" s="21">
        <v>600</v>
      </c>
      <c r="L517" s="21">
        <v>600</v>
      </c>
      <c r="M517" s="21">
        <v>9</v>
      </c>
    </row>
    <row r="527" spans="1:13" ht="55.9" customHeight="1" x14ac:dyDescent="0.25"/>
    <row r="528" spans="1:13" hidden="1" x14ac:dyDescent="0.25"/>
    <row r="529" spans="1:13" hidden="1" x14ac:dyDescent="0.25"/>
    <row r="530" spans="1:13" hidden="1" x14ac:dyDescent="0.25"/>
    <row r="531" spans="1:13" x14ac:dyDescent="0.25">
      <c r="A531" s="198" t="s">
        <v>154</v>
      </c>
      <c r="B531" s="199"/>
      <c r="D531" s="32"/>
      <c r="E531" s="32"/>
      <c r="F531" s="32"/>
      <c r="G531" s="32"/>
      <c r="H531" s="32"/>
      <c r="I531" s="32"/>
      <c r="J531" s="32"/>
      <c r="K531" s="32"/>
      <c r="L531" s="32"/>
      <c r="M531" s="32"/>
    </row>
    <row r="532" spans="1:13" x14ac:dyDescent="0.25">
      <c r="A532" s="198" t="s">
        <v>79</v>
      </c>
      <c r="B532" s="199"/>
      <c r="D532" s="32"/>
      <c r="E532" s="32"/>
      <c r="F532" s="32"/>
      <c r="G532" s="32"/>
      <c r="H532" s="32"/>
      <c r="I532" s="32"/>
      <c r="J532" s="32"/>
      <c r="K532" s="32"/>
      <c r="L532" s="32"/>
      <c r="M532" s="32"/>
    </row>
    <row r="533" spans="1:13" ht="15.75" thickBot="1" x14ac:dyDescent="0.3">
      <c r="A533" s="200" t="s">
        <v>165</v>
      </c>
      <c r="B533" s="201"/>
      <c r="D533" s="32"/>
      <c r="E533" s="32"/>
      <c r="F533" s="32"/>
      <c r="G533" s="32"/>
      <c r="H533" s="32"/>
      <c r="I533" s="32"/>
      <c r="J533" s="32"/>
      <c r="K533" s="32"/>
      <c r="L533" s="32"/>
      <c r="M533" s="32"/>
    </row>
    <row r="534" spans="1:13" x14ac:dyDescent="0.25">
      <c r="A534" s="192" t="s">
        <v>49</v>
      </c>
      <c r="B534" s="192" t="s">
        <v>50</v>
      </c>
      <c r="C534" s="192" t="s">
        <v>51</v>
      </c>
      <c r="D534" s="207" t="s">
        <v>52</v>
      </c>
      <c r="E534" s="208"/>
      <c r="F534" s="209"/>
      <c r="G534" s="204" t="s">
        <v>53</v>
      </c>
      <c r="H534" s="207" t="s">
        <v>54</v>
      </c>
      <c r="I534" s="208"/>
      <c r="J534" s="209"/>
      <c r="K534" s="207" t="s">
        <v>55</v>
      </c>
      <c r="L534" s="208"/>
      <c r="M534" s="209"/>
    </row>
    <row r="535" spans="1:13" ht="15.75" thickBot="1" x14ac:dyDescent="0.3">
      <c r="A535" s="202"/>
      <c r="B535" s="193"/>
      <c r="C535" s="193"/>
      <c r="D535" s="210" t="s">
        <v>56</v>
      </c>
      <c r="E535" s="211"/>
      <c r="F535" s="212"/>
      <c r="G535" s="205"/>
      <c r="H535" s="210"/>
      <c r="I535" s="211"/>
      <c r="J535" s="212"/>
      <c r="K535" s="210"/>
      <c r="L535" s="211"/>
      <c r="M535" s="212"/>
    </row>
    <row r="536" spans="1:13" ht="17.25" thickBot="1" x14ac:dyDescent="0.3">
      <c r="A536" s="203"/>
      <c r="B536" s="194"/>
      <c r="C536" s="194"/>
      <c r="D536" s="33" t="s">
        <v>57</v>
      </c>
      <c r="E536" s="33" t="s">
        <v>58</v>
      </c>
      <c r="F536" s="33" t="s">
        <v>59</v>
      </c>
      <c r="G536" s="206"/>
      <c r="H536" s="33" t="s">
        <v>60</v>
      </c>
      <c r="I536" s="33" t="s">
        <v>84</v>
      </c>
      <c r="J536" s="33" t="s">
        <v>62</v>
      </c>
      <c r="K536" s="33" t="s">
        <v>63</v>
      </c>
      <c r="L536" s="33" t="s">
        <v>81</v>
      </c>
      <c r="M536" s="33" t="s">
        <v>64</v>
      </c>
    </row>
    <row r="539" spans="1:13" ht="18.75" x14ac:dyDescent="0.25">
      <c r="A539" s="27"/>
      <c r="B539" s="14" t="s">
        <v>68</v>
      </c>
      <c r="C539" s="11"/>
      <c r="D539" s="20"/>
      <c r="E539" s="20"/>
      <c r="F539" s="20"/>
      <c r="G539" s="20"/>
      <c r="H539" s="20"/>
      <c r="I539" s="20"/>
      <c r="J539" s="20"/>
      <c r="K539" s="20"/>
      <c r="L539" s="20"/>
      <c r="M539" s="20"/>
    </row>
    <row r="540" spans="1:13" x14ac:dyDescent="0.25">
      <c r="A540" s="27">
        <v>67</v>
      </c>
      <c r="B540" s="10" t="s">
        <v>159</v>
      </c>
      <c r="C540" s="49">
        <v>60</v>
      </c>
      <c r="D540" s="20">
        <v>1.4</v>
      </c>
      <c r="E540" s="20">
        <v>10</v>
      </c>
      <c r="F540" s="20">
        <v>7.3</v>
      </c>
      <c r="G540" s="20">
        <v>125.1</v>
      </c>
      <c r="H540" s="20">
        <v>0</v>
      </c>
      <c r="I540" s="20">
        <v>0</v>
      </c>
      <c r="J540" s="20">
        <v>9.6</v>
      </c>
      <c r="K540" s="20">
        <v>31.2</v>
      </c>
      <c r="L540" s="20">
        <v>43.3</v>
      </c>
      <c r="M540" s="20">
        <v>0.8</v>
      </c>
    </row>
    <row r="541" spans="1:13" x14ac:dyDescent="0.25">
      <c r="A541" s="9">
        <v>88</v>
      </c>
      <c r="B541" s="10" t="s">
        <v>69</v>
      </c>
      <c r="C541" s="49">
        <v>200</v>
      </c>
      <c r="D541" s="20">
        <f>7*C541/1000</f>
        <v>1.4</v>
      </c>
      <c r="E541" s="20">
        <f>19.5*C541/1000</f>
        <v>3.9</v>
      </c>
      <c r="F541" s="20">
        <f>23.6*C541/1000</f>
        <v>4.72</v>
      </c>
      <c r="G541" s="20">
        <f>320*C541/1000</f>
        <v>64</v>
      </c>
      <c r="H541" s="20">
        <f>0</f>
        <v>0</v>
      </c>
      <c r="I541" s="20">
        <f>0.2*C541/1000</f>
        <v>0.04</v>
      </c>
      <c r="J541" s="20">
        <f>68.5*C541/1000</f>
        <v>13.7</v>
      </c>
      <c r="K541" s="20">
        <f>202.9*C541/1000</f>
        <v>40.58</v>
      </c>
      <c r="L541" s="20">
        <f>155.4*C541/1000</f>
        <v>31.08</v>
      </c>
      <c r="M541" s="20">
        <f>2.7*C541/1000</f>
        <v>0.54</v>
      </c>
    </row>
    <row r="542" spans="1:13" x14ac:dyDescent="0.25">
      <c r="A542" s="27">
        <v>312</v>
      </c>
      <c r="B542" s="10" t="s">
        <v>150</v>
      </c>
      <c r="C542" s="49">
        <v>200</v>
      </c>
      <c r="D542" s="20">
        <f>20.4*C542/1000</f>
        <v>4.0799999999999992</v>
      </c>
      <c r="E542" s="20">
        <f>32*C542/1000</f>
        <v>6.4</v>
      </c>
      <c r="F542" s="20">
        <f>136.3*C542/1000</f>
        <v>27.260000000000005</v>
      </c>
      <c r="G542" s="20">
        <f>915*C542/1000</f>
        <v>183</v>
      </c>
      <c r="H542" s="20">
        <f>0</f>
        <v>0</v>
      </c>
      <c r="I542" s="20">
        <f>0.9*C542/1000</f>
        <v>0.18</v>
      </c>
      <c r="J542" s="20">
        <f>121.1*C542/1000</f>
        <v>24.22</v>
      </c>
      <c r="K542" s="20">
        <f>246.5*C542/1000</f>
        <v>49.3</v>
      </c>
      <c r="L542" s="20">
        <f>577.3*C542/1000</f>
        <v>115.45999999999998</v>
      </c>
      <c r="M542" s="20">
        <f>6.7*C542/1000</f>
        <v>1.34</v>
      </c>
    </row>
    <row r="543" spans="1:13" x14ac:dyDescent="0.25">
      <c r="A543" s="27">
        <v>234</v>
      </c>
      <c r="B543" s="10" t="s">
        <v>78</v>
      </c>
      <c r="C543" s="49">
        <v>100</v>
      </c>
      <c r="D543" s="20">
        <f>130*C543/1000</f>
        <v>13</v>
      </c>
      <c r="E543" s="20">
        <f>154.6*C543/1000</f>
        <v>15.46</v>
      </c>
      <c r="F543" s="20">
        <f>159.8*C543/1000</f>
        <v>15.980000000000002</v>
      </c>
      <c r="G543" s="20">
        <f>2560*C543/1000</f>
        <v>256</v>
      </c>
      <c r="H543" s="20">
        <f>494*C543/1000</f>
        <v>49.4</v>
      </c>
      <c r="I543" s="20">
        <f>0.8*C543/1000</f>
        <v>0.08</v>
      </c>
      <c r="J543" s="20">
        <f>6.6*C543/1000</f>
        <v>0.66</v>
      </c>
      <c r="K543" s="20">
        <f>742.8*C543/1000</f>
        <v>74.28</v>
      </c>
      <c r="L543" s="20">
        <f>1884.6*C543/1000</f>
        <v>188.46</v>
      </c>
      <c r="M543" s="20">
        <f>14.8*C543/1000</f>
        <v>1.48</v>
      </c>
    </row>
    <row r="544" spans="1:13" x14ac:dyDescent="0.25">
      <c r="A544" s="27">
        <v>14</v>
      </c>
      <c r="B544" s="10" t="s">
        <v>35</v>
      </c>
      <c r="C544" s="49">
        <v>15</v>
      </c>
      <c r="D544" s="31"/>
      <c r="E544" s="31"/>
      <c r="F544" s="31"/>
      <c r="G544" s="31"/>
      <c r="H544" s="31"/>
      <c r="I544" s="31"/>
      <c r="J544" s="31"/>
      <c r="K544" s="31"/>
      <c r="L544" s="31"/>
      <c r="M544" s="31"/>
    </row>
    <row r="545" spans="1:13" x14ac:dyDescent="0.25">
      <c r="A545" s="27">
        <v>382</v>
      </c>
      <c r="B545" s="10" t="s">
        <v>98</v>
      </c>
      <c r="C545" s="49">
        <v>200</v>
      </c>
      <c r="D545" s="31">
        <f>20.4*C545/1000</f>
        <v>4.0799999999999992</v>
      </c>
      <c r="E545" s="31">
        <f>17.7*C545/1000</f>
        <v>3.54</v>
      </c>
      <c r="F545" s="31">
        <f>87.9*C545/1000</f>
        <v>17.579999999999998</v>
      </c>
      <c r="G545" s="31">
        <f>593*C545/1000</f>
        <v>118.6</v>
      </c>
      <c r="H545" s="31">
        <f>122*C545/1000</f>
        <v>24.4</v>
      </c>
      <c r="I545" s="31">
        <f>0.28*C545/1000</f>
        <v>5.6000000000000008E-2</v>
      </c>
      <c r="J545" s="31">
        <f>7.9*C545/1000</f>
        <v>1.58</v>
      </c>
      <c r="K545" s="31">
        <f>761.1*C545/1000</f>
        <v>152.22</v>
      </c>
      <c r="L545" s="31">
        <f>622.8*C545/1000</f>
        <v>124.55999999999999</v>
      </c>
      <c r="M545" s="31">
        <f>2.4*C545/1000</f>
        <v>0.48</v>
      </c>
    </row>
    <row r="546" spans="1:13" x14ac:dyDescent="0.25">
      <c r="A546" s="9" t="s">
        <v>66</v>
      </c>
      <c r="B546" s="10" t="s">
        <v>33</v>
      </c>
      <c r="C546" s="49">
        <v>30</v>
      </c>
      <c r="D546" s="20">
        <f>107*C546/1000</f>
        <v>3.21</v>
      </c>
      <c r="E546" s="20">
        <f>45*C546/1000</f>
        <v>1.35</v>
      </c>
      <c r="F546" s="20">
        <f>435*C546/1000</f>
        <v>13.05</v>
      </c>
      <c r="G546" s="20">
        <f>2740*C546/1000</f>
        <v>82.2</v>
      </c>
      <c r="H546" s="20">
        <f>0</f>
        <v>0</v>
      </c>
      <c r="I546" s="20">
        <f>4.1*C546/1000</f>
        <v>0.12299999999999998</v>
      </c>
      <c r="J546" s="20">
        <f>2*C546/1000</f>
        <v>0.06</v>
      </c>
      <c r="K546" s="20">
        <f>1250*C546/1000</f>
        <v>37.5</v>
      </c>
      <c r="L546" s="20">
        <f>1290*C546/1000</f>
        <v>38.700000000000003</v>
      </c>
      <c r="M546" s="20">
        <f>36*C546/1000</f>
        <v>1.08</v>
      </c>
    </row>
    <row r="547" spans="1:13" x14ac:dyDescent="0.25">
      <c r="A547" s="15" t="s">
        <v>70</v>
      </c>
      <c r="B547" s="10" t="s">
        <v>3</v>
      </c>
      <c r="C547" s="49">
        <v>20</v>
      </c>
      <c r="D547" s="31">
        <f>85*C547/1000</f>
        <v>1.7</v>
      </c>
      <c r="E547" s="31">
        <f>33*C547/1000</f>
        <v>0.66</v>
      </c>
      <c r="F547" s="31">
        <f>425*C547/1000</f>
        <v>8.5</v>
      </c>
      <c r="G547" s="31">
        <f>2590*C547/1000</f>
        <v>51.8</v>
      </c>
      <c r="H547" s="35">
        <f>0</f>
        <v>0</v>
      </c>
      <c r="I547" s="31">
        <f>4.3*C547/1000</f>
        <v>8.5999999999999993E-2</v>
      </c>
      <c r="J547" s="31">
        <f>4*C547/1000</f>
        <v>0.08</v>
      </c>
      <c r="K547" s="31">
        <f>730*C547/1000</f>
        <v>14.6</v>
      </c>
      <c r="L547" s="31">
        <f>1250*C547/1000</f>
        <v>25</v>
      </c>
      <c r="M547" s="31">
        <f>28.3*C547/1000</f>
        <v>0.56599999999999995</v>
      </c>
    </row>
    <row r="548" spans="1:13" x14ac:dyDescent="0.25">
      <c r="A548" s="9">
        <v>338</v>
      </c>
      <c r="B548" s="10" t="s">
        <v>131</v>
      </c>
      <c r="C548" s="49">
        <v>100</v>
      </c>
      <c r="D548" s="20">
        <f>4*C548/1000</f>
        <v>0.4</v>
      </c>
      <c r="E548" s="20">
        <f>4*C548/1000</f>
        <v>0.4</v>
      </c>
      <c r="F548" s="20">
        <f>98*C548/1000</f>
        <v>9.8000000000000007</v>
      </c>
      <c r="G548" s="20">
        <f>470*C548/1000</f>
        <v>47</v>
      </c>
      <c r="H548" s="20">
        <f>0</f>
        <v>0</v>
      </c>
      <c r="I548" s="20">
        <f>0.3*C548/1000</f>
        <v>0.03</v>
      </c>
      <c r="J548" s="20">
        <f>100*C548/1000</f>
        <v>10</v>
      </c>
      <c r="K548" s="20">
        <f>160*C548/1000</f>
        <v>16</v>
      </c>
      <c r="L548" s="20">
        <f>110*C548/1000</f>
        <v>11</v>
      </c>
      <c r="M548" s="20">
        <f>22*C548/1000</f>
        <v>2.2000000000000002</v>
      </c>
    </row>
    <row r="549" spans="1:13" x14ac:dyDescent="0.25">
      <c r="A549" s="28"/>
      <c r="B549" s="12" t="s">
        <v>67</v>
      </c>
      <c r="C549" s="13">
        <f t="shared" ref="C549:M549" si="42">SUM(C540:C548)</f>
        <v>925</v>
      </c>
      <c r="D549" s="122">
        <f t="shared" si="42"/>
        <v>29.269999999999996</v>
      </c>
      <c r="E549" s="122">
        <f t="shared" si="42"/>
        <v>41.71</v>
      </c>
      <c r="F549" s="122">
        <f t="shared" si="42"/>
        <v>104.19</v>
      </c>
      <c r="G549" s="122">
        <f t="shared" si="42"/>
        <v>927.7</v>
      </c>
      <c r="H549" s="122">
        <f t="shared" si="42"/>
        <v>73.8</v>
      </c>
      <c r="I549" s="122">
        <f t="shared" si="42"/>
        <v>0.59499999999999997</v>
      </c>
      <c r="J549" s="122">
        <f t="shared" si="42"/>
        <v>59.899999999999991</v>
      </c>
      <c r="K549" s="122">
        <f t="shared" si="42"/>
        <v>415.68000000000006</v>
      </c>
      <c r="L549" s="122">
        <f t="shared" si="42"/>
        <v>577.55999999999995</v>
      </c>
      <c r="M549" s="122">
        <f t="shared" si="42"/>
        <v>8.4860000000000007</v>
      </c>
    </row>
    <row r="550" spans="1:13" ht="18.75" x14ac:dyDescent="0.25">
      <c r="A550" s="28"/>
      <c r="B550" s="17" t="s">
        <v>71</v>
      </c>
      <c r="C550" s="16">
        <f>C538+C549</f>
        <v>925</v>
      </c>
      <c r="D550" s="123">
        <f t="shared" ref="D550:M550" si="43">D538+D549</f>
        <v>29.269999999999996</v>
      </c>
      <c r="E550" s="123">
        <f t="shared" si="43"/>
        <v>41.71</v>
      </c>
      <c r="F550" s="123">
        <f t="shared" si="43"/>
        <v>104.19</v>
      </c>
      <c r="G550" s="123">
        <f t="shared" si="43"/>
        <v>927.7</v>
      </c>
      <c r="H550" s="123">
        <f t="shared" si="43"/>
        <v>73.8</v>
      </c>
      <c r="I550" s="123">
        <f t="shared" si="43"/>
        <v>0.59499999999999997</v>
      </c>
      <c r="J550" s="123">
        <f t="shared" si="43"/>
        <v>59.899999999999991</v>
      </c>
      <c r="K550" s="123">
        <f t="shared" si="43"/>
        <v>415.68000000000006</v>
      </c>
      <c r="L550" s="123">
        <f t="shared" si="43"/>
        <v>577.55999999999995</v>
      </c>
      <c r="M550" s="123">
        <f t="shared" si="43"/>
        <v>8.4860000000000007</v>
      </c>
    </row>
    <row r="551" spans="1:13" ht="15.75" x14ac:dyDescent="0.25">
      <c r="A551" s="18"/>
      <c r="B551" s="19" t="s">
        <v>170</v>
      </c>
      <c r="C551" s="20">
        <v>1200</v>
      </c>
      <c r="D551" s="21">
        <v>45</v>
      </c>
      <c r="E551" s="21">
        <v>46</v>
      </c>
      <c r="F551" s="21">
        <v>192</v>
      </c>
      <c r="G551" s="21">
        <v>1360</v>
      </c>
      <c r="H551" s="21">
        <v>450</v>
      </c>
      <c r="I551" s="21">
        <v>0.7</v>
      </c>
      <c r="J551" s="21">
        <v>35</v>
      </c>
      <c r="K551" s="21">
        <v>600</v>
      </c>
      <c r="L551" s="21">
        <v>600</v>
      </c>
      <c r="M551" s="21">
        <v>9</v>
      </c>
    </row>
    <row r="559" spans="1:13" ht="9.6" customHeight="1" x14ac:dyDescent="0.25"/>
    <row r="560" spans="1:13" hidden="1" x14ac:dyDescent="0.25"/>
    <row r="561" spans="1:13" hidden="1" x14ac:dyDescent="0.25"/>
    <row r="562" spans="1:13" ht="45.6" customHeight="1" x14ac:dyDescent="0.25"/>
    <row r="563" spans="1:13" x14ac:dyDescent="0.25">
      <c r="A563" s="198" t="s">
        <v>156</v>
      </c>
      <c r="B563" s="199"/>
      <c r="D563" s="32"/>
      <c r="E563" s="32"/>
      <c r="F563" s="32"/>
      <c r="G563" s="32"/>
      <c r="H563" s="32"/>
      <c r="I563" s="32"/>
      <c r="J563" s="32"/>
      <c r="K563" s="32"/>
      <c r="L563" s="32"/>
      <c r="M563" s="32"/>
    </row>
    <row r="564" spans="1:13" x14ac:dyDescent="0.25">
      <c r="A564" s="198" t="s">
        <v>79</v>
      </c>
      <c r="B564" s="199"/>
      <c r="D564" s="32"/>
      <c r="E564" s="32"/>
      <c r="F564" s="32"/>
      <c r="G564" s="32"/>
      <c r="H564" s="32"/>
      <c r="I564" s="32"/>
      <c r="J564" s="32"/>
      <c r="K564" s="32"/>
      <c r="L564" s="32"/>
      <c r="M564" s="32"/>
    </row>
    <row r="565" spans="1:13" ht="15.75" thickBot="1" x14ac:dyDescent="0.3">
      <c r="A565" s="200" t="s">
        <v>165</v>
      </c>
      <c r="B565" s="201"/>
      <c r="D565" s="32"/>
      <c r="E565" s="32"/>
      <c r="F565" s="32"/>
      <c r="G565" s="32"/>
      <c r="H565" s="32"/>
      <c r="I565" s="32"/>
      <c r="J565" s="32"/>
      <c r="K565" s="32"/>
      <c r="L565" s="32"/>
      <c r="M565" s="32"/>
    </row>
    <row r="566" spans="1:13" x14ac:dyDescent="0.25">
      <c r="A566" s="192" t="s">
        <v>49</v>
      </c>
      <c r="B566" s="192" t="s">
        <v>50</v>
      </c>
      <c r="C566" s="192" t="s">
        <v>51</v>
      </c>
      <c r="D566" s="207" t="s">
        <v>52</v>
      </c>
      <c r="E566" s="208"/>
      <c r="F566" s="209"/>
      <c r="G566" s="204" t="s">
        <v>53</v>
      </c>
      <c r="H566" s="207" t="s">
        <v>54</v>
      </c>
      <c r="I566" s="208"/>
      <c r="J566" s="209"/>
      <c r="K566" s="207" t="s">
        <v>55</v>
      </c>
      <c r="L566" s="208"/>
      <c r="M566" s="209"/>
    </row>
    <row r="567" spans="1:13" ht="15.75" thickBot="1" x14ac:dyDescent="0.3">
      <c r="A567" s="202"/>
      <c r="B567" s="193"/>
      <c r="C567" s="193"/>
      <c r="D567" s="210" t="s">
        <v>56</v>
      </c>
      <c r="E567" s="211"/>
      <c r="F567" s="212"/>
      <c r="G567" s="205"/>
      <c r="H567" s="210"/>
      <c r="I567" s="211"/>
      <c r="J567" s="212"/>
      <c r="K567" s="210"/>
      <c r="L567" s="211"/>
      <c r="M567" s="212"/>
    </row>
    <row r="568" spans="1:13" ht="17.25" thickBot="1" x14ac:dyDescent="0.3">
      <c r="A568" s="203"/>
      <c r="B568" s="194"/>
      <c r="C568" s="194"/>
      <c r="D568" s="33" t="s">
        <v>57</v>
      </c>
      <c r="E568" s="33" t="s">
        <v>58</v>
      </c>
      <c r="F568" s="33" t="s">
        <v>59</v>
      </c>
      <c r="G568" s="206"/>
      <c r="H568" s="33" t="s">
        <v>60</v>
      </c>
      <c r="I568" s="33" t="s">
        <v>84</v>
      </c>
      <c r="J568" s="33" t="s">
        <v>62</v>
      </c>
      <c r="K568" s="33" t="s">
        <v>63</v>
      </c>
      <c r="L568" s="33" t="s">
        <v>81</v>
      </c>
      <c r="M568" s="33" t="s">
        <v>64</v>
      </c>
    </row>
    <row r="571" spans="1:13" ht="18.75" x14ac:dyDescent="0.25">
      <c r="A571" s="27"/>
      <c r="B571" s="14" t="s">
        <v>68</v>
      </c>
      <c r="C571" s="11"/>
      <c r="D571" s="20"/>
      <c r="E571" s="20"/>
      <c r="F571" s="20"/>
      <c r="G571" s="20"/>
      <c r="H571" s="20"/>
      <c r="I571" s="20"/>
      <c r="J571" s="20"/>
      <c r="K571" s="20"/>
      <c r="L571" s="20"/>
      <c r="M571" s="20"/>
    </row>
    <row r="572" spans="1:13" x14ac:dyDescent="0.25">
      <c r="A572" s="27">
        <v>62</v>
      </c>
      <c r="B572" s="10" t="s">
        <v>108</v>
      </c>
      <c r="C572" s="49">
        <v>60</v>
      </c>
      <c r="D572" s="20">
        <f>12.3*C572/1000</f>
        <v>0.73799999999999999</v>
      </c>
      <c r="E572" s="20">
        <f>0.9*C572/1000</f>
        <v>5.3999999999999999E-2</v>
      </c>
      <c r="F572" s="20">
        <f>114.8*C572/1000</f>
        <v>6.8879999999999999</v>
      </c>
      <c r="G572" s="20">
        <f>817*C572/1000</f>
        <v>49.02</v>
      </c>
      <c r="H572" s="20">
        <f>0</f>
        <v>0</v>
      </c>
      <c r="I572" s="20">
        <f>0.6*C572/1000</f>
        <v>3.5999999999999997E-2</v>
      </c>
      <c r="J572" s="20">
        <f>33.6*C572/1000</f>
        <v>2.016</v>
      </c>
      <c r="K572" s="20">
        <f>257.6*C572/1000</f>
        <v>15.456000000000001</v>
      </c>
      <c r="L572" s="20">
        <f>527.7*C572/1000</f>
        <v>31.662000000000003</v>
      </c>
      <c r="M572" s="20">
        <f>6.6*C572/1000</f>
        <v>0.39600000000000002</v>
      </c>
    </row>
    <row r="573" spans="1:13" x14ac:dyDescent="0.25">
      <c r="A573" s="27">
        <v>104</v>
      </c>
      <c r="B573" s="10" t="s">
        <v>143</v>
      </c>
      <c r="C573" s="49">
        <v>200</v>
      </c>
      <c r="D573" s="20">
        <f>8.8*C573/1000</f>
        <v>1.7600000000000002</v>
      </c>
      <c r="E573" s="20">
        <f>11.1*C573/1000</f>
        <v>2.2200000000000002</v>
      </c>
      <c r="F573" s="20">
        <f>61.6*C573/1000</f>
        <v>12.32</v>
      </c>
      <c r="G573" s="20">
        <f>424*C573/1000</f>
        <v>84.8</v>
      </c>
      <c r="H573" s="20">
        <f>0</f>
        <v>0</v>
      </c>
      <c r="I573" s="20">
        <f>0.5*C573/1000</f>
        <v>0.1</v>
      </c>
      <c r="J573" s="20">
        <f>44.3*C573/1000</f>
        <v>8.86</v>
      </c>
      <c r="K573" s="20">
        <f>118.8*C573/1000</f>
        <v>23.76</v>
      </c>
      <c r="L573" s="20">
        <f>288.9*C573/1000</f>
        <v>57.779999999999994</v>
      </c>
      <c r="M573" s="20">
        <f>4.6*C573/1000</f>
        <v>0.91999999999999993</v>
      </c>
    </row>
    <row r="574" spans="1:13" x14ac:dyDescent="0.25">
      <c r="A574" s="28">
        <v>204</v>
      </c>
      <c r="B574" s="10" t="s">
        <v>144</v>
      </c>
      <c r="C574" s="49">
        <v>200</v>
      </c>
      <c r="D574" s="130">
        <f>67.7*C574/1000</f>
        <v>13.54</v>
      </c>
      <c r="E574" s="130">
        <f>79.7*C574/1000</f>
        <v>15.94</v>
      </c>
      <c r="F574" s="130">
        <f>170.6*C574/1000</f>
        <v>34.119999999999997</v>
      </c>
      <c r="G574" s="130">
        <f>1123*C574/1000</f>
        <v>224.6</v>
      </c>
      <c r="H574" s="130">
        <f>576*C574/1000</f>
        <v>115.2</v>
      </c>
      <c r="I574" s="130">
        <f>0.4*C574/1000</f>
        <v>0.08</v>
      </c>
      <c r="J574" s="130">
        <f>1.1*C574/1000</f>
        <v>0.22000000000000003</v>
      </c>
      <c r="K574" s="130">
        <f>1476*C574/1000</f>
        <v>295.2</v>
      </c>
      <c r="L574" s="130">
        <f>1010*C574/1000</f>
        <v>202</v>
      </c>
      <c r="M574" s="130">
        <f>6.2*C574/1000</f>
        <v>1.24</v>
      </c>
    </row>
    <row r="575" spans="1:13" x14ac:dyDescent="0.25">
      <c r="A575" s="27">
        <v>386</v>
      </c>
      <c r="B575" s="10" t="s">
        <v>147</v>
      </c>
      <c r="C575" s="49">
        <v>200</v>
      </c>
      <c r="D575" s="20">
        <f>5*C575/1000</f>
        <v>1</v>
      </c>
      <c r="E575" s="20">
        <f>0</f>
        <v>0</v>
      </c>
      <c r="F575" s="20">
        <f>101*C575/1000</f>
        <v>20.2</v>
      </c>
      <c r="G575" s="20">
        <f>424*C575/1000</f>
        <v>84.8</v>
      </c>
      <c r="H575" s="20">
        <f>0</f>
        <v>0</v>
      </c>
      <c r="I575" s="20">
        <f>0.1*C575/1000</f>
        <v>0.02</v>
      </c>
      <c r="J575" s="20">
        <f>20*C575/1000</f>
        <v>4</v>
      </c>
      <c r="K575" s="20">
        <f>70*C575/1000</f>
        <v>14</v>
      </c>
      <c r="L575" s="20">
        <f>70*C575/1000</f>
        <v>14</v>
      </c>
      <c r="M575" s="20">
        <f>14*C575/1000</f>
        <v>2.8</v>
      </c>
    </row>
    <row r="576" spans="1:13" x14ac:dyDescent="0.25">
      <c r="A576" s="9" t="s">
        <v>66</v>
      </c>
      <c r="B576" s="10" t="s">
        <v>33</v>
      </c>
      <c r="C576" s="49">
        <v>30</v>
      </c>
      <c r="D576" s="20">
        <f>107*C576/1000</f>
        <v>3.21</v>
      </c>
      <c r="E576" s="20">
        <f>45*C576/1000</f>
        <v>1.35</v>
      </c>
      <c r="F576" s="20">
        <f>435*C576/1000</f>
        <v>13.05</v>
      </c>
      <c r="G576" s="20">
        <f>2740*C576/1000</f>
        <v>82.2</v>
      </c>
      <c r="H576" s="20">
        <f>0</f>
        <v>0</v>
      </c>
      <c r="I576" s="20">
        <f>4.1*C576/1000</f>
        <v>0.12299999999999998</v>
      </c>
      <c r="J576" s="20">
        <f>2*C576/1000</f>
        <v>0.06</v>
      </c>
      <c r="K576" s="20">
        <f>1250*C576/1000</f>
        <v>37.5</v>
      </c>
      <c r="L576" s="20">
        <f>1290*C576/1000</f>
        <v>38.700000000000003</v>
      </c>
      <c r="M576" s="20">
        <f>36*C576/1000</f>
        <v>1.08</v>
      </c>
    </row>
    <row r="577" spans="1:13" x14ac:dyDescent="0.25">
      <c r="A577" s="15" t="s">
        <v>70</v>
      </c>
      <c r="B577" s="10" t="s">
        <v>3</v>
      </c>
      <c r="C577" s="49">
        <v>20</v>
      </c>
      <c r="D577" s="31">
        <f>85*C577/1000</f>
        <v>1.7</v>
      </c>
      <c r="E577" s="31">
        <f>33*C577/1000</f>
        <v>0.66</v>
      </c>
      <c r="F577" s="31">
        <f>425*C577/1000</f>
        <v>8.5</v>
      </c>
      <c r="G577" s="31">
        <f>2590*C577/1000</f>
        <v>51.8</v>
      </c>
      <c r="H577" s="35">
        <f>0</f>
        <v>0</v>
      </c>
      <c r="I577" s="31">
        <f>4.3*C577/1000</f>
        <v>8.5999999999999993E-2</v>
      </c>
      <c r="J577" s="31">
        <f>4*C577/1000</f>
        <v>0.08</v>
      </c>
      <c r="K577" s="31">
        <f>730*C577/1000</f>
        <v>14.6</v>
      </c>
      <c r="L577" s="31">
        <f>1250*C577/1000</f>
        <v>25</v>
      </c>
      <c r="M577" s="31">
        <f>28.3*C577/1000</f>
        <v>0.56599999999999995</v>
      </c>
    </row>
    <row r="578" spans="1:13" x14ac:dyDescent="0.25">
      <c r="A578" s="27">
        <v>209</v>
      </c>
      <c r="B578" s="10" t="s">
        <v>148</v>
      </c>
      <c r="C578" s="49">
        <v>40</v>
      </c>
      <c r="D578" s="20">
        <f>126*C578/1000</f>
        <v>5.04</v>
      </c>
      <c r="E578" s="20">
        <f>106*C578/1000</f>
        <v>4.24</v>
      </c>
      <c r="F578" s="20">
        <f>11*C578/1000</f>
        <v>0.44</v>
      </c>
      <c r="G578" s="20">
        <f>1550*C578/1000</f>
        <v>62</v>
      </c>
      <c r="H578" s="20">
        <f>1490*C578/1000</f>
        <v>59.6</v>
      </c>
      <c r="I578" s="20">
        <f>0.6*C578/1000</f>
        <v>2.4E-2</v>
      </c>
      <c r="J578" s="20">
        <f>0*C578/1000</f>
        <v>0</v>
      </c>
      <c r="K578" s="20">
        <f>500*C578/1000</f>
        <v>20</v>
      </c>
      <c r="L578" s="20">
        <f>1720*C578/1000</f>
        <v>68.8</v>
      </c>
      <c r="M578" s="20">
        <f>11.9*C578/1000</f>
        <v>0.47599999999999998</v>
      </c>
    </row>
    <row r="579" spans="1:13" x14ac:dyDescent="0.25">
      <c r="A579" s="28"/>
      <c r="B579" s="12" t="s">
        <v>67</v>
      </c>
      <c r="C579" s="13">
        <f t="shared" ref="C579:M579" si="44">SUM(C572:C578)</f>
        <v>750</v>
      </c>
      <c r="D579" s="122">
        <f t="shared" si="44"/>
        <v>26.988</v>
      </c>
      <c r="E579" s="122">
        <f t="shared" si="44"/>
        <v>24.463999999999999</v>
      </c>
      <c r="F579" s="122">
        <f t="shared" si="44"/>
        <v>95.517999999999986</v>
      </c>
      <c r="G579" s="122">
        <f t="shared" si="44"/>
        <v>639.21999999999991</v>
      </c>
      <c r="H579" s="122">
        <f t="shared" si="44"/>
        <v>174.8</v>
      </c>
      <c r="I579" s="122">
        <f t="shared" si="44"/>
        <v>0.46899999999999997</v>
      </c>
      <c r="J579" s="122">
        <f t="shared" si="44"/>
        <v>15.236000000000001</v>
      </c>
      <c r="K579" s="122">
        <f t="shared" si="44"/>
        <v>420.51600000000002</v>
      </c>
      <c r="L579" s="122">
        <f t="shared" si="44"/>
        <v>437.94200000000001</v>
      </c>
      <c r="M579" s="122">
        <f t="shared" si="44"/>
        <v>7.4779999999999998</v>
      </c>
    </row>
    <row r="580" spans="1:13" ht="18.75" x14ac:dyDescent="0.25">
      <c r="A580" s="28"/>
      <c r="B580" s="17" t="s">
        <v>71</v>
      </c>
      <c r="C580" s="16">
        <f t="shared" ref="C580:M580" si="45">C570+C579</f>
        <v>750</v>
      </c>
      <c r="D580" s="123">
        <f t="shared" si="45"/>
        <v>26.988</v>
      </c>
      <c r="E580" s="123">
        <f t="shared" si="45"/>
        <v>24.463999999999999</v>
      </c>
      <c r="F580" s="123">
        <f t="shared" si="45"/>
        <v>95.517999999999986</v>
      </c>
      <c r="G580" s="123">
        <f t="shared" si="45"/>
        <v>639.21999999999991</v>
      </c>
      <c r="H580" s="123">
        <f t="shared" si="45"/>
        <v>174.8</v>
      </c>
      <c r="I580" s="123">
        <f t="shared" si="45"/>
        <v>0.46899999999999997</v>
      </c>
      <c r="J580" s="123">
        <f t="shared" si="45"/>
        <v>15.236000000000001</v>
      </c>
      <c r="K580" s="123">
        <f t="shared" si="45"/>
        <v>420.51600000000002</v>
      </c>
      <c r="L580" s="123">
        <f t="shared" si="45"/>
        <v>437.94200000000001</v>
      </c>
      <c r="M580" s="123">
        <f t="shared" si="45"/>
        <v>7.4779999999999998</v>
      </c>
    </row>
    <row r="581" spans="1:13" ht="15.75" x14ac:dyDescent="0.25">
      <c r="A581" s="18"/>
      <c r="B581" s="19" t="s">
        <v>170</v>
      </c>
      <c r="C581" s="20">
        <v>1200</v>
      </c>
      <c r="D581" s="21">
        <v>45</v>
      </c>
      <c r="E581" s="21">
        <v>46</v>
      </c>
      <c r="F581" s="21">
        <v>192</v>
      </c>
      <c r="G581" s="21">
        <v>1360</v>
      </c>
      <c r="H581" s="21">
        <v>450</v>
      </c>
      <c r="I581" s="21">
        <v>0.7</v>
      </c>
      <c r="J581" s="21">
        <v>35</v>
      </c>
      <c r="K581" s="21">
        <v>600</v>
      </c>
      <c r="L581" s="21">
        <v>600</v>
      </c>
      <c r="M581" s="21">
        <v>9</v>
      </c>
    </row>
    <row r="589" spans="1:13" ht="89.45" customHeight="1" x14ac:dyDescent="0.25"/>
    <row r="590" spans="1:13" hidden="1" x14ac:dyDescent="0.25"/>
    <row r="591" spans="1:13" hidden="1" x14ac:dyDescent="0.25"/>
    <row r="592" spans="1:13" hidden="1" x14ac:dyDescent="0.25"/>
    <row r="593" spans="1:13" hidden="1" x14ac:dyDescent="0.25"/>
    <row r="594" spans="1:13" hidden="1" x14ac:dyDescent="0.25"/>
    <row r="595" spans="1:13" ht="18.75" x14ac:dyDescent="0.25">
      <c r="A595" s="198" t="s">
        <v>77</v>
      </c>
      <c r="B595" s="199"/>
      <c r="D595" s="32"/>
      <c r="E595" s="32"/>
      <c r="F595" s="32"/>
      <c r="G595" s="32"/>
      <c r="H595" s="32"/>
      <c r="I595" s="32"/>
      <c r="J595" s="32"/>
      <c r="K595" s="32"/>
      <c r="L595" s="32"/>
      <c r="M595" s="32"/>
    </row>
    <row r="596" spans="1:13" x14ac:dyDescent="0.25">
      <c r="A596" s="198" t="s">
        <v>79</v>
      </c>
      <c r="B596" s="199"/>
      <c r="D596" s="32"/>
      <c r="E596" s="32"/>
      <c r="F596" s="32"/>
      <c r="G596" s="32"/>
      <c r="H596" s="32"/>
      <c r="I596" s="32"/>
      <c r="J596" s="32"/>
      <c r="K596" s="32"/>
      <c r="L596" s="32"/>
      <c r="M596" s="32"/>
    </row>
    <row r="597" spans="1:13" ht="15.75" thickBot="1" x14ac:dyDescent="0.3">
      <c r="A597" s="200" t="s">
        <v>168</v>
      </c>
      <c r="B597" s="201"/>
      <c r="D597" s="32"/>
      <c r="E597" s="32"/>
      <c r="F597" s="32"/>
      <c r="G597" s="32"/>
      <c r="H597" s="32"/>
      <c r="I597" s="32"/>
      <c r="J597" s="32"/>
      <c r="K597" s="32"/>
      <c r="L597" s="32"/>
      <c r="M597" s="32"/>
    </row>
    <row r="598" spans="1:13" x14ac:dyDescent="0.25">
      <c r="A598" s="192" t="s">
        <v>49</v>
      </c>
      <c r="B598" s="192" t="s">
        <v>50</v>
      </c>
      <c r="C598" s="192" t="s">
        <v>51</v>
      </c>
      <c r="D598" s="207" t="s">
        <v>52</v>
      </c>
      <c r="E598" s="208"/>
      <c r="F598" s="209"/>
      <c r="G598" s="204" t="s">
        <v>53</v>
      </c>
      <c r="H598" s="207" t="s">
        <v>54</v>
      </c>
      <c r="I598" s="208"/>
      <c r="J598" s="209"/>
      <c r="K598" s="207" t="s">
        <v>55</v>
      </c>
      <c r="L598" s="208"/>
      <c r="M598" s="209"/>
    </row>
    <row r="599" spans="1:13" ht="15.75" thickBot="1" x14ac:dyDescent="0.3">
      <c r="A599" s="202"/>
      <c r="B599" s="193"/>
      <c r="C599" s="193"/>
      <c r="D599" s="210" t="s">
        <v>56</v>
      </c>
      <c r="E599" s="211"/>
      <c r="F599" s="212"/>
      <c r="G599" s="205"/>
      <c r="H599" s="210"/>
      <c r="I599" s="211"/>
      <c r="J599" s="212"/>
      <c r="K599" s="210"/>
      <c r="L599" s="211"/>
      <c r="M599" s="212"/>
    </row>
    <row r="600" spans="1:13" ht="17.25" thickBot="1" x14ac:dyDescent="0.3">
      <c r="A600" s="203"/>
      <c r="B600" s="194"/>
      <c r="C600" s="194"/>
      <c r="D600" s="33" t="s">
        <v>57</v>
      </c>
      <c r="E600" s="33" t="s">
        <v>58</v>
      </c>
      <c r="F600" s="33" t="s">
        <v>59</v>
      </c>
      <c r="G600" s="206"/>
      <c r="H600" s="33" t="s">
        <v>60</v>
      </c>
      <c r="I600" s="33" t="s">
        <v>84</v>
      </c>
      <c r="J600" s="33" t="s">
        <v>62</v>
      </c>
      <c r="K600" s="33" t="s">
        <v>63</v>
      </c>
      <c r="L600" s="33" t="s">
        <v>81</v>
      </c>
      <c r="M600" s="33" t="s">
        <v>64</v>
      </c>
    </row>
    <row r="603" spans="1:13" ht="18.75" x14ac:dyDescent="0.25">
      <c r="A603" s="27"/>
      <c r="B603" s="14" t="s">
        <v>68</v>
      </c>
      <c r="C603" s="11"/>
      <c r="D603" s="20"/>
      <c r="E603" s="20"/>
      <c r="F603" s="20"/>
      <c r="G603" s="20"/>
      <c r="H603" s="20"/>
      <c r="I603" s="20"/>
      <c r="J603" s="20"/>
      <c r="K603" s="20"/>
      <c r="L603" s="20"/>
      <c r="M603" s="20"/>
    </row>
    <row r="604" spans="1:13" x14ac:dyDescent="0.25">
      <c r="A604" s="27">
        <v>81</v>
      </c>
      <c r="B604" s="10" t="s">
        <v>72</v>
      </c>
      <c r="C604" s="49">
        <v>200</v>
      </c>
      <c r="D604" s="20">
        <f>6.4*C604/1000</f>
        <v>1.28</v>
      </c>
      <c r="E604" s="20">
        <f>19.4*C604/1000</f>
        <v>3.8799999999999994</v>
      </c>
      <c r="F604" s="20">
        <f>34.3*C604/1000</f>
        <v>6.8599999999999994</v>
      </c>
      <c r="G604" s="20">
        <f>365*C604/1000</f>
        <v>73</v>
      </c>
      <c r="H604" s="20">
        <f>0</f>
        <v>0</v>
      </c>
      <c r="I604" s="20">
        <f>0.1*C604/1000</f>
        <v>0.02</v>
      </c>
      <c r="J604" s="20">
        <f>43.7*C604/1000</f>
        <v>8.74</v>
      </c>
      <c r="K604" s="20">
        <f>210.1*C604/1000</f>
        <v>42.02</v>
      </c>
      <c r="L604" s="20">
        <f>184.4*C604/1000</f>
        <v>36.880000000000003</v>
      </c>
      <c r="M604" s="20">
        <f>4.4*C604/1000</f>
        <v>0.88000000000000012</v>
      </c>
    </row>
    <row r="605" spans="1:13" x14ac:dyDescent="0.25">
      <c r="A605" s="27">
        <v>310</v>
      </c>
      <c r="B605" s="10" t="s">
        <v>145</v>
      </c>
      <c r="C605" s="49">
        <v>200</v>
      </c>
      <c r="D605" s="20">
        <f>19.1*C605/1000</f>
        <v>3.8200000000000003</v>
      </c>
      <c r="E605" s="20">
        <f>28.8*C605/1000</f>
        <v>5.76</v>
      </c>
      <c r="F605" s="20">
        <f>153.4*C605/1000</f>
        <v>30.68</v>
      </c>
      <c r="G605" s="20">
        <f>949*C605/1000</f>
        <v>189.8</v>
      </c>
      <c r="H605" s="20">
        <f>0</f>
        <v>0</v>
      </c>
      <c r="I605" s="20">
        <f>1*C605/1000</f>
        <v>0.2</v>
      </c>
      <c r="J605" s="20">
        <f>140*C605/1000</f>
        <v>28</v>
      </c>
      <c r="K605" s="20">
        <f>97.6*C605/1000</f>
        <v>19.52</v>
      </c>
      <c r="L605" s="20">
        <f>531.5*C605/1000</f>
        <v>106.3</v>
      </c>
      <c r="M605" s="20">
        <f>7.7*C605/1000</f>
        <v>1.54</v>
      </c>
    </row>
    <row r="606" spans="1:13" x14ac:dyDescent="0.25">
      <c r="A606" s="27">
        <v>255</v>
      </c>
      <c r="B606" s="10" t="s">
        <v>133</v>
      </c>
      <c r="C606" s="49">
        <v>100</v>
      </c>
      <c r="D606" s="20">
        <f>132.6*C606/1000</f>
        <v>13.26</v>
      </c>
      <c r="E606" s="20">
        <f>112.3*C606/1000</f>
        <v>11.23</v>
      </c>
      <c r="F606" s="20">
        <f>35.2*C606/1000</f>
        <v>3.5200000000000005</v>
      </c>
      <c r="G606" s="20">
        <f>1850*C606/1000</f>
        <v>185</v>
      </c>
      <c r="H606" s="20">
        <f>57820*C606/1000</f>
        <v>5782</v>
      </c>
      <c r="I606" s="20">
        <f>2*C606/1000</f>
        <v>0.2</v>
      </c>
      <c r="J606" s="20">
        <f>84.2*C606/1000</f>
        <v>8.42</v>
      </c>
      <c r="K606" s="20">
        <f>332.4*C606/1000</f>
        <v>33.24</v>
      </c>
      <c r="L606" s="20">
        <f>2393.2*C606/1000</f>
        <v>239.31999999999996</v>
      </c>
      <c r="M606" s="20">
        <f>50*C606/1000</f>
        <v>5</v>
      </c>
    </row>
    <row r="607" spans="1:13" x14ac:dyDescent="0.25">
      <c r="A607" s="27">
        <v>379</v>
      </c>
      <c r="B607" s="10" t="s">
        <v>95</v>
      </c>
      <c r="C607" s="49">
        <v>200</v>
      </c>
      <c r="D607" s="31">
        <f>15.8*C607/1000</f>
        <v>3.16</v>
      </c>
      <c r="E607" s="31">
        <f>13.4*C607/1000</f>
        <v>2.68</v>
      </c>
      <c r="F607" s="31">
        <f>79.7*C607/1000</f>
        <v>15.94</v>
      </c>
      <c r="G607" s="31">
        <f>503*C607/1000</f>
        <v>100.6</v>
      </c>
      <c r="H607" s="31">
        <f>100*C607/1000</f>
        <v>20</v>
      </c>
      <c r="I607" s="31">
        <f>0.22*C607/1000</f>
        <v>4.3999999999999997E-2</v>
      </c>
      <c r="J607" s="31">
        <f>6.5*C607/1000</f>
        <v>1.3</v>
      </c>
      <c r="K607" s="31">
        <f>628.9*C607/1000</f>
        <v>125.78</v>
      </c>
      <c r="L607" s="31">
        <f>450*C607/1000</f>
        <v>90</v>
      </c>
      <c r="M607" s="31">
        <f>0.7*C607/1000</f>
        <v>0.14000000000000001</v>
      </c>
    </row>
    <row r="608" spans="1:13" x14ac:dyDescent="0.25">
      <c r="A608" s="28">
        <v>14</v>
      </c>
      <c r="B608" s="10" t="s">
        <v>11</v>
      </c>
      <c r="C608" s="49">
        <v>10</v>
      </c>
      <c r="D608" s="31">
        <f>8*C608/1000</f>
        <v>0.08</v>
      </c>
      <c r="E608" s="31">
        <f>725*C608/1000</f>
        <v>7.25</v>
      </c>
      <c r="F608" s="31">
        <f>13*C608/1000</f>
        <v>0.13</v>
      </c>
      <c r="G608" s="31">
        <f>6600*C608/1000</f>
        <v>66</v>
      </c>
      <c r="H608" s="31">
        <f>4000*C608/1000</f>
        <v>40</v>
      </c>
      <c r="I608" s="31">
        <f>0</f>
        <v>0</v>
      </c>
      <c r="J608" s="31">
        <f>0</f>
        <v>0</v>
      </c>
      <c r="K608" s="31">
        <f>240*C608/1000</f>
        <v>2.4</v>
      </c>
      <c r="L608" s="31">
        <f>300*C608/1000</f>
        <v>3</v>
      </c>
      <c r="M608" s="31">
        <f>2*C608/1000</f>
        <v>0.02</v>
      </c>
    </row>
    <row r="609" spans="1:13" x14ac:dyDescent="0.25">
      <c r="A609" s="9" t="s">
        <v>66</v>
      </c>
      <c r="B609" s="10" t="s">
        <v>33</v>
      </c>
      <c r="C609" s="49">
        <v>30</v>
      </c>
      <c r="D609" s="20">
        <f>107*C609/1000</f>
        <v>3.21</v>
      </c>
      <c r="E609" s="20">
        <f>45*C609/1000</f>
        <v>1.35</v>
      </c>
      <c r="F609" s="20">
        <f>435*C609/1000</f>
        <v>13.05</v>
      </c>
      <c r="G609" s="20">
        <f>2740*C609/1000</f>
        <v>82.2</v>
      </c>
      <c r="H609" s="20">
        <f>0</f>
        <v>0</v>
      </c>
      <c r="I609" s="20">
        <f>4.1*C609/1000</f>
        <v>0.12299999999999998</v>
      </c>
      <c r="J609" s="20">
        <f>2*C609/1000</f>
        <v>0.06</v>
      </c>
      <c r="K609" s="20">
        <f>1250*C609/1000</f>
        <v>37.5</v>
      </c>
      <c r="L609" s="20">
        <f>1290*C609/1000</f>
        <v>38.700000000000003</v>
      </c>
      <c r="M609" s="20">
        <f>36*C609/1000</f>
        <v>1.08</v>
      </c>
    </row>
    <row r="610" spans="1:13" x14ac:dyDescent="0.25">
      <c r="A610" s="15" t="s">
        <v>70</v>
      </c>
      <c r="B610" s="10" t="s">
        <v>3</v>
      </c>
      <c r="C610" s="49">
        <v>20</v>
      </c>
      <c r="D610" s="31">
        <f>85*C610/1000</f>
        <v>1.7</v>
      </c>
      <c r="E610" s="31">
        <f>33*C610/1000</f>
        <v>0.66</v>
      </c>
      <c r="F610" s="31">
        <f>425*C610/1000</f>
        <v>8.5</v>
      </c>
      <c r="G610" s="31">
        <f>2590*C610/1000</f>
        <v>51.8</v>
      </c>
      <c r="H610" s="35">
        <f>0</f>
        <v>0</v>
      </c>
      <c r="I610" s="31">
        <f>4.3*C610/1000</f>
        <v>8.5999999999999993E-2</v>
      </c>
      <c r="J610" s="31">
        <f>4*C610/1000</f>
        <v>0.08</v>
      </c>
      <c r="K610" s="31">
        <f>730*C610/1000</f>
        <v>14.6</v>
      </c>
      <c r="L610" s="31">
        <f>1250*C610/1000</f>
        <v>25</v>
      </c>
      <c r="M610" s="31">
        <f>28.3*C610/1000</f>
        <v>0.56599999999999995</v>
      </c>
    </row>
    <row r="611" spans="1:13" x14ac:dyDescent="0.25">
      <c r="A611" s="28"/>
      <c r="B611" s="10" t="s">
        <v>136</v>
      </c>
      <c r="C611" s="49">
        <v>200</v>
      </c>
      <c r="D611" s="20">
        <f>41*C611/1000</f>
        <v>8.1999999999999993</v>
      </c>
      <c r="E611" s="20">
        <f>15*C611/1000</f>
        <v>3</v>
      </c>
      <c r="F611" s="20">
        <f>59*C611/1000</f>
        <v>11.8</v>
      </c>
      <c r="G611" s="20">
        <f>570*C611/1000</f>
        <v>114</v>
      </c>
      <c r="H611" s="20">
        <f>100*C611/1000</f>
        <v>20</v>
      </c>
      <c r="I611" s="20">
        <f>0.3*C611/1000</f>
        <v>0.06</v>
      </c>
      <c r="J611" s="20">
        <f>6*C611/1000</f>
        <v>1.2</v>
      </c>
      <c r="K611" s="20">
        <f>1240*C611/1000</f>
        <v>248</v>
      </c>
      <c r="L611" s="20">
        <f>950*C611/1000</f>
        <v>190</v>
      </c>
      <c r="M611" s="20">
        <f>1*C611/1000</f>
        <v>0.2</v>
      </c>
    </row>
    <row r="612" spans="1:13" x14ac:dyDescent="0.25">
      <c r="A612" s="28"/>
      <c r="B612" s="12" t="s">
        <v>67</v>
      </c>
      <c r="C612" s="13">
        <f t="shared" ref="C612:M612" si="46">SUM(C604:C611)</f>
        <v>960</v>
      </c>
      <c r="D612" s="122">
        <f t="shared" si="46"/>
        <v>34.709999999999994</v>
      </c>
      <c r="E612" s="122">
        <f t="shared" si="46"/>
        <v>35.809999999999995</v>
      </c>
      <c r="F612" s="122">
        <f t="shared" si="46"/>
        <v>90.48</v>
      </c>
      <c r="G612" s="122">
        <f t="shared" si="46"/>
        <v>862.4</v>
      </c>
      <c r="H612" s="122">
        <f t="shared" si="46"/>
        <v>5862</v>
      </c>
      <c r="I612" s="122">
        <f t="shared" si="46"/>
        <v>0.73299999999999987</v>
      </c>
      <c r="J612" s="122">
        <f t="shared" si="46"/>
        <v>47.800000000000004</v>
      </c>
      <c r="K612" s="122">
        <f t="shared" si="46"/>
        <v>523.06000000000006</v>
      </c>
      <c r="L612" s="122">
        <f t="shared" si="46"/>
        <v>729.2</v>
      </c>
      <c r="M612" s="122">
        <f t="shared" si="46"/>
        <v>9.4260000000000002</v>
      </c>
    </row>
    <row r="613" spans="1:13" ht="18.75" x14ac:dyDescent="0.25">
      <c r="A613" s="28"/>
      <c r="B613" s="17" t="s">
        <v>71</v>
      </c>
      <c r="C613" s="16">
        <f t="shared" ref="C613:M613" si="47">C602+C612</f>
        <v>960</v>
      </c>
      <c r="D613" s="123">
        <f t="shared" si="47"/>
        <v>34.709999999999994</v>
      </c>
      <c r="E613" s="123">
        <f t="shared" si="47"/>
        <v>35.809999999999995</v>
      </c>
      <c r="F613" s="123">
        <f t="shared" si="47"/>
        <v>90.48</v>
      </c>
      <c r="G613" s="123">
        <f t="shared" si="47"/>
        <v>862.4</v>
      </c>
      <c r="H613" s="123">
        <f t="shared" si="47"/>
        <v>5862</v>
      </c>
      <c r="I613" s="123">
        <f t="shared" si="47"/>
        <v>0.73299999999999987</v>
      </c>
      <c r="J613" s="123">
        <f t="shared" si="47"/>
        <v>47.800000000000004</v>
      </c>
      <c r="K613" s="123">
        <f t="shared" si="47"/>
        <v>523.06000000000006</v>
      </c>
      <c r="L613" s="123">
        <f t="shared" si="47"/>
        <v>729.2</v>
      </c>
      <c r="M613" s="123">
        <f t="shared" si="47"/>
        <v>9.4260000000000002</v>
      </c>
    </row>
    <row r="614" spans="1:13" ht="15.75" x14ac:dyDescent="0.25">
      <c r="A614" s="18"/>
      <c r="B614" s="19" t="s">
        <v>170</v>
      </c>
      <c r="C614" s="20">
        <v>1200</v>
      </c>
      <c r="D614" s="21">
        <v>45</v>
      </c>
      <c r="E614" s="21">
        <v>46</v>
      </c>
      <c r="F614" s="21">
        <v>192</v>
      </c>
      <c r="G614" s="21">
        <v>1360</v>
      </c>
      <c r="H614" s="21">
        <v>450</v>
      </c>
      <c r="I614" s="21">
        <v>0.7</v>
      </c>
      <c r="J614" s="21">
        <v>35</v>
      </c>
      <c r="K614" s="21">
        <v>600</v>
      </c>
      <c r="L614" s="21">
        <v>600</v>
      </c>
      <c r="M614" s="21">
        <v>9</v>
      </c>
    </row>
    <row r="620" spans="1:13" ht="90.6" customHeight="1" x14ac:dyDescent="0.25"/>
    <row r="621" spans="1:13" ht="114.6" hidden="1" customHeight="1" x14ac:dyDescent="0.25"/>
    <row r="626" spans="1:13" ht="9.6" customHeight="1" x14ac:dyDescent="0.25"/>
    <row r="627" spans="1:13" hidden="1" x14ac:dyDescent="0.25"/>
    <row r="628" spans="1:13" hidden="1" x14ac:dyDescent="0.25"/>
    <row r="629" spans="1:13" hidden="1" x14ac:dyDescent="0.25"/>
    <row r="630" spans="1:13" hidden="1" x14ac:dyDescent="0.25"/>
    <row r="631" spans="1:13" hidden="1" x14ac:dyDescent="0.25"/>
    <row r="632" spans="1:13" hidden="1" x14ac:dyDescent="0.25"/>
    <row r="633" spans="1:13" hidden="1" x14ac:dyDescent="0.25"/>
    <row r="634" spans="1:13" hidden="1" x14ac:dyDescent="0.25"/>
    <row r="635" spans="1:13" ht="90" hidden="1" customHeight="1" x14ac:dyDescent="0.25"/>
    <row r="636" spans="1:13" x14ac:dyDescent="0.25">
      <c r="A636" s="198" t="s">
        <v>153</v>
      </c>
      <c r="B636" s="199"/>
    </row>
    <row r="637" spans="1:13" x14ac:dyDescent="0.25">
      <c r="A637" s="198" t="s">
        <v>48</v>
      </c>
      <c r="B637" s="199"/>
    </row>
    <row r="638" spans="1:13" ht="15.75" thickBot="1" x14ac:dyDescent="0.3">
      <c r="A638" s="200" t="s">
        <v>169</v>
      </c>
      <c r="B638" s="201"/>
    </row>
    <row r="639" spans="1:13" ht="15.75" x14ac:dyDescent="0.25">
      <c r="A639" s="192" t="s">
        <v>49</v>
      </c>
      <c r="B639" s="192" t="s">
        <v>50</v>
      </c>
      <c r="C639" s="192" t="s">
        <v>51</v>
      </c>
      <c r="D639" s="189" t="s">
        <v>52</v>
      </c>
      <c r="E639" s="190"/>
      <c r="F639" s="191"/>
      <c r="G639" s="192" t="s">
        <v>53</v>
      </c>
      <c r="H639" s="189" t="s">
        <v>54</v>
      </c>
      <c r="I639" s="190"/>
      <c r="J639" s="191"/>
      <c r="K639" s="189" t="s">
        <v>55</v>
      </c>
      <c r="L639" s="190"/>
      <c r="M639" s="191"/>
    </row>
    <row r="640" spans="1:13" ht="16.5" thickBot="1" x14ac:dyDescent="0.3">
      <c r="A640" s="202"/>
      <c r="B640" s="193"/>
      <c r="C640" s="193"/>
      <c r="D640" s="195" t="s">
        <v>56</v>
      </c>
      <c r="E640" s="196"/>
      <c r="F640" s="197"/>
      <c r="G640" s="193"/>
      <c r="H640" s="195"/>
      <c r="I640" s="196"/>
      <c r="J640" s="197"/>
      <c r="K640" s="195"/>
      <c r="L640" s="196"/>
      <c r="M640" s="197"/>
    </row>
    <row r="641" spans="1:13" ht="19.5" thickBot="1" x14ac:dyDescent="0.3">
      <c r="A641" s="203"/>
      <c r="B641" s="194"/>
      <c r="C641" s="194"/>
      <c r="D641" s="5" t="s">
        <v>57</v>
      </c>
      <c r="E641" s="5" t="s">
        <v>58</v>
      </c>
      <c r="F641" s="5" t="s">
        <v>59</v>
      </c>
      <c r="G641" s="194"/>
      <c r="H641" s="5" t="s">
        <v>60</v>
      </c>
      <c r="I641" s="5" t="s">
        <v>61</v>
      </c>
      <c r="J641" s="5" t="s">
        <v>62</v>
      </c>
      <c r="K641" s="5" t="s">
        <v>63</v>
      </c>
      <c r="L641" s="5" t="s">
        <v>81</v>
      </c>
      <c r="M641" s="5" t="s">
        <v>64</v>
      </c>
    </row>
    <row r="642" spans="1:13" ht="18.75" x14ac:dyDescent="0.25">
      <c r="A642" s="9"/>
      <c r="B642" s="14" t="s">
        <v>68</v>
      </c>
      <c r="C642" s="11"/>
      <c r="D642" s="20"/>
      <c r="E642" s="20"/>
      <c r="F642" s="20"/>
      <c r="G642" s="20"/>
      <c r="H642" s="20"/>
      <c r="I642" s="20"/>
      <c r="J642" s="20"/>
      <c r="K642" s="20"/>
      <c r="L642" s="20"/>
      <c r="M642" s="20"/>
    </row>
    <row r="643" spans="1:13" x14ac:dyDescent="0.25">
      <c r="A643" s="9">
        <v>70</v>
      </c>
      <c r="B643" s="10" t="s">
        <v>152</v>
      </c>
      <c r="C643" s="49">
        <v>100</v>
      </c>
      <c r="D643" s="20">
        <v>0.8</v>
      </c>
      <c r="E643" s="20">
        <f>1*C643/1000</f>
        <v>0.1</v>
      </c>
      <c r="F643" s="20">
        <v>1.9</v>
      </c>
      <c r="G643" s="20">
        <v>10</v>
      </c>
      <c r="H643" s="20">
        <f>0</f>
        <v>0</v>
      </c>
      <c r="I643" s="20">
        <v>0</v>
      </c>
      <c r="J643" s="20">
        <v>3.5</v>
      </c>
      <c r="K643" s="20">
        <v>23</v>
      </c>
      <c r="L643" s="20">
        <v>24</v>
      </c>
      <c r="M643" s="20">
        <v>0.6</v>
      </c>
    </row>
    <row r="644" spans="1:13" x14ac:dyDescent="0.25">
      <c r="A644" s="9">
        <v>88</v>
      </c>
      <c r="B644" s="10" t="s">
        <v>69</v>
      </c>
      <c r="C644" s="49">
        <v>250</v>
      </c>
      <c r="D644" s="20">
        <f>7*C644/1000</f>
        <v>1.75</v>
      </c>
      <c r="E644" s="20">
        <f>19.5*C644/1000</f>
        <v>4.875</v>
      </c>
      <c r="F644" s="20">
        <f>23.6*C644/1000</f>
        <v>5.9</v>
      </c>
      <c r="G644" s="20">
        <f>320*C644/1000</f>
        <v>80</v>
      </c>
      <c r="H644" s="20">
        <f>0</f>
        <v>0</v>
      </c>
      <c r="I644" s="20">
        <f>0.2*C644/1000</f>
        <v>0.05</v>
      </c>
      <c r="J644" s="20">
        <f>68.5*C644/1000</f>
        <v>17.125</v>
      </c>
      <c r="K644" s="20">
        <f>202.9*C644/1000</f>
        <v>50.725000000000001</v>
      </c>
      <c r="L644" s="20">
        <f>155.4*C644/1000</f>
        <v>38.85</v>
      </c>
      <c r="M644" s="20">
        <f>2.7*C644/1000</f>
        <v>0.67500000000000004</v>
      </c>
    </row>
    <row r="645" spans="1:13" x14ac:dyDescent="0.25">
      <c r="A645" s="27">
        <v>304</v>
      </c>
      <c r="B645" s="10" t="s">
        <v>39</v>
      </c>
      <c r="C645" s="49">
        <v>200</v>
      </c>
      <c r="D645" s="20">
        <f>24.3*C645/1000</f>
        <v>4.8600000000000003</v>
      </c>
      <c r="E645" s="20">
        <f>35.8*C645/1000</f>
        <v>7.1599999999999993</v>
      </c>
      <c r="F645" s="20">
        <f>244.6*C645/1000</f>
        <v>48.92</v>
      </c>
      <c r="G645" s="20">
        <f>1398*C645/1000</f>
        <v>279.60000000000002</v>
      </c>
      <c r="H645" s="20">
        <f>0</f>
        <v>0</v>
      </c>
      <c r="I645" s="20">
        <f>0.2*C645/1000</f>
        <v>0.04</v>
      </c>
      <c r="J645" s="20">
        <f>0</f>
        <v>0</v>
      </c>
      <c r="K645" s="20">
        <f>9.1*C645/1000</f>
        <v>1.82</v>
      </c>
      <c r="L645" s="20">
        <f>406.3*C645/1000</f>
        <v>81.260000000000005</v>
      </c>
      <c r="M645" s="20">
        <f>3.5*C645/1000</f>
        <v>0.7</v>
      </c>
    </row>
    <row r="646" spans="1:13" x14ac:dyDescent="0.25">
      <c r="A646" s="27">
        <v>229</v>
      </c>
      <c r="B646" s="10" t="s">
        <v>73</v>
      </c>
      <c r="C646" s="49">
        <v>140</v>
      </c>
      <c r="D646" s="20">
        <f>97.5*C646/1000</f>
        <v>13.65</v>
      </c>
      <c r="E646" s="20">
        <f>49.5*C646/1000</f>
        <v>6.93</v>
      </c>
      <c r="F646" s="20">
        <f>38*C646/1000</f>
        <v>5.32</v>
      </c>
      <c r="G646" s="20">
        <f>1050*C646/1000</f>
        <v>147</v>
      </c>
      <c r="H646" s="20">
        <f>58.2*C646/1000</f>
        <v>8.1479999999999997</v>
      </c>
      <c r="I646" s="20">
        <f>0.5*C646/1000</f>
        <v>7.0000000000000007E-2</v>
      </c>
      <c r="J646" s="20">
        <f>37.3*C646/1000</f>
        <v>5.2220000000000004</v>
      </c>
      <c r="K646" s="20">
        <f>390.7*C646/1000</f>
        <v>54.698</v>
      </c>
      <c r="L646" s="20">
        <f>1621.9*C646/1000</f>
        <v>227.066</v>
      </c>
      <c r="M646" s="20">
        <f>8.5*C646/1000</f>
        <v>1.19</v>
      </c>
    </row>
    <row r="647" spans="1:13" x14ac:dyDescent="0.25">
      <c r="A647" s="27">
        <v>342</v>
      </c>
      <c r="B647" s="10" t="s">
        <v>74</v>
      </c>
      <c r="C647" s="49">
        <v>200</v>
      </c>
      <c r="D647" s="20">
        <f>0.8*C647/1000</f>
        <v>0.16</v>
      </c>
      <c r="E647" s="20">
        <f>0.8*C647/1000</f>
        <v>0.16</v>
      </c>
      <c r="F647" s="20">
        <f>139.4*C647/1000</f>
        <v>27.88</v>
      </c>
      <c r="G647" s="20">
        <f>573*C647/1000</f>
        <v>114.6</v>
      </c>
      <c r="H647" s="20">
        <f>0</f>
        <v>0</v>
      </c>
      <c r="I647" s="20">
        <f>0.1*C646/1000</f>
        <v>1.4E-2</v>
      </c>
      <c r="J647" s="20">
        <f>5.5*C647/1000</f>
        <v>1.1000000000000001</v>
      </c>
      <c r="K647" s="20">
        <f>70.9*C647/1000</f>
        <v>14.180000000000001</v>
      </c>
      <c r="L647" s="20">
        <f>22*C647/1000</f>
        <v>4.4000000000000004</v>
      </c>
      <c r="M647" s="20">
        <f>4.8*C647/1000</f>
        <v>0.96</v>
      </c>
    </row>
    <row r="648" spans="1:13" x14ac:dyDescent="0.25">
      <c r="A648" s="9" t="s">
        <v>66</v>
      </c>
      <c r="B648" s="10" t="s">
        <v>33</v>
      </c>
      <c r="C648" s="49">
        <v>30</v>
      </c>
      <c r="D648" s="20">
        <f>107*C648/1000</f>
        <v>3.21</v>
      </c>
      <c r="E648" s="20">
        <f>45*C648/1000</f>
        <v>1.35</v>
      </c>
      <c r="F648" s="20">
        <f>435*C648/1000</f>
        <v>13.05</v>
      </c>
      <c r="G648" s="20">
        <f>2740*C648/1000</f>
        <v>82.2</v>
      </c>
      <c r="H648" s="20">
        <f>0</f>
        <v>0</v>
      </c>
      <c r="I648" s="20">
        <f>4.1*C648/1000</f>
        <v>0.12299999999999998</v>
      </c>
      <c r="J648" s="20">
        <f>2*C648/1000</f>
        <v>0.06</v>
      </c>
      <c r="K648" s="20">
        <f>1250*C648/1000</f>
        <v>37.5</v>
      </c>
      <c r="L648" s="20">
        <f>1290*C648/1000</f>
        <v>38.700000000000003</v>
      </c>
      <c r="M648" s="20">
        <f>36*C648/1000</f>
        <v>1.08</v>
      </c>
    </row>
    <row r="649" spans="1:13" x14ac:dyDescent="0.25">
      <c r="A649" s="15" t="s">
        <v>70</v>
      </c>
      <c r="B649" s="10" t="s">
        <v>3</v>
      </c>
      <c r="C649" s="49">
        <v>20</v>
      </c>
      <c r="D649" s="31">
        <f>85*C649/1000</f>
        <v>1.7</v>
      </c>
      <c r="E649" s="31">
        <f>33*C649/1000</f>
        <v>0.66</v>
      </c>
      <c r="F649" s="31">
        <f>425*C649/1000</f>
        <v>8.5</v>
      </c>
      <c r="G649" s="31">
        <f>2590*C649/1000</f>
        <v>51.8</v>
      </c>
      <c r="H649" s="35">
        <f>0</f>
        <v>0</v>
      </c>
      <c r="I649" s="31">
        <f>4.3*C649/1000</f>
        <v>8.5999999999999993E-2</v>
      </c>
      <c r="J649" s="31">
        <f>4*C649/1000</f>
        <v>0.08</v>
      </c>
      <c r="K649" s="31">
        <f>730*C649/1000</f>
        <v>14.6</v>
      </c>
      <c r="L649" s="31">
        <f>1250*C649/1000</f>
        <v>25</v>
      </c>
      <c r="M649" s="31">
        <f>28.3*C649/1000</f>
        <v>0.56599999999999995</v>
      </c>
    </row>
    <row r="650" spans="1:13" x14ac:dyDescent="0.25">
      <c r="A650" s="9"/>
      <c r="B650" s="10" t="s">
        <v>136</v>
      </c>
      <c r="C650" s="49">
        <v>200</v>
      </c>
      <c r="D650" s="20">
        <f>41*C650/1000</f>
        <v>8.1999999999999993</v>
      </c>
      <c r="E650" s="20">
        <f>15*C650/1000</f>
        <v>3</v>
      </c>
      <c r="F650" s="20">
        <f>59*C650/1000</f>
        <v>11.8</v>
      </c>
      <c r="G650" s="20">
        <f>570*C650/1000</f>
        <v>114</v>
      </c>
      <c r="H650" s="20">
        <f>100*C650/1000</f>
        <v>20</v>
      </c>
      <c r="I650" s="20">
        <f>0.3*C650/1000</f>
        <v>0.06</v>
      </c>
      <c r="J650" s="20">
        <f>6*C650/1000</f>
        <v>1.2</v>
      </c>
      <c r="K650" s="20">
        <f>1240*C650/1000</f>
        <v>248</v>
      </c>
      <c r="L650" s="20">
        <f>950*C650/1000</f>
        <v>190</v>
      </c>
      <c r="M650" s="20">
        <f>1*C650/1000</f>
        <v>0.2</v>
      </c>
    </row>
    <row r="651" spans="1:13" x14ac:dyDescent="0.25">
      <c r="A651" s="9"/>
      <c r="B651" s="10"/>
      <c r="C651" s="49"/>
      <c r="D651" s="20"/>
      <c r="E651" s="20"/>
      <c r="F651" s="20"/>
      <c r="G651" s="20"/>
      <c r="H651" s="20"/>
      <c r="I651" s="20"/>
      <c r="J651" s="20"/>
      <c r="K651" s="20"/>
      <c r="L651" s="20"/>
      <c r="M651" s="20"/>
    </row>
    <row r="652" spans="1:13" x14ac:dyDescent="0.25">
      <c r="A652" s="15"/>
      <c r="B652" s="12" t="s">
        <v>67</v>
      </c>
      <c r="C652" s="124">
        <f t="shared" ref="C652:M652" si="48">SUM(C643:C651)</f>
        <v>1140</v>
      </c>
      <c r="D652" s="122">
        <f t="shared" si="48"/>
        <v>34.33</v>
      </c>
      <c r="E652" s="122">
        <f t="shared" si="48"/>
        <v>24.234999999999999</v>
      </c>
      <c r="F652" s="122">
        <f t="shared" si="48"/>
        <v>123.27</v>
      </c>
      <c r="G652" s="122">
        <f t="shared" si="48"/>
        <v>879.2</v>
      </c>
      <c r="H652" s="122">
        <f t="shared" si="48"/>
        <v>28.148</v>
      </c>
      <c r="I652" s="122">
        <f t="shared" si="48"/>
        <v>0.443</v>
      </c>
      <c r="J652" s="122">
        <f t="shared" si="48"/>
        <v>28.286999999999999</v>
      </c>
      <c r="K652" s="122">
        <f t="shared" si="48"/>
        <v>444.52300000000002</v>
      </c>
      <c r="L652" s="122">
        <f t="shared" si="48"/>
        <v>629.27600000000007</v>
      </c>
      <c r="M652" s="122">
        <f t="shared" si="48"/>
        <v>5.9710000000000001</v>
      </c>
    </row>
    <row r="653" spans="1:13" ht="18.75" x14ac:dyDescent="0.25">
      <c r="A653" s="15"/>
      <c r="B653" s="17" t="s">
        <v>71</v>
      </c>
      <c r="C653" s="125">
        <f t="shared" ref="C653:M653" si="49">SUM(C652)</f>
        <v>1140</v>
      </c>
      <c r="D653" s="123">
        <f t="shared" si="49"/>
        <v>34.33</v>
      </c>
      <c r="E653" s="123">
        <f t="shared" si="49"/>
        <v>24.234999999999999</v>
      </c>
      <c r="F653" s="123">
        <f t="shared" si="49"/>
        <v>123.27</v>
      </c>
      <c r="G653" s="123">
        <f t="shared" si="49"/>
        <v>879.2</v>
      </c>
      <c r="H653" s="123">
        <f t="shared" si="49"/>
        <v>28.148</v>
      </c>
      <c r="I653" s="123">
        <f t="shared" si="49"/>
        <v>0.443</v>
      </c>
      <c r="J653" s="123">
        <f t="shared" si="49"/>
        <v>28.286999999999999</v>
      </c>
      <c r="K653" s="123">
        <f t="shared" si="49"/>
        <v>444.52300000000002</v>
      </c>
      <c r="L653" s="123">
        <f t="shared" si="49"/>
        <v>629.27600000000007</v>
      </c>
      <c r="M653" s="123">
        <f t="shared" si="49"/>
        <v>5.9710000000000001</v>
      </c>
    </row>
    <row r="654" spans="1:13" ht="15.75" x14ac:dyDescent="0.25">
      <c r="A654" s="18"/>
      <c r="B654" s="19" t="s">
        <v>170</v>
      </c>
      <c r="C654" s="126">
        <v>1200</v>
      </c>
      <c r="D654" s="21">
        <v>45</v>
      </c>
      <c r="E654" s="21">
        <v>46</v>
      </c>
      <c r="F654" s="21">
        <v>192</v>
      </c>
      <c r="G654" s="21">
        <v>1360</v>
      </c>
      <c r="H654" s="21">
        <v>450</v>
      </c>
      <c r="I654" s="21">
        <v>0.7</v>
      </c>
      <c r="J654" s="21">
        <v>35</v>
      </c>
      <c r="K654" s="21">
        <v>600</v>
      </c>
      <c r="L654" s="21">
        <v>600</v>
      </c>
      <c r="M654" s="21">
        <v>9</v>
      </c>
    </row>
    <row r="655" spans="1:13" ht="15.75" x14ac:dyDescent="0.25">
      <c r="A655" s="22"/>
      <c r="B655" s="23"/>
      <c r="C655" s="24"/>
      <c r="D655" s="25"/>
      <c r="E655" s="25"/>
      <c r="F655" s="25"/>
      <c r="G655" s="25"/>
      <c r="H655" s="25"/>
      <c r="I655" s="26"/>
      <c r="J655" s="25"/>
      <c r="K655" s="25"/>
      <c r="L655" s="25"/>
      <c r="M655" s="25"/>
    </row>
    <row r="656" spans="1:13" ht="15.75" x14ac:dyDescent="0.25">
      <c r="A656" s="22"/>
      <c r="B656" s="23"/>
      <c r="C656" s="24"/>
      <c r="D656" s="25"/>
      <c r="E656" s="25"/>
      <c r="F656" s="25"/>
      <c r="G656" s="25"/>
      <c r="H656" s="25"/>
      <c r="I656" s="26"/>
      <c r="J656" s="25"/>
      <c r="K656" s="25"/>
      <c r="L656" s="25"/>
      <c r="M656" s="25"/>
    </row>
  </sheetData>
  <mergeCells count="224">
    <mergeCell ref="K639:M640"/>
    <mergeCell ref="D640:F640"/>
    <mergeCell ref="A636:B636"/>
    <mergeCell ref="A637:B637"/>
    <mergeCell ref="A638:B638"/>
    <mergeCell ref="A639:A641"/>
    <mergeCell ref="B639:B641"/>
    <mergeCell ref="C639:C641"/>
    <mergeCell ref="D639:F639"/>
    <mergeCell ref="G639:G641"/>
    <mergeCell ref="H639:J640"/>
    <mergeCell ref="K598:M599"/>
    <mergeCell ref="D599:F599"/>
    <mergeCell ref="A595:B595"/>
    <mergeCell ref="A596:B596"/>
    <mergeCell ref="A597:B597"/>
    <mergeCell ref="A598:A600"/>
    <mergeCell ref="B598:B600"/>
    <mergeCell ref="C598:C600"/>
    <mergeCell ref="D598:F598"/>
    <mergeCell ref="G598:G600"/>
    <mergeCell ref="H598:J599"/>
    <mergeCell ref="K534:M535"/>
    <mergeCell ref="D535:F535"/>
    <mergeCell ref="A563:B563"/>
    <mergeCell ref="A564:B564"/>
    <mergeCell ref="A565:B565"/>
    <mergeCell ref="A566:A568"/>
    <mergeCell ref="B566:B568"/>
    <mergeCell ref="C566:C568"/>
    <mergeCell ref="D566:F566"/>
    <mergeCell ref="G566:G568"/>
    <mergeCell ref="H566:J567"/>
    <mergeCell ref="K566:M567"/>
    <mergeCell ref="D567:F567"/>
    <mergeCell ref="A531:B531"/>
    <mergeCell ref="A532:B532"/>
    <mergeCell ref="A533:B533"/>
    <mergeCell ref="A534:A536"/>
    <mergeCell ref="B534:B536"/>
    <mergeCell ref="C534:C536"/>
    <mergeCell ref="D534:F534"/>
    <mergeCell ref="G534:G536"/>
    <mergeCell ref="H534:J535"/>
    <mergeCell ref="K470:M471"/>
    <mergeCell ref="D471:F471"/>
    <mergeCell ref="A499:B499"/>
    <mergeCell ref="A500:B500"/>
    <mergeCell ref="A501:B501"/>
    <mergeCell ref="A502:A504"/>
    <mergeCell ref="B502:B504"/>
    <mergeCell ref="C502:C504"/>
    <mergeCell ref="D502:F502"/>
    <mergeCell ref="G502:G504"/>
    <mergeCell ref="H502:J503"/>
    <mergeCell ref="K502:M503"/>
    <mergeCell ref="D503:F503"/>
    <mergeCell ref="A467:B467"/>
    <mergeCell ref="A468:B468"/>
    <mergeCell ref="A469:B469"/>
    <mergeCell ref="A470:A472"/>
    <mergeCell ref="B470:B472"/>
    <mergeCell ref="C470:C472"/>
    <mergeCell ref="D470:F470"/>
    <mergeCell ref="G470:G472"/>
    <mergeCell ref="H470:J471"/>
    <mergeCell ref="K406:M407"/>
    <mergeCell ref="D407:F407"/>
    <mergeCell ref="A434:B434"/>
    <mergeCell ref="A435:B435"/>
    <mergeCell ref="A436:B436"/>
    <mergeCell ref="A437:A439"/>
    <mergeCell ref="B437:B439"/>
    <mergeCell ref="C437:C439"/>
    <mergeCell ref="D437:F437"/>
    <mergeCell ref="G437:G439"/>
    <mergeCell ref="H437:J438"/>
    <mergeCell ref="K437:M438"/>
    <mergeCell ref="D438:F438"/>
    <mergeCell ref="A403:B403"/>
    <mergeCell ref="A404:B404"/>
    <mergeCell ref="A405:B405"/>
    <mergeCell ref="A406:A408"/>
    <mergeCell ref="B406:B408"/>
    <mergeCell ref="C406:C408"/>
    <mergeCell ref="D406:F406"/>
    <mergeCell ref="G406:G408"/>
    <mergeCell ref="H406:J407"/>
    <mergeCell ref="K373:M374"/>
    <mergeCell ref="D374:F374"/>
    <mergeCell ref="K332:M333"/>
    <mergeCell ref="D333:F333"/>
    <mergeCell ref="A329:B329"/>
    <mergeCell ref="A330:B330"/>
    <mergeCell ref="A331:B331"/>
    <mergeCell ref="A332:A334"/>
    <mergeCell ref="B332:B334"/>
    <mergeCell ref="C332:C334"/>
    <mergeCell ref="D332:F332"/>
    <mergeCell ref="G332:G334"/>
    <mergeCell ref="H332:J333"/>
    <mergeCell ref="A370:B370"/>
    <mergeCell ref="A371:B371"/>
    <mergeCell ref="A372:B372"/>
    <mergeCell ref="A373:A375"/>
    <mergeCell ref="B373:B375"/>
    <mergeCell ref="C373:C375"/>
    <mergeCell ref="D373:F373"/>
    <mergeCell ref="G373:G375"/>
    <mergeCell ref="H373:J374"/>
    <mergeCell ref="B307:M317"/>
    <mergeCell ref="D318:H318"/>
    <mergeCell ref="G303:J303"/>
    <mergeCell ref="H305:J305"/>
    <mergeCell ref="K273:M274"/>
    <mergeCell ref="D274:F274"/>
    <mergeCell ref="A273:A275"/>
    <mergeCell ref="B273:B275"/>
    <mergeCell ref="C273:C275"/>
    <mergeCell ref="D273:F273"/>
    <mergeCell ref="G273:G275"/>
    <mergeCell ref="H273:J274"/>
    <mergeCell ref="H244:J245"/>
    <mergeCell ref="K244:M245"/>
    <mergeCell ref="D245:F245"/>
    <mergeCell ref="A270:B270"/>
    <mergeCell ref="A271:B271"/>
    <mergeCell ref="A272:B272"/>
    <mergeCell ref="K213:M214"/>
    <mergeCell ref="D214:F214"/>
    <mergeCell ref="A241:B241"/>
    <mergeCell ref="A242:B242"/>
    <mergeCell ref="A243:B243"/>
    <mergeCell ref="A244:A246"/>
    <mergeCell ref="B244:B246"/>
    <mergeCell ref="C244:C246"/>
    <mergeCell ref="D244:F244"/>
    <mergeCell ref="G244:G246"/>
    <mergeCell ref="A213:A215"/>
    <mergeCell ref="B213:B215"/>
    <mergeCell ref="C213:C215"/>
    <mergeCell ref="D213:F213"/>
    <mergeCell ref="G213:G215"/>
    <mergeCell ref="H213:J214"/>
    <mergeCell ref="H184:J185"/>
    <mergeCell ref="K184:M185"/>
    <mergeCell ref="D185:F185"/>
    <mergeCell ref="A210:B210"/>
    <mergeCell ref="A211:B211"/>
    <mergeCell ref="A212:B212"/>
    <mergeCell ref="K153:M154"/>
    <mergeCell ref="D154:F154"/>
    <mergeCell ref="A181:B181"/>
    <mergeCell ref="A182:B182"/>
    <mergeCell ref="A183:B183"/>
    <mergeCell ref="A184:A186"/>
    <mergeCell ref="B184:B186"/>
    <mergeCell ref="C184:C186"/>
    <mergeCell ref="D184:F184"/>
    <mergeCell ref="G184:G186"/>
    <mergeCell ref="A153:A155"/>
    <mergeCell ref="B153:B155"/>
    <mergeCell ref="C153:C155"/>
    <mergeCell ref="D153:F153"/>
    <mergeCell ref="G153:G155"/>
    <mergeCell ref="H153:J154"/>
    <mergeCell ref="H123:J124"/>
    <mergeCell ref="K123:M124"/>
    <mergeCell ref="D124:F124"/>
    <mergeCell ref="A150:B150"/>
    <mergeCell ref="A151:B151"/>
    <mergeCell ref="A152:B152"/>
    <mergeCell ref="K92:M93"/>
    <mergeCell ref="D93:F93"/>
    <mergeCell ref="A120:B120"/>
    <mergeCell ref="A121:B121"/>
    <mergeCell ref="A122:B122"/>
    <mergeCell ref="A123:A125"/>
    <mergeCell ref="B123:B125"/>
    <mergeCell ref="C123:C125"/>
    <mergeCell ref="D123:F123"/>
    <mergeCell ref="G123:G125"/>
    <mergeCell ref="A92:A94"/>
    <mergeCell ref="B92:B94"/>
    <mergeCell ref="C92:C94"/>
    <mergeCell ref="D92:F92"/>
    <mergeCell ref="G92:G94"/>
    <mergeCell ref="H92:J93"/>
    <mergeCell ref="H65:J66"/>
    <mergeCell ref="K65:M66"/>
    <mergeCell ref="D66:F66"/>
    <mergeCell ref="A89:B89"/>
    <mergeCell ref="A90:B90"/>
    <mergeCell ref="A91:B91"/>
    <mergeCell ref="A64:B64"/>
    <mergeCell ref="A65:A67"/>
    <mergeCell ref="B65:B67"/>
    <mergeCell ref="C65:C67"/>
    <mergeCell ref="D65:F65"/>
    <mergeCell ref="G65:G67"/>
    <mergeCell ref="G35:G37"/>
    <mergeCell ref="H35:J36"/>
    <mergeCell ref="K35:M36"/>
    <mergeCell ref="D36:F36"/>
    <mergeCell ref="A62:B62"/>
    <mergeCell ref="A63:B63"/>
    <mergeCell ref="A33:B33"/>
    <mergeCell ref="A34:B34"/>
    <mergeCell ref="A35:A37"/>
    <mergeCell ref="B35:B37"/>
    <mergeCell ref="C35:C37"/>
    <mergeCell ref="D35:F35"/>
    <mergeCell ref="D4:F4"/>
    <mergeCell ref="G4:G6"/>
    <mergeCell ref="H4:J5"/>
    <mergeCell ref="K4:M5"/>
    <mergeCell ref="D5:F5"/>
    <mergeCell ref="A32:B32"/>
    <mergeCell ref="A1:B1"/>
    <mergeCell ref="A2:B2"/>
    <mergeCell ref="A3:B3"/>
    <mergeCell ref="A4:A6"/>
    <mergeCell ref="B4:B6"/>
    <mergeCell ref="C4:C6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  <rowBreaks count="1" manualBreakCount="1">
    <brk id="30" max="16383" man="1"/>
  </rowBreaks>
  <ignoredErrors>
    <ignoredError sqref="D97 I128 H20 I19 H7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WhiteSpace="0" view="pageBreakPreview" topLeftCell="A2" zoomScale="80" zoomScaleNormal="70" zoomScaleSheetLayoutView="80" zoomScalePageLayoutView="70" workbookViewId="0">
      <selection activeCell="P16" sqref="P16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3" ht="402" hidden="1" customHeight="1" x14ac:dyDescent="0.25">
      <c r="A1" s="163"/>
      <c r="B1" s="23"/>
      <c r="C1" s="24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5">
      <c r="A2" s="237" t="s">
        <v>155</v>
      </c>
      <c r="B2" s="238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x14ac:dyDescent="0.25">
      <c r="A3" s="237" t="s">
        <v>79</v>
      </c>
      <c r="B3" s="238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5.75" thickBot="1" x14ac:dyDescent="0.3">
      <c r="A4" s="239" t="s">
        <v>168</v>
      </c>
      <c r="B4" s="240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x14ac:dyDescent="0.25">
      <c r="A5" s="192" t="s">
        <v>49</v>
      </c>
      <c r="B5" s="192" t="s">
        <v>50</v>
      </c>
      <c r="C5" s="192" t="s">
        <v>51</v>
      </c>
      <c r="D5" s="207" t="s">
        <v>52</v>
      </c>
      <c r="E5" s="208"/>
      <c r="F5" s="209"/>
      <c r="G5" s="204" t="s">
        <v>53</v>
      </c>
      <c r="H5" s="207" t="s">
        <v>54</v>
      </c>
      <c r="I5" s="208"/>
      <c r="J5" s="209"/>
      <c r="K5" s="207" t="s">
        <v>55</v>
      </c>
      <c r="L5" s="208"/>
      <c r="M5" s="209"/>
    </row>
    <row r="6" spans="1:13" ht="15.75" thickBot="1" x14ac:dyDescent="0.3">
      <c r="A6" s="202"/>
      <c r="B6" s="193"/>
      <c r="C6" s="193"/>
      <c r="D6" s="210" t="s">
        <v>56</v>
      </c>
      <c r="E6" s="211"/>
      <c r="F6" s="212"/>
      <c r="G6" s="205"/>
      <c r="H6" s="210"/>
      <c r="I6" s="211"/>
      <c r="J6" s="212"/>
      <c r="K6" s="210"/>
      <c r="L6" s="211"/>
      <c r="M6" s="212"/>
    </row>
    <row r="7" spans="1:13" ht="17.25" thickBot="1" x14ac:dyDescent="0.3">
      <c r="A7" s="203"/>
      <c r="B7" s="194"/>
      <c r="C7" s="194"/>
      <c r="D7" s="33" t="s">
        <v>57</v>
      </c>
      <c r="E7" s="33" t="s">
        <v>58</v>
      </c>
      <c r="F7" s="33" t="s">
        <v>59</v>
      </c>
      <c r="G7" s="206"/>
      <c r="H7" s="33" t="s">
        <v>60</v>
      </c>
      <c r="I7" s="33" t="s">
        <v>84</v>
      </c>
      <c r="J7" s="33" t="s">
        <v>62</v>
      </c>
      <c r="K7" s="33" t="s">
        <v>63</v>
      </c>
      <c r="L7" s="33" t="s">
        <v>81</v>
      </c>
      <c r="M7" s="33" t="s">
        <v>64</v>
      </c>
    </row>
    <row r="8" spans="1:13" ht="18.75" x14ac:dyDescent="0.25">
      <c r="A8" s="6"/>
      <c r="B8" s="151" t="s">
        <v>65</v>
      </c>
      <c r="C8" s="8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x14ac:dyDescent="0.25">
      <c r="A9" s="152">
        <v>338</v>
      </c>
      <c r="B9" s="148" t="s">
        <v>131</v>
      </c>
      <c r="C9" s="149">
        <v>100</v>
      </c>
      <c r="D9" s="20">
        <f>4*C9/1000</f>
        <v>0.4</v>
      </c>
      <c r="E9" s="20">
        <f>4*C9/1000</f>
        <v>0.4</v>
      </c>
      <c r="F9" s="20">
        <f>98*C9/1000</f>
        <v>9.8000000000000007</v>
      </c>
      <c r="G9" s="20">
        <f>470*C9/1000</f>
        <v>47</v>
      </c>
      <c r="H9" s="20">
        <f>0</f>
        <v>0</v>
      </c>
      <c r="I9" s="20">
        <f>0.3*C9/1000</f>
        <v>0.03</v>
      </c>
      <c r="J9" s="20">
        <f>100*C9/1000</f>
        <v>10</v>
      </c>
      <c r="K9" s="20">
        <f>160*C9/1000</f>
        <v>16</v>
      </c>
      <c r="L9" s="20">
        <f>110*C9/1000</f>
        <v>11</v>
      </c>
      <c r="M9" s="20">
        <f>22*C9/1000</f>
        <v>2.2000000000000002</v>
      </c>
    </row>
    <row r="10" spans="1:13" x14ac:dyDescent="0.25">
      <c r="A10" s="20">
        <v>243</v>
      </c>
      <c r="B10" s="148" t="s">
        <v>142</v>
      </c>
      <c r="C10" s="149">
        <v>200</v>
      </c>
      <c r="D10" s="20">
        <f>16.9*C10/1000</f>
        <v>3.3799999999999994</v>
      </c>
      <c r="E10" s="20">
        <f>109.9*C10/1000</f>
        <v>21.98</v>
      </c>
      <c r="F10" s="20">
        <f>81.9*C10/1000</f>
        <v>16.380000000000003</v>
      </c>
      <c r="G10" s="20">
        <f>1352.4*C10/1000</f>
        <v>270.48</v>
      </c>
      <c r="H10" s="20">
        <f>438.1*C10/1000</f>
        <v>87.62</v>
      </c>
      <c r="I10" s="20">
        <f>0.6*C10/1000</f>
        <v>0.12</v>
      </c>
      <c r="J10" s="20">
        <f>119.1*C10/1000</f>
        <v>23.82</v>
      </c>
      <c r="K10" s="20">
        <f>353.9*C10/1000</f>
        <v>70.78</v>
      </c>
      <c r="L10" s="20">
        <f>428.6*C10/1000</f>
        <v>85.72</v>
      </c>
      <c r="M10" s="20">
        <f>5.7*C10/1000</f>
        <v>1.1399999999999999</v>
      </c>
    </row>
    <row r="11" spans="1:13" x14ac:dyDescent="0.25">
      <c r="A11" s="20">
        <v>385</v>
      </c>
      <c r="B11" s="148" t="s">
        <v>178</v>
      </c>
      <c r="C11" s="149">
        <v>200</v>
      </c>
      <c r="D11" s="150">
        <v>5.8</v>
      </c>
      <c r="E11" s="150">
        <v>5</v>
      </c>
      <c r="F11" s="150">
        <v>9.6</v>
      </c>
      <c r="G11" s="150">
        <v>107</v>
      </c>
      <c r="H11" s="150">
        <v>40</v>
      </c>
      <c r="I11" s="150">
        <v>0.2</v>
      </c>
      <c r="J11" s="150">
        <v>2.6</v>
      </c>
      <c r="K11" s="150">
        <v>20</v>
      </c>
      <c r="L11" s="150">
        <v>0</v>
      </c>
      <c r="M11" s="150">
        <v>0</v>
      </c>
    </row>
    <row r="12" spans="1:13" x14ac:dyDescent="0.25">
      <c r="A12" s="152" t="s">
        <v>66</v>
      </c>
      <c r="B12" s="148" t="s">
        <v>33</v>
      </c>
      <c r="C12" s="149">
        <v>40</v>
      </c>
      <c r="D12" s="20">
        <f>107*C12/1000</f>
        <v>4.28</v>
      </c>
      <c r="E12" s="20">
        <f>45*C12/1000</f>
        <v>1.8</v>
      </c>
      <c r="F12" s="20">
        <f>435*C12/1000</f>
        <v>17.399999999999999</v>
      </c>
      <c r="G12" s="20">
        <f>2740*C12/1000</f>
        <v>109.6</v>
      </c>
      <c r="H12" s="20">
        <f>0</f>
        <v>0</v>
      </c>
      <c r="I12" s="20">
        <f>4.1*C12/1000</f>
        <v>0.16400000000000001</v>
      </c>
      <c r="J12" s="20">
        <f>2*C12/1000</f>
        <v>0.08</v>
      </c>
      <c r="K12" s="20">
        <f>1250*C12/1000</f>
        <v>50</v>
      </c>
      <c r="L12" s="20">
        <f>1290*C12/1000</f>
        <v>51.6</v>
      </c>
      <c r="M12" s="20">
        <f>36*C12/1000</f>
        <v>1.44</v>
      </c>
    </row>
    <row r="13" spans="1:13" x14ac:dyDescent="0.25">
      <c r="A13" s="153" t="s">
        <v>70</v>
      </c>
      <c r="B13" s="148" t="s">
        <v>3</v>
      </c>
      <c r="C13" s="149">
        <v>20</v>
      </c>
      <c r="D13" s="150">
        <f>85*C13/1000</f>
        <v>1.7</v>
      </c>
      <c r="E13" s="150">
        <f>33*C13/1000</f>
        <v>0.66</v>
      </c>
      <c r="F13" s="150">
        <f>425*C13/1000</f>
        <v>8.5</v>
      </c>
      <c r="G13" s="150">
        <f>2590*C13/1000</f>
        <v>51.8</v>
      </c>
      <c r="H13" s="154">
        <f>0</f>
        <v>0</v>
      </c>
      <c r="I13" s="150">
        <f>4.3*C13/1000</f>
        <v>8.5999999999999993E-2</v>
      </c>
      <c r="J13" s="150">
        <f>4*C13/1000</f>
        <v>0.08</v>
      </c>
      <c r="K13" s="150">
        <f>730*C13/1000</f>
        <v>14.6</v>
      </c>
      <c r="L13" s="150">
        <f>1250*C13/1000</f>
        <v>25</v>
      </c>
      <c r="M13" s="150">
        <f>28.3*C13/1000</f>
        <v>0.56599999999999995</v>
      </c>
    </row>
    <row r="14" spans="1:13" x14ac:dyDescent="0.25">
      <c r="A14" s="152"/>
      <c r="B14" s="148"/>
      <c r="C14" s="148"/>
      <c r="D14" s="150"/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x14ac:dyDescent="0.25">
      <c r="A15" s="20"/>
      <c r="B15" s="148"/>
      <c r="C15" s="148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x14ac:dyDescent="0.25">
      <c r="A16" s="20"/>
      <c r="B16" s="155" t="s">
        <v>67</v>
      </c>
      <c r="C16" s="164">
        <f>SUM(C9:C15)</f>
        <v>560</v>
      </c>
      <c r="D16" s="164">
        <f t="shared" ref="D16:M16" si="0">SUM(D9:D15)</f>
        <v>15.559999999999999</v>
      </c>
      <c r="E16" s="164">
        <f t="shared" si="0"/>
        <v>29.84</v>
      </c>
      <c r="F16" s="164">
        <f t="shared" si="0"/>
        <v>61.68</v>
      </c>
      <c r="G16" s="164">
        <f t="shared" si="0"/>
        <v>585.88</v>
      </c>
      <c r="H16" s="164">
        <f t="shared" si="0"/>
        <v>127.62</v>
      </c>
      <c r="I16" s="164">
        <f t="shared" si="0"/>
        <v>0.6</v>
      </c>
      <c r="J16" s="164">
        <f t="shared" si="0"/>
        <v>36.58</v>
      </c>
      <c r="K16" s="164">
        <f t="shared" si="0"/>
        <v>171.38</v>
      </c>
      <c r="L16" s="164">
        <f t="shared" si="0"/>
        <v>173.32</v>
      </c>
      <c r="M16" s="164">
        <f t="shared" si="0"/>
        <v>5.3459999999999992</v>
      </c>
    </row>
    <row r="17" spans="1:13" ht="18.75" x14ac:dyDescent="0.25">
      <c r="A17" s="20"/>
      <c r="B17" s="158" t="s">
        <v>68</v>
      </c>
      <c r="C17" s="11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x14ac:dyDescent="0.25">
      <c r="A18" s="152">
        <v>57</v>
      </c>
      <c r="B18" s="148" t="s">
        <v>181</v>
      </c>
      <c r="C18" s="149">
        <v>60</v>
      </c>
      <c r="D18" s="20">
        <f t="shared" ref="D18" si="1">6.4*C18/1000</f>
        <v>0.38400000000000001</v>
      </c>
      <c r="E18" s="20">
        <f t="shared" ref="E18" si="2">19.4*C18/1000</f>
        <v>1.1639999999999999</v>
      </c>
      <c r="F18" s="20">
        <f t="shared" ref="F18" si="3">34.3*C18/1000</f>
        <v>2.0579999999999998</v>
      </c>
      <c r="G18" s="20">
        <f t="shared" ref="G18" si="4">365*C18/1000</f>
        <v>21.9</v>
      </c>
      <c r="H18" s="20">
        <f>0</f>
        <v>0</v>
      </c>
      <c r="I18" s="20">
        <f t="shared" ref="I18" si="5">0.1*C18/1000</f>
        <v>6.0000000000000001E-3</v>
      </c>
      <c r="J18" s="20">
        <f t="shared" ref="J18" si="6">43.7*C18/1000</f>
        <v>2.6219999999999999</v>
      </c>
      <c r="K18" s="20">
        <f t="shared" ref="K18" si="7">210.1*C18/1000</f>
        <v>12.606</v>
      </c>
      <c r="L18" s="20">
        <f t="shared" ref="L18" si="8">184.4*C18/1000</f>
        <v>11.064</v>
      </c>
      <c r="M18" s="20">
        <f t="shared" ref="M18" si="9">4.4*C18/1000</f>
        <v>0.26400000000000001</v>
      </c>
    </row>
    <row r="19" spans="1:13" x14ac:dyDescent="0.25">
      <c r="A19" s="152">
        <v>88</v>
      </c>
      <c r="B19" s="148" t="s">
        <v>69</v>
      </c>
      <c r="C19" s="149">
        <v>200</v>
      </c>
      <c r="D19" s="20">
        <f>7*C19/1000</f>
        <v>1.4</v>
      </c>
      <c r="E19" s="20">
        <f>19.5*C19/1000</f>
        <v>3.9</v>
      </c>
      <c r="F19" s="20">
        <f>23.6*C19/1000</f>
        <v>4.72</v>
      </c>
      <c r="G19" s="20">
        <f>320*C19/1000</f>
        <v>64</v>
      </c>
      <c r="H19" s="20">
        <f>0</f>
        <v>0</v>
      </c>
      <c r="I19" s="20">
        <f>0.2*C19/1000</f>
        <v>0.04</v>
      </c>
      <c r="J19" s="20">
        <f>68.5*C19/1000</f>
        <v>13.7</v>
      </c>
      <c r="K19" s="20">
        <f>202.9*C19/1000</f>
        <v>40.58</v>
      </c>
      <c r="L19" s="20">
        <f>155.4*C19/1000</f>
        <v>31.08</v>
      </c>
      <c r="M19" s="20">
        <f>2.7*C19/1000</f>
        <v>0.54</v>
      </c>
    </row>
    <row r="20" spans="1:13" x14ac:dyDescent="0.25">
      <c r="A20" s="20">
        <v>260</v>
      </c>
      <c r="B20" s="148" t="s">
        <v>182</v>
      </c>
      <c r="C20" s="149">
        <v>100</v>
      </c>
      <c r="D20" s="20">
        <v>8.3000000000000007</v>
      </c>
      <c r="E20" s="20">
        <v>12.1</v>
      </c>
      <c r="F20" s="20">
        <v>7.2</v>
      </c>
      <c r="G20" s="20">
        <v>172</v>
      </c>
      <c r="H20" s="20">
        <v>27.9</v>
      </c>
      <c r="I20" s="20">
        <v>1.4</v>
      </c>
      <c r="J20" s="20">
        <v>0</v>
      </c>
      <c r="K20" s="20">
        <v>0.1</v>
      </c>
      <c r="L20" s="20">
        <v>0.2</v>
      </c>
      <c r="M20" s="20">
        <v>0</v>
      </c>
    </row>
    <row r="21" spans="1:13" x14ac:dyDescent="0.25">
      <c r="A21" s="20">
        <v>304</v>
      </c>
      <c r="B21" s="148" t="s">
        <v>39</v>
      </c>
      <c r="C21" s="149">
        <v>180</v>
      </c>
      <c r="D21" s="20">
        <f>24.3*C21/1000</f>
        <v>4.3739999999999997</v>
      </c>
      <c r="E21" s="20">
        <f>35.8*C21/1000</f>
        <v>6.4439999999999991</v>
      </c>
      <c r="F21" s="20">
        <f>244.6*C21/1000</f>
        <v>44.027999999999999</v>
      </c>
      <c r="G21" s="20">
        <f>1398*C21/1000</f>
        <v>251.64</v>
      </c>
      <c r="H21" s="20">
        <f>0</f>
        <v>0</v>
      </c>
      <c r="I21" s="20">
        <f>0.2*C21/1000</f>
        <v>3.5999999999999997E-2</v>
      </c>
      <c r="J21" s="20">
        <f>0</f>
        <v>0</v>
      </c>
      <c r="K21" s="20">
        <f>9.1*C21/1000</f>
        <v>1.6379999999999999</v>
      </c>
      <c r="L21" s="20">
        <f>406.3*C21/1000</f>
        <v>73.134</v>
      </c>
      <c r="M21" s="20">
        <f>3.5*C21/1000</f>
        <v>0.63</v>
      </c>
    </row>
    <row r="22" spans="1:13" x14ac:dyDescent="0.25">
      <c r="A22" s="20">
        <v>382</v>
      </c>
      <c r="B22" s="148" t="s">
        <v>98</v>
      </c>
      <c r="C22" s="149">
        <v>200</v>
      </c>
      <c r="D22" s="150">
        <f>20.4*C22/1000</f>
        <v>4.0799999999999992</v>
      </c>
      <c r="E22" s="150">
        <f>17.7*C22/1000</f>
        <v>3.54</v>
      </c>
      <c r="F22" s="150">
        <f>87.9*C22/1000</f>
        <v>17.579999999999998</v>
      </c>
      <c r="G22" s="150">
        <f>593*C22/1000</f>
        <v>118.6</v>
      </c>
      <c r="H22" s="150">
        <f>122*C22/1000</f>
        <v>24.4</v>
      </c>
      <c r="I22" s="150">
        <f>0.28*C22/1000</f>
        <v>5.6000000000000008E-2</v>
      </c>
      <c r="J22" s="150">
        <f>7.9*C22/1000</f>
        <v>1.58</v>
      </c>
      <c r="K22" s="150">
        <f>761.1*C22/1000</f>
        <v>152.22</v>
      </c>
      <c r="L22" s="150">
        <f>622.8*C22/1000</f>
        <v>124.55999999999999</v>
      </c>
      <c r="M22" s="150">
        <f>2.4*C22/1000</f>
        <v>0.48</v>
      </c>
    </row>
    <row r="23" spans="1:13" x14ac:dyDescent="0.25">
      <c r="A23" s="152" t="s">
        <v>66</v>
      </c>
      <c r="B23" s="148" t="s">
        <v>33</v>
      </c>
      <c r="C23" s="149">
        <v>40</v>
      </c>
      <c r="D23" s="20">
        <f>107*C23/1000</f>
        <v>4.28</v>
      </c>
      <c r="E23" s="20">
        <f>45*C23/1000</f>
        <v>1.8</v>
      </c>
      <c r="F23" s="20">
        <f>435*C23/1000</f>
        <v>17.399999999999999</v>
      </c>
      <c r="G23" s="20">
        <f>2740*C23/1000</f>
        <v>109.6</v>
      </c>
      <c r="H23" s="20">
        <f>0</f>
        <v>0</v>
      </c>
      <c r="I23" s="20">
        <f>4.1*C23/1000</f>
        <v>0.16400000000000001</v>
      </c>
      <c r="J23" s="20">
        <f>2*C23/1000</f>
        <v>0.08</v>
      </c>
      <c r="K23" s="20">
        <f>1250*C23/1000</f>
        <v>50</v>
      </c>
      <c r="L23" s="20">
        <f>1290*C23/1000</f>
        <v>51.6</v>
      </c>
      <c r="M23" s="20">
        <f>36*C23/1000</f>
        <v>1.44</v>
      </c>
    </row>
    <row r="24" spans="1:13" x14ac:dyDescent="0.25">
      <c r="A24" s="153" t="s">
        <v>70</v>
      </c>
      <c r="B24" s="148" t="s">
        <v>3</v>
      </c>
      <c r="C24" s="149">
        <v>20</v>
      </c>
      <c r="D24" s="150">
        <f>85*C24/1000</f>
        <v>1.7</v>
      </c>
      <c r="E24" s="150">
        <f>33*C24/1000</f>
        <v>0.66</v>
      </c>
      <c r="F24" s="150">
        <f>425*C24/1000</f>
        <v>8.5</v>
      </c>
      <c r="G24" s="150">
        <f>2590*C24/1000</f>
        <v>51.8</v>
      </c>
      <c r="H24" s="154">
        <f>0</f>
        <v>0</v>
      </c>
      <c r="I24" s="150">
        <f>4.3*C24/1000</f>
        <v>8.5999999999999993E-2</v>
      </c>
      <c r="J24" s="150">
        <f>4*C24/1000</f>
        <v>0.08</v>
      </c>
      <c r="K24" s="150">
        <f>730*C24/1000</f>
        <v>14.6</v>
      </c>
      <c r="L24" s="150">
        <f>1250*C24/1000</f>
        <v>25</v>
      </c>
      <c r="M24" s="150">
        <f>28.3*C24/1000</f>
        <v>0.56599999999999995</v>
      </c>
    </row>
    <row r="25" spans="1:13" x14ac:dyDescent="0.25">
      <c r="A25" s="152"/>
      <c r="B25" s="148"/>
      <c r="C25" s="149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 x14ac:dyDescent="0.25">
      <c r="A26" s="165"/>
      <c r="B26" s="155" t="s">
        <v>67</v>
      </c>
      <c r="C26" s="164">
        <f>SUM(C18:C25)</f>
        <v>800</v>
      </c>
      <c r="D26" s="157">
        <f t="shared" ref="D26:M26" si="10">SUM(D18:D25)</f>
        <v>24.517999999999997</v>
      </c>
      <c r="E26" s="157">
        <f t="shared" si="10"/>
        <v>29.608000000000001</v>
      </c>
      <c r="F26" s="157">
        <f t="shared" si="10"/>
        <v>101.48599999999999</v>
      </c>
      <c r="G26" s="157">
        <f t="shared" si="10"/>
        <v>789.54</v>
      </c>
      <c r="H26" s="157">
        <f t="shared" si="10"/>
        <v>52.3</v>
      </c>
      <c r="I26" s="157">
        <f t="shared" si="10"/>
        <v>1.788</v>
      </c>
      <c r="J26" s="157">
        <f t="shared" si="10"/>
        <v>18.061999999999998</v>
      </c>
      <c r="K26" s="157">
        <f t="shared" si="10"/>
        <v>271.74400000000003</v>
      </c>
      <c r="L26" s="157">
        <f t="shared" si="10"/>
        <v>316.63800000000003</v>
      </c>
      <c r="M26" s="157">
        <f t="shared" si="10"/>
        <v>3.92</v>
      </c>
    </row>
    <row r="27" spans="1:13" ht="18.75" x14ac:dyDescent="0.25">
      <c r="A27" s="165"/>
      <c r="B27" s="159" t="s">
        <v>71</v>
      </c>
      <c r="C27" s="166">
        <f t="shared" ref="C27:M27" si="11">C16+C26</f>
        <v>1360</v>
      </c>
      <c r="D27" s="161">
        <f t="shared" si="11"/>
        <v>40.077999999999996</v>
      </c>
      <c r="E27" s="161">
        <f t="shared" si="11"/>
        <v>59.448</v>
      </c>
      <c r="F27" s="161">
        <f t="shared" si="11"/>
        <v>163.166</v>
      </c>
      <c r="G27" s="161">
        <f t="shared" si="11"/>
        <v>1375.42</v>
      </c>
      <c r="H27" s="161">
        <f t="shared" si="11"/>
        <v>179.92000000000002</v>
      </c>
      <c r="I27" s="161">
        <f t="shared" si="11"/>
        <v>2.3879999999999999</v>
      </c>
      <c r="J27" s="161">
        <f t="shared" si="11"/>
        <v>54.641999999999996</v>
      </c>
      <c r="K27" s="161">
        <f t="shared" si="11"/>
        <v>443.12400000000002</v>
      </c>
      <c r="L27" s="161">
        <f t="shared" si="11"/>
        <v>489.95800000000003</v>
      </c>
      <c r="M27" s="161">
        <f t="shared" si="11"/>
        <v>9.2659999999999982</v>
      </c>
    </row>
    <row r="28" spans="1:13" ht="18" customHeight="1" x14ac:dyDescent="0.25">
      <c r="A28" s="162"/>
      <c r="B28" s="19" t="s">
        <v>170</v>
      </c>
      <c r="C28" s="20">
        <v>1200</v>
      </c>
      <c r="D28" s="21">
        <v>45</v>
      </c>
      <c r="E28" s="21">
        <v>46</v>
      </c>
      <c r="F28" s="21">
        <v>192</v>
      </c>
      <c r="G28" s="21">
        <v>1360</v>
      </c>
      <c r="H28" s="21">
        <v>450</v>
      </c>
      <c r="I28" s="21">
        <v>0.7</v>
      </c>
      <c r="J28" s="21">
        <v>35</v>
      </c>
      <c r="K28" s="21">
        <v>600</v>
      </c>
      <c r="L28" s="21">
        <v>600</v>
      </c>
      <c r="M28" s="21">
        <v>9</v>
      </c>
    </row>
    <row r="29" spans="1:13" ht="18" customHeight="1" x14ac:dyDescent="0.25">
      <c r="A29" s="163"/>
      <c r="B29" s="23"/>
      <c r="C29" s="24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5.45" customHeight="1" x14ac:dyDescent="0.25">
      <c r="A30" s="163"/>
      <c r="B30" s="23"/>
      <c r="C30" s="24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ht="18" hidden="1" customHeight="1" x14ac:dyDescent="0.25">
      <c r="A31" s="163"/>
      <c r="B31" s="23"/>
      <c r="C31" s="24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ht="22.15" hidden="1" customHeight="1" x14ac:dyDescent="0.25">
      <c r="A32" s="163"/>
      <c r="B32" s="23"/>
      <c r="C32" s="24"/>
      <c r="D32" s="26"/>
      <c r="E32" s="26"/>
      <c r="F32" s="26"/>
      <c r="G32" s="26"/>
      <c r="H32" s="26"/>
      <c r="I32" s="26"/>
      <c r="J32" s="26"/>
      <c r="K32" s="26"/>
      <c r="L32" s="26"/>
      <c r="M32" s="26"/>
    </row>
  </sheetData>
  <mergeCells count="11">
    <mergeCell ref="A2:B2"/>
    <mergeCell ref="A3:B3"/>
    <mergeCell ref="A4:B4"/>
    <mergeCell ref="K5:M6"/>
    <mergeCell ref="D6:F6"/>
    <mergeCell ref="A5:A7"/>
    <mergeCell ref="B5:B7"/>
    <mergeCell ref="C5:C7"/>
    <mergeCell ref="D5:F5"/>
    <mergeCell ref="G5:G7"/>
    <mergeCell ref="H5:J6"/>
  </mergeCells>
  <pageMargins left="0.7" right="0.7" top="0.75" bottom="0.75" header="0.3" footer="0.3"/>
  <pageSetup paperSize="9" scale="87" fitToWidth="0" orientation="landscape" r:id="rId1"/>
  <rowBreaks count="1" manualBreakCount="1">
    <brk id="30" max="12" man="1"/>
  </rowBreaks>
  <colBreaks count="1" manualBreakCount="1">
    <brk id="1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WhiteSpace="0" view="pageBreakPreview" topLeftCell="A4" zoomScale="80" zoomScaleNormal="70" zoomScaleSheetLayoutView="80" zoomScalePageLayoutView="70" workbookViewId="0">
      <selection activeCell="R21" sqref="R21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3" ht="18" hidden="1" customHeight="1" x14ac:dyDescent="0.25">
      <c r="A1" s="163"/>
      <c r="B1" s="23"/>
      <c r="C1" s="24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hidden="1" customHeight="1" x14ac:dyDescent="0.25">
      <c r="A2" s="163"/>
      <c r="B2" s="23"/>
      <c r="C2" s="24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2.15" hidden="1" customHeight="1" x14ac:dyDescent="0.25"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x14ac:dyDescent="0.25">
      <c r="A4" s="237" t="s">
        <v>154</v>
      </c>
      <c r="B4" s="238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x14ac:dyDescent="0.25">
      <c r="A5" s="237" t="s">
        <v>79</v>
      </c>
      <c r="B5" s="238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5.75" thickBot="1" x14ac:dyDescent="0.3">
      <c r="A6" s="239" t="s">
        <v>165</v>
      </c>
      <c r="B6" s="240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192" t="s">
        <v>49</v>
      </c>
      <c r="B7" s="192" t="s">
        <v>50</v>
      </c>
      <c r="C7" s="192" t="s">
        <v>51</v>
      </c>
      <c r="D7" s="207" t="s">
        <v>52</v>
      </c>
      <c r="E7" s="208"/>
      <c r="F7" s="209"/>
      <c r="G7" s="204" t="s">
        <v>53</v>
      </c>
      <c r="H7" s="207" t="s">
        <v>54</v>
      </c>
      <c r="I7" s="208"/>
      <c r="J7" s="209"/>
      <c r="K7" s="207" t="s">
        <v>55</v>
      </c>
      <c r="L7" s="208"/>
      <c r="M7" s="209"/>
    </row>
    <row r="8" spans="1:13" ht="15.75" thickBot="1" x14ac:dyDescent="0.3">
      <c r="A8" s="202"/>
      <c r="B8" s="193"/>
      <c r="C8" s="193"/>
      <c r="D8" s="210" t="s">
        <v>56</v>
      </c>
      <c r="E8" s="211"/>
      <c r="F8" s="212"/>
      <c r="G8" s="205"/>
      <c r="H8" s="210"/>
      <c r="I8" s="211"/>
      <c r="J8" s="212"/>
      <c r="K8" s="210"/>
      <c r="L8" s="211"/>
      <c r="M8" s="212"/>
    </row>
    <row r="9" spans="1:13" ht="17.25" thickBot="1" x14ac:dyDescent="0.3">
      <c r="A9" s="203"/>
      <c r="B9" s="194"/>
      <c r="C9" s="194"/>
      <c r="D9" s="33" t="s">
        <v>57</v>
      </c>
      <c r="E9" s="33" t="s">
        <v>58</v>
      </c>
      <c r="F9" s="33" t="s">
        <v>59</v>
      </c>
      <c r="G9" s="206"/>
      <c r="H9" s="33" t="s">
        <v>60</v>
      </c>
      <c r="I9" s="33" t="s">
        <v>84</v>
      </c>
      <c r="J9" s="33" t="s">
        <v>62</v>
      </c>
      <c r="K9" s="33" t="s">
        <v>63</v>
      </c>
      <c r="L9" s="33" t="s">
        <v>81</v>
      </c>
      <c r="M9" s="33" t="s">
        <v>64</v>
      </c>
    </row>
    <row r="10" spans="1:13" ht="18.75" x14ac:dyDescent="0.25">
      <c r="A10" s="6"/>
      <c r="B10" s="151" t="s">
        <v>65</v>
      </c>
      <c r="C10" s="8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x14ac:dyDescent="0.25">
      <c r="A11" s="20">
        <v>219</v>
      </c>
      <c r="B11" s="148" t="s">
        <v>162</v>
      </c>
      <c r="C11" s="149">
        <v>155</v>
      </c>
      <c r="D11" s="20">
        <f>148.3*C11/1000</f>
        <v>22.986499999999999</v>
      </c>
      <c r="E11" s="20">
        <f>70.4*C11/1000</f>
        <v>10.912000000000001</v>
      </c>
      <c r="F11" s="20">
        <f>237.4*C11/1000</f>
        <v>36.796999999999997</v>
      </c>
      <c r="G11" s="20">
        <f>2180*C11/1000</f>
        <v>337.9</v>
      </c>
      <c r="H11" s="20">
        <f>501*C11/1000</f>
        <v>77.655000000000001</v>
      </c>
      <c r="I11" s="20">
        <f>0.4*C11/1000</f>
        <v>6.2E-2</v>
      </c>
      <c r="J11" s="20">
        <f>1.9*C11/1000</f>
        <v>0.29449999999999998</v>
      </c>
      <c r="K11" s="20">
        <f>974.1*C11/1000</f>
        <v>150.9855</v>
      </c>
      <c r="L11" s="20">
        <f>1400*C11/1000</f>
        <v>217</v>
      </c>
      <c r="M11" s="20">
        <f>4*C11/1000</f>
        <v>0.62</v>
      </c>
    </row>
    <row r="12" spans="1:13" x14ac:dyDescent="0.25">
      <c r="A12" s="20">
        <v>376</v>
      </c>
      <c r="B12" s="148" t="s">
        <v>179</v>
      </c>
      <c r="C12" s="149">
        <v>207</v>
      </c>
      <c r="D12" s="20">
        <f>0.35*C12/1000</f>
        <v>7.2449999999999987E-2</v>
      </c>
      <c r="E12" s="20">
        <f>0.1*C12/1000</f>
        <v>2.0700000000000003E-2</v>
      </c>
      <c r="F12" s="20">
        <f>75*C12/1000</f>
        <v>15.525</v>
      </c>
      <c r="G12" s="20">
        <f>300*C12/1000</f>
        <v>62.1</v>
      </c>
      <c r="H12" s="20">
        <f>0*C12/1000</f>
        <v>0</v>
      </c>
      <c r="I12" s="20">
        <f>0</f>
        <v>0</v>
      </c>
      <c r="J12" s="20">
        <f>0.2*C12/1000</f>
        <v>4.1400000000000006E-2</v>
      </c>
      <c r="K12" s="20">
        <f>55.5*C12/1000</f>
        <v>11.4885</v>
      </c>
      <c r="L12" s="20">
        <f>14*C12/1000</f>
        <v>2.8980000000000001</v>
      </c>
      <c r="M12" s="20">
        <f>1.4*C12/1000</f>
        <v>0.28979999999999995</v>
      </c>
    </row>
    <row r="13" spans="1:13" x14ac:dyDescent="0.25">
      <c r="A13" s="20" t="s">
        <v>66</v>
      </c>
      <c r="B13" s="148" t="s">
        <v>33</v>
      </c>
      <c r="C13" s="149">
        <v>40</v>
      </c>
      <c r="D13" s="20">
        <f>107*C13/1000</f>
        <v>4.28</v>
      </c>
      <c r="E13" s="20">
        <f>45*C13/1000</f>
        <v>1.8</v>
      </c>
      <c r="F13" s="20">
        <f>435*C13/1000</f>
        <v>17.399999999999999</v>
      </c>
      <c r="G13" s="20">
        <f>2740*C13/1000</f>
        <v>109.6</v>
      </c>
      <c r="H13" s="20">
        <f>0</f>
        <v>0</v>
      </c>
      <c r="I13" s="20">
        <f>4.1*C13/1000</f>
        <v>0.16400000000000001</v>
      </c>
      <c r="J13" s="20">
        <f>2*C13/1000</f>
        <v>0.08</v>
      </c>
      <c r="K13" s="20">
        <f>1250*C13/1000</f>
        <v>50</v>
      </c>
      <c r="L13" s="20">
        <f>1290*C13/1000</f>
        <v>51.6</v>
      </c>
      <c r="M13" s="20">
        <f>36*C13/1000</f>
        <v>1.44</v>
      </c>
    </row>
    <row r="14" spans="1:13" x14ac:dyDescent="0.25">
      <c r="A14" s="152">
        <v>338</v>
      </c>
      <c r="B14" s="148" t="s">
        <v>131</v>
      </c>
      <c r="C14" s="149">
        <v>100</v>
      </c>
      <c r="D14" s="20">
        <f>4*C14/1000</f>
        <v>0.4</v>
      </c>
      <c r="E14" s="20">
        <f>4*C14/1000</f>
        <v>0.4</v>
      </c>
      <c r="F14" s="20">
        <f>98*C14/1000</f>
        <v>9.8000000000000007</v>
      </c>
      <c r="G14" s="20">
        <f>470*C14/1000</f>
        <v>47</v>
      </c>
      <c r="H14" s="20">
        <f>0</f>
        <v>0</v>
      </c>
      <c r="I14" s="20">
        <f>0.3*C14/1000</f>
        <v>0.03</v>
      </c>
      <c r="J14" s="20">
        <f>100*C14/1000</f>
        <v>10</v>
      </c>
      <c r="K14" s="20">
        <f>160*C14/1000</f>
        <v>16</v>
      </c>
      <c r="L14" s="20">
        <f>110*C14/1000</f>
        <v>11</v>
      </c>
      <c r="M14" s="20">
        <f>22*C14/1000</f>
        <v>2.2000000000000002</v>
      </c>
    </row>
    <row r="15" spans="1:13" x14ac:dyDescent="0.25">
      <c r="A15" s="153" t="s">
        <v>70</v>
      </c>
      <c r="B15" s="148" t="s">
        <v>3</v>
      </c>
      <c r="C15" s="149">
        <v>20</v>
      </c>
      <c r="D15" s="150">
        <f>85*C15/1000</f>
        <v>1.7</v>
      </c>
      <c r="E15" s="150">
        <f>33*C15/1000</f>
        <v>0.66</v>
      </c>
      <c r="F15" s="150">
        <f>425*C15/1000</f>
        <v>8.5</v>
      </c>
      <c r="G15" s="150">
        <f>2590*C15/1000</f>
        <v>51.8</v>
      </c>
      <c r="H15" s="154">
        <f>0</f>
        <v>0</v>
      </c>
      <c r="I15" s="150">
        <f>4.3*C15/1000</f>
        <v>8.5999999999999993E-2</v>
      </c>
      <c r="J15" s="150">
        <f>4*C15/1000</f>
        <v>0.08</v>
      </c>
      <c r="K15" s="150">
        <f>730*C15/1000</f>
        <v>14.6</v>
      </c>
      <c r="L15" s="150">
        <f>1250*C15/1000</f>
        <v>25</v>
      </c>
      <c r="M15" s="150">
        <f>28.3*C15/1000</f>
        <v>0.56599999999999995</v>
      </c>
    </row>
    <row r="16" spans="1:13" x14ac:dyDescent="0.25">
      <c r="A16" s="20"/>
      <c r="B16" s="155" t="s">
        <v>67</v>
      </c>
      <c r="C16" s="164">
        <f>SUM(C11:C15)</f>
        <v>522</v>
      </c>
      <c r="D16" s="157">
        <f t="shared" ref="D16:M16" si="0">SUM(D11:D15)</f>
        <v>29.438949999999998</v>
      </c>
      <c r="E16" s="157">
        <f t="shared" si="0"/>
        <v>13.792700000000002</v>
      </c>
      <c r="F16" s="157">
        <f t="shared" si="0"/>
        <v>88.021999999999991</v>
      </c>
      <c r="G16" s="157">
        <f t="shared" si="0"/>
        <v>608.4</v>
      </c>
      <c r="H16" s="157">
        <f t="shared" si="0"/>
        <v>77.655000000000001</v>
      </c>
      <c r="I16" s="157">
        <f t="shared" si="0"/>
        <v>0.34199999999999997</v>
      </c>
      <c r="J16" s="157">
        <f t="shared" si="0"/>
        <v>10.495900000000001</v>
      </c>
      <c r="K16" s="157">
        <f t="shared" si="0"/>
        <v>243.07399999999998</v>
      </c>
      <c r="L16" s="157">
        <f t="shared" si="0"/>
        <v>307.49799999999999</v>
      </c>
      <c r="M16" s="157">
        <f t="shared" si="0"/>
        <v>5.1158000000000001</v>
      </c>
    </row>
    <row r="17" spans="1:13" ht="16.5" customHeight="1" x14ac:dyDescent="0.25">
      <c r="A17" s="20"/>
      <c r="B17" s="158" t="s">
        <v>68</v>
      </c>
      <c r="C17" s="11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x14ac:dyDescent="0.25">
      <c r="A18" s="152"/>
      <c r="B18" s="148"/>
      <c r="C18" s="149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x14ac:dyDescent="0.25">
      <c r="A19" s="20">
        <v>102</v>
      </c>
      <c r="B19" s="148" t="s">
        <v>80</v>
      </c>
      <c r="C19" s="149">
        <v>200</v>
      </c>
      <c r="D19" s="20">
        <f>22*C19/1000</f>
        <v>4.4000000000000004</v>
      </c>
      <c r="E19" s="20">
        <f>21.1*C19/1000</f>
        <v>4.22</v>
      </c>
      <c r="F19" s="20">
        <f>66.1*C19/1000</f>
        <v>13.219999999999999</v>
      </c>
      <c r="G19" s="20">
        <f>593*C19/1000</f>
        <v>118.6</v>
      </c>
      <c r="H19" s="20">
        <f>0</f>
        <v>0</v>
      </c>
      <c r="I19" s="20">
        <f>0.9*C19/1000</f>
        <v>0.18</v>
      </c>
      <c r="J19" s="20">
        <f>23.3*C19/1000</f>
        <v>4.66</v>
      </c>
      <c r="K19" s="20">
        <f>170.7*C19/1000</f>
        <v>34.14</v>
      </c>
      <c r="L19" s="20">
        <f>352.4*C19/1000</f>
        <v>70.48</v>
      </c>
      <c r="M19" s="20">
        <f>8.2*C19/1000</f>
        <v>1.6399999999999997</v>
      </c>
    </row>
    <row r="20" spans="1:13" x14ac:dyDescent="0.25">
      <c r="A20" s="20">
        <v>291</v>
      </c>
      <c r="B20" s="148" t="s">
        <v>99</v>
      </c>
      <c r="C20" s="149">
        <v>200</v>
      </c>
      <c r="D20" s="20">
        <f>90.1*C20/1000</f>
        <v>18.02</v>
      </c>
      <c r="E20" s="20">
        <f>44.7*C20/1000</f>
        <v>8.94</v>
      </c>
      <c r="F20" s="20">
        <f>182.3*C20/1000</f>
        <v>36.46</v>
      </c>
      <c r="G20" s="20">
        <f>1493.3*C20/1000</f>
        <v>298.66000000000003</v>
      </c>
      <c r="H20" s="20">
        <f>140*C20/1000</f>
        <v>28</v>
      </c>
      <c r="I20" s="20">
        <f>0.7*C20/1000</f>
        <v>0.14000000000000001</v>
      </c>
      <c r="J20" s="20">
        <f>32.7*C20/1000</f>
        <v>6.5400000000000009</v>
      </c>
      <c r="K20" s="20">
        <f>180.5*C20/1000</f>
        <v>36.1</v>
      </c>
      <c r="L20" s="20">
        <f>946.7*C20/1000</f>
        <v>189.34</v>
      </c>
      <c r="M20" s="20">
        <f>9.3*C20/1000</f>
        <v>1.8600000000000003</v>
      </c>
    </row>
    <row r="21" spans="1:13" x14ac:dyDescent="0.25">
      <c r="A21" s="20">
        <v>379</v>
      </c>
      <c r="B21" s="148" t="s">
        <v>95</v>
      </c>
      <c r="C21" s="149">
        <v>200</v>
      </c>
      <c r="D21" s="150">
        <f>15.8*C21/1000</f>
        <v>3.16</v>
      </c>
      <c r="E21" s="150">
        <f>13.4*C21/1000</f>
        <v>2.68</v>
      </c>
      <c r="F21" s="150">
        <f>79.7*C21/1000</f>
        <v>15.94</v>
      </c>
      <c r="G21" s="150">
        <f>503*C21/1000</f>
        <v>100.6</v>
      </c>
      <c r="H21" s="150">
        <f>100*C21/1000</f>
        <v>20</v>
      </c>
      <c r="I21" s="150">
        <f>0.22*C21/1000</f>
        <v>4.3999999999999997E-2</v>
      </c>
      <c r="J21" s="150">
        <f>6.5*C21/1000</f>
        <v>1.3</v>
      </c>
      <c r="K21" s="150">
        <f>628.9*C21/1000</f>
        <v>125.78</v>
      </c>
      <c r="L21" s="150">
        <f>450*C21/1000</f>
        <v>90</v>
      </c>
      <c r="M21" s="150">
        <f>0.7*C21/1000</f>
        <v>0.14000000000000001</v>
      </c>
    </row>
    <row r="22" spans="1:13" x14ac:dyDescent="0.25">
      <c r="A22" s="152" t="s">
        <v>66</v>
      </c>
      <c r="B22" s="148" t="s">
        <v>33</v>
      </c>
      <c r="C22" s="149">
        <v>40</v>
      </c>
      <c r="D22" s="20">
        <f>107*C22/1000</f>
        <v>4.28</v>
      </c>
      <c r="E22" s="20">
        <f>45*C22/1000</f>
        <v>1.8</v>
      </c>
      <c r="F22" s="20">
        <f>435*C22/1000</f>
        <v>17.399999999999999</v>
      </c>
      <c r="G22" s="20">
        <f>2740*C22/1000</f>
        <v>109.6</v>
      </c>
      <c r="H22" s="20">
        <f>0</f>
        <v>0</v>
      </c>
      <c r="I22" s="20">
        <f>4.1*C22/1000</f>
        <v>0.16400000000000001</v>
      </c>
      <c r="J22" s="20">
        <f>2*C22/1000</f>
        <v>0.08</v>
      </c>
      <c r="K22" s="20">
        <f>1250*C22/1000</f>
        <v>50</v>
      </c>
      <c r="L22" s="20">
        <f>1290*C22/1000</f>
        <v>51.6</v>
      </c>
      <c r="M22" s="20">
        <f>36*C22/1000</f>
        <v>1.44</v>
      </c>
    </row>
    <row r="23" spans="1:13" x14ac:dyDescent="0.25">
      <c r="A23" s="153" t="s">
        <v>70</v>
      </c>
      <c r="B23" s="148" t="s">
        <v>3</v>
      </c>
      <c r="C23" s="149">
        <v>20</v>
      </c>
      <c r="D23" s="150">
        <f>85*C23/1000</f>
        <v>1.7</v>
      </c>
      <c r="E23" s="150">
        <f>33*C23/1000</f>
        <v>0.66</v>
      </c>
      <c r="F23" s="150">
        <f>425*C23/1000</f>
        <v>8.5</v>
      </c>
      <c r="G23" s="150">
        <f>2590*C23/1000</f>
        <v>51.8</v>
      </c>
      <c r="H23" s="154">
        <f>0</f>
        <v>0</v>
      </c>
      <c r="I23" s="150">
        <f>4.3*C23/1000</f>
        <v>8.5999999999999993E-2</v>
      </c>
      <c r="J23" s="150">
        <f>4*C23/1000</f>
        <v>0.08</v>
      </c>
      <c r="K23" s="150">
        <f>730*C23/1000</f>
        <v>14.6</v>
      </c>
      <c r="L23" s="150">
        <f>1250*C23/1000</f>
        <v>25</v>
      </c>
      <c r="M23" s="150">
        <f>28.3*C23/1000</f>
        <v>0.56599999999999995</v>
      </c>
    </row>
    <row r="24" spans="1:13" x14ac:dyDescent="0.25">
      <c r="A24" s="152">
        <v>338</v>
      </c>
      <c r="B24" s="148" t="s">
        <v>131</v>
      </c>
      <c r="C24" s="149">
        <v>150</v>
      </c>
      <c r="D24" s="20">
        <f>4*C24/1000</f>
        <v>0.6</v>
      </c>
      <c r="E24" s="20">
        <f>4*C24/1000</f>
        <v>0.6</v>
      </c>
      <c r="F24" s="20">
        <f>98*C24/1000</f>
        <v>14.7</v>
      </c>
      <c r="G24" s="20">
        <f>470*C24/1000</f>
        <v>70.5</v>
      </c>
      <c r="H24" s="20">
        <f>0</f>
        <v>0</v>
      </c>
      <c r="I24" s="20">
        <f>0.3*C24/1000</f>
        <v>4.4999999999999998E-2</v>
      </c>
      <c r="J24" s="20">
        <f>100*C24/1000</f>
        <v>15</v>
      </c>
      <c r="K24" s="20">
        <f>160*C24/1000</f>
        <v>24</v>
      </c>
      <c r="L24" s="20">
        <f>110*C24/1000</f>
        <v>16.5</v>
      </c>
      <c r="M24" s="20">
        <f>22*C24/1000</f>
        <v>3.3</v>
      </c>
    </row>
    <row r="25" spans="1:13" x14ac:dyDescent="0.25">
      <c r="A25" s="165"/>
      <c r="B25" s="155" t="s">
        <v>67</v>
      </c>
      <c r="C25" s="164">
        <f>SUM(C19:C24)</f>
        <v>810</v>
      </c>
      <c r="D25" s="157">
        <f t="shared" ref="D25:M25" si="1">SUM(D18:D24)</f>
        <v>32.160000000000004</v>
      </c>
      <c r="E25" s="157">
        <f t="shared" si="1"/>
        <v>18.900000000000002</v>
      </c>
      <c r="F25" s="157">
        <f t="shared" si="1"/>
        <v>106.22000000000001</v>
      </c>
      <c r="G25" s="157">
        <f t="shared" si="1"/>
        <v>749.76</v>
      </c>
      <c r="H25" s="157">
        <f t="shared" si="1"/>
        <v>48</v>
      </c>
      <c r="I25" s="157">
        <f t="shared" si="1"/>
        <v>0.65900000000000003</v>
      </c>
      <c r="J25" s="157">
        <f t="shared" si="1"/>
        <v>27.660000000000004</v>
      </c>
      <c r="K25" s="157">
        <f t="shared" si="1"/>
        <v>284.62</v>
      </c>
      <c r="L25" s="157">
        <f t="shared" si="1"/>
        <v>442.92</v>
      </c>
      <c r="M25" s="157">
        <f t="shared" si="1"/>
        <v>8.9459999999999997</v>
      </c>
    </row>
    <row r="26" spans="1:13" ht="18.75" x14ac:dyDescent="0.25">
      <c r="A26" s="165"/>
      <c r="B26" s="159" t="s">
        <v>71</v>
      </c>
      <c r="C26" s="166">
        <f t="shared" ref="C26:M26" si="2">C16+C25</f>
        <v>1332</v>
      </c>
      <c r="D26" s="161">
        <f t="shared" si="2"/>
        <v>61.598950000000002</v>
      </c>
      <c r="E26" s="161">
        <f t="shared" si="2"/>
        <v>32.692700000000002</v>
      </c>
      <c r="F26" s="161">
        <f t="shared" si="2"/>
        <v>194.24200000000002</v>
      </c>
      <c r="G26" s="161">
        <f t="shared" si="2"/>
        <v>1358.1599999999999</v>
      </c>
      <c r="H26" s="161">
        <f t="shared" si="2"/>
        <v>125.655</v>
      </c>
      <c r="I26" s="161">
        <f t="shared" si="2"/>
        <v>1.0009999999999999</v>
      </c>
      <c r="J26" s="161">
        <f t="shared" si="2"/>
        <v>38.155900000000003</v>
      </c>
      <c r="K26" s="161">
        <f t="shared" si="2"/>
        <v>527.69399999999996</v>
      </c>
      <c r="L26" s="161">
        <f t="shared" si="2"/>
        <v>750.41800000000001</v>
      </c>
      <c r="M26" s="161">
        <f t="shared" si="2"/>
        <v>14.0618</v>
      </c>
    </row>
    <row r="27" spans="1:13" ht="25.15" customHeight="1" x14ac:dyDescent="0.25">
      <c r="A27" s="162"/>
      <c r="B27" s="19" t="s">
        <v>170</v>
      </c>
      <c r="C27" s="20">
        <v>1200</v>
      </c>
      <c r="D27" s="21">
        <v>45</v>
      </c>
      <c r="E27" s="21">
        <v>46</v>
      </c>
      <c r="F27" s="21">
        <v>192</v>
      </c>
      <c r="G27" s="21">
        <v>1360</v>
      </c>
      <c r="H27" s="21">
        <v>450</v>
      </c>
      <c r="I27" s="21">
        <v>0.7</v>
      </c>
      <c r="J27" s="21">
        <v>35</v>
      </c>
      <c r="K27" s="21">
        <v>600</v>
      </c>
      <c r="L27" s="21">
        <v>600</v>
      </c>
      <c r="M27" s="21">
        <v>9</v>
      </c>
    </row>
    <row r="28" spans="1:13" ht="18.75" customHeight="1" x14ac:dyDescent="0.25">
      <c r="A28" s="163"/>
      <c r="B28" s="23"/>
      <c r="C28" s="24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ht="18.75" customHeight="1" x14ac:dyDescent="0.25">
      <c r="A29" s="163"/>
      <c r="B29" s="23"/>
      <c r="C29" s="24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18.600000000000001" customHeight="1" x14ac:dyDescent="0.25">
      <c r="A30" s="163"/>
      <c r="B30" s="23"/>
      <c r="C30" s="24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ht="402" hidden="1" customHeight="1" x14ac:dyDescent="0.25">
      <c r="A31" s="163"/>
      <c r="B31" s="23"/>
      <c r="C31" s="24"/>
      <c r="D31" s="26"/>
      <c r="E31" s="26"/>
      <c r="F31" s="26"/>
      <c r="G31" s="26"/>
      <c r="H31" s="26"/>
      <c r="I31" s="26"/>
      <c r="J31" s="26"/>
      <c r="K31" s="26"/>
      <c r="L31" s="26"/>
      <c r="M31" s="26"/>
    </row>
  </sheetData>
  <mergeCells count="11">
    <mergeCell ref="H7:J8"/>
    <mergeCell ref="K7:M8"/>
    <mergeCell ref="D8:F8"/>
    <mergeCell ref="A4:B4"/>
    <mergeCell ref="A5:B5"/>
    <mergeCell ref="A6:B6"/>
    <mergeCell ref="A7:A9"/>
    <mergeCell ref="B7:B9"/>
    <mergeCell ref="C7:C9"/>
    <mergeCell ref="D7:F7"/>
    <mergeCell ref="G7:G9"/>
  </mergeCells>
  <pageMargins left="0.7" right="0.7" top="0.75" bottom="0.75" header="0.3" footer="0.3"/>
  <pageSetup paperSize="9" scale="87" fitToWidth="0" orientation="landscape" r:id="rId1"/>
  <rowBreaks count="1" manualBreakCount="1">
    <brk id="30" max="12" man="1"/>
  </rowBreaks>
  <colBreaks count="1" manualBreakCount="1">
    <brk id="1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WhiteSpace="0" view="pageBreakPreview" topLeftCell="A3" zoomScale="80" zoomScaleNormal="70" zoomScaleSheetLayoutView="80" zoomScalePageLayoutView="70" workbookViewId="0">
      <selection activeCell="S14" sqref="S14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3" ht="18" hidden="1" customHeight="1" x14ac:dyDescent="0.25">
      <c r="A1" s="163"/>
      <c r="B1" s="23"/>
      <c r="C1" s="24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2.15" hidden="1" customHeight="1" x14ac:dyDescent="0.25">
      <c r="A2" s="163"/>
      <c r="B2" s="23"/>
      <c r="C2" s="24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8.75" x14ac:dyDescent="0.25">
      <c r="A3" s="237" t="s">
        <v>75</v>
      </c>
      <c r="B3" s="238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x14ac:dyDescent="0.25">
      <c r="A4" s="237" t="s">
        <v>79</v>
      </c>
      <c r="B4" s="238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5.75" thickBot="1" x14ac:dyDescent="0.3">
      <c r="A5" s="239" t="s">
        <v>169</v>
      </c>
      <c r="B5" s="240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x14ac:dyDescent="0.25">
      <c r="A6" s="192" t="s">
        <v>49</v>
      </c>
      <c r="B6" s="192" t="s">
        <v>50</v>
      </c>
      <c r="C6" s="192" t="s">
        <v>51</v>
      </c>
      <c r="D6" s="207" t="s">
        <v>52</v>
      </c>
      <c r="E6" s="208"/>
      <c r="F6" s="209"/>
      <c r="G6" s="204" t="s">
        <v>53</v>
      </c>
      <c r="H6" s="207" t="s">
        <v>54</v>
      </c>
      <c r="I6" s="208"/>
      <c r="J6" s="209"/>
      <c r="K6" s="207" t="s">
        <v>55</v>
      </c>
      <c r="L6" s="208"/>
      <c r="M6" s="209"/>
    </row>
    <row r="7" spans="1:13" ht="15.75" thickBot="1" x14ac:dyDescent="0.3">
      <c r="A7" s="202"/>
      <c r="B7" s="193"/>
      <c r="C7" s="193"/>
      <c r="D7" s="210" t="s">
        <v>56</v>
      </c>
      <c r="E7" s="211"/>
      <c r="F7" s="212"/>
      <c r="G7" s="205"/>
      <c r="H7" s="210"/>
      <c r="I7" s="211"/>
      <c r="J7" s="212"/>
      <c r="K7" s="210"/>
      <c r="L7" s="211"/>
      <c r="M7" s="212"/>
    </row>
    <row r="8" spans="1:13" ht="17.25" thickBot="1" x14ac:dyDescent="0.3">
      <c r="A8" s="203"/>
      <c r="B8" s="194"/>
      <c r="C8" s="194"/>
      <c r="D8" s="33" t="s">
        <v>57</v>
      </c>
      <c r="E8" s="33" t="s">
        <v>58</v>
      </c>
      <c r="F8" s="33" t="s">
        <v>59</v>
      </c>
      <c r="G8" s="206"/>
      <c r="H8" s="33" t="s">
        <v>60</v>
      </c>
      <c r="I8" s="33" t="s">
        <v>84</v>
      </c>
      <c r="J8" s="33" t="s">
        <v>62</v>
      </c>
      <c r="K8" s="33" t="s">
        <v>63</v>
      </c>
      <c r="L8" s="33" t="s">
        <v>81</v>
      </c>
      <c r="M8" s="33" t="s">
        <v>64</v>
      </c>
    </row>
    <row r="9" spans="1:13" ht="18.75" x14ac:dyDescent="0.25">
      <c r="A9" s="6"/>
      <c r="B9" s="151" t="s">
        <v>65</v>
      </c>
      <c r="C9" s="8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3" x14ac:dyDescent="0.25">
      <c r="A10" s="20">
        <v>304</v>
      </c>
      <c r="B10" s="148" t="s">
        <v>39</v>
      </c>
      <c r="C10" s="149">
        <v>180</v>
      </c>
      <c r="D10" s="20">
        <f>24.3*C10/1000</f>
        <v>4.3739999999999997</v>
      </c>
      <c r="E10" s="20">
        <f>35.8*C10/1000</f>
        <v>6.4439999999999991</v>
      </c>
      <c r="F10" s="20">
        <f>244.6*C10/1000</f>
        <v>44.027999999999999</v>
      </c>
      <c r="G10" s="20">
        <f>1398*C10/1000</f>
        <v>251.64</v>
      </c>
      <c r="H10" s="20">
        <f>0</f>
        <v>0</v>
      </c>
      <c r="I10" s="20">
        <f>0.2*C10/1000</f>
        <v>3.5999999999999997E-2</v>
      </c>
      <c r="J10" s="20">
        <f>0</f>
        <v>0</v>
      </c>
      <c r="K10" s="20">
        <f>9.1*C10/1000</f>
        <v>1.6379999999999999</v>
      </c>
      <c r="L10" s="20">
        <f>406.3*C10/1000</f>
        <v>73.134</v>
      </c>
      <c r="M10" s="20">
        <f>3.5*C10/1000</f>
        <v>0.63</v>
      </c>
    </row>
    <row r="11" spans="1:13" x14ac:dyDescent="0.25">
      <c r="A11" s="20">
        <v>229</v>
      </c>
      <c r="B11" s="148" t="s">
        <v>73</v>
      </c>
      <c r="C11" s="149">
        <v>130</v>
      </c>
      <c r="D11" s="20">
        <f>97.5*C11/1000</f>
        <v>12.675000000000001</v>
      </c>
      <c r="E11" s="20">
        <f>49.5*C11/1000</f>
        <v>6.4349999999999996</v>
      </c>
      <c r="F11" s="20">
        <f>38*C11/1000</f>
        <v>4.9400000000000004</v>
      </c>
      <c r="G11" s="20">
        <f>1050*C11/1000</f>
        <v>136.5</v>
      </c>
      <c r="H11" s="20">
        <f>58.2*C11/1000</f>
        <v>7.5659999999999998</v>
      </c>
      <c r="I11" s="20">
        <f>0.5*C11/1000</f>
        <v>6.5000000000000002E-2</v>
      </c>
      <c r="J11" s="20">
        <f>37.3*C11/1000</f>
        <v>4.8490000000000002</v>
      </c>
      <c r="K11" s="20">
        <f>390.7*C11/1000</f>
        <v>50.790999999999997</v>
      </c>
      <c r="L11" s="20">
        <f>1621.9*C11/1000</f>
        <v>210.84700000000001</v>
      </c>
      <c r="M11" s="20">
        <f>8.5*C11/1000</f>
        <v>1.105</v>
      </c>
    </row>
    <row r="12" spans="1:13" x14ac:dyDescent="0.25">
      <c r="A12" s="20">
        <v>382</v>
      </c>
      <c r="B12" s="148" t="s">
        <v>98</v>
      </c>
      <c r="C12" s="149">
        <v>200</v>
      </c>
      <c r="D12" s="150">
        <f>20.4*C12/1000</f>
        <v>4.0799999999999992</v>
      </c>
      <c r="E12" s="150">
        <f>17.7*C12/1000</f>
        <v>3.54</v>
      </c>
      <c r="F12" s="150">
        <f>87.9*C12/1000</f>
        <v>17.579999999999998</v>
      </c>
      <c r="G12" s="150">
        <f>593*C12/1000</f>
        <v>118.6</v>
      </c>
      <c r="H12" s="150">
        <f>122*C12/1000</f>
        <v>24.4</v>
      </c>
      <c r="I12" s="150">
        <f>0.28*C12/1000</f>
        <v>5.6000000000000008E-2</v>
      </c>
      <c r="J12" s="150">
        <f>7.9*C12/1000</f>
        <v>1.58</v>
      </c>
      <c r="K12" s="150">
        <f>761.1*C12/1000</f>
        <v>152.22</v>
      </c>
      <c r="L12" s="150">
        <f>622.8*C12/1000</f>
        <v>124.55999999999999</v>
      </c>
      <c r="M12" s="150">
        <f>2.4*C12/1000</f>
        <v>0.48</v>
      </c>
    </row>
    <row r="13" spans="1:13" x14ac:dyDescent="0.25">
      <c r="A13" s="152" t="s">
        <v>66</v>
      </c>
      <c r="B13" s="148" t="s">
        <v>33</v>
      </c>
      <c r="C13" s="149">
        <v>40</v>
      </c>
      <c r="D13" s="20">
        <f>107*C13/1000</f>
        <v>4.28</v>
      </c>
      <c r="E13" s="20">
        <f>45*C13/1000</f>
        <v>1.8</v>
      </c>
      <c r="F13" s="20">
        <f>435*C13/1000</f>
        <v>17.399999999999999</v>
      </c>
      <c r="G13" s="20">
        <f>2740*C13/1000</f>
        <v>109.6</v>
      </c>
      <c r="H13" s="20">
        <f>0</f>
        <v>0</v>
      </c>
      <c r="I13" s="20">
        <f>4.1*C13/1000</f>
        <v>0.16400000000000001</v>
      </c>
      <c r="J13" s="20">
        <f>2*C13/1000</f>
        <v>0.08</v>
      </c>
      <c r="K13" s="20">
        <f>1250*C13/1000</f>
        <v>50</v>
      </c>
      <c r="L13" s="20">
        <f>1290*C13/1000</f>
        <v>51.6</v>
      </c>
      <c r="M13" s="20">
        <f>36*C13/1000</f>
        <v>1.44</v>
      </c>
    </row>
    <row r="14" spans="1:13" x14ac:dyDescent="0.25">
      <c r="A14" s="153" t="s">
        <v>70</v>
      </c>
      <c r="B14" s="148" t="s">
        <v>3</v>
      </c>
      <c r="C14" s="149">
        <v>20</v>
      </c>
      <c r="D14" s="150">
        <f>85*C14/1000</f>
        <v>1.7</v>
      </c>
      <c r="E14" s="150">
        <f>33*C14/1000</f>
        <v>0.66</v>
      </c>
      <c r="F14" s="150">
        <f>425*C14/1000</f>
        <v>8.5</v>
      </c>
      <c r="G14" s="150">
        <f>2590*C14/1000</f>
        <v>51.8</v>
      </c>
      <c r="H14" s="154">
        <f>0</f>
        <v>0</v>
      </c>
      <c r="I14" s="150">
        <f>4.3*C14/1000</f>
        <v>8.5999999999999993E-2</v>
      </c>
      <c r="J14" s="150">
        <f>4*C14/1000</f>
        <v>0.08</v>
      </c>
      <c r="K14" s="150">
        <f>730*C14/1000</f>
        <v>14.6</v>
      </c>
      <c r="L14" s="150">
        <f>1250*C14/1000</f>
        <v>25</v>
      </c>
      <c r="M14" s="150">
        <f>28.3*C14/1000</f>
        <v>0.56599999999999995</v>
      </c>
    </row>
    <row r="15" spans="1:13" x14ac:dyDescent="0.25">
      <c r="A15" s="20"/>
      <c r="B15" s="148"/>
      <c r="C15" s="148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x14ac:dyDescent="0.25">
      <c r="A16" s="20"/>
      <c r="B16" s="155" t="s">
        <v>67</v>
      </c>
      <c r="C16" s="164">
        <f>SUM(C10:C15)</f>
        <v>570</v>
      </c>
      <c r="D16" s="157">
        <f t="shared" ref="D16:M16" si="0">SUM(D10:D15)</f>
        <v>27.108999999999998</v>
      </c>
      <c r="E16" s="157">
        <f t="shared" si="0"/>
        <v>18.878999999999998</v>
      </c>
      <c r="F16" s="157">
        <f t="shared" si="0"/>
        <v>92.448000000000008</v>
      </c>
      <c r="G16" s="157">
        <f t="shared" si="0"/>
        <v>668.14</v>
      </c>
      <c r="H16" s="157">
        <f t="shared" si="0"/>
        <v>31.965999999999998</v>
      </c>
      <c r="I16" s="157">
        <f t="shared" si="0"/>
        <v>0.40700000000000003</v>
      </c>
      <c r="J16" s="157">
        <f t="shared" si="0"/>
        <v>6.5890000000000004</v>
      </c>
      <c r="K16" s="157">
        <f t="shared" si="0"/>
        <v>269.24900000000002</v>
      </c>
      <c r="L16" s="157">
        <f t="shared" si="0"/>
        <v>485.14100000000002</v>
      </c>
      <c r="M16" s="157">
        <f t="shared" si="0"/>
        <v>4.2210000000000001</v>
      </c>
    </row>
    <row r="17" spans="1:13" ht="18.75" x14ac:dyDescent="0.25">
      <c r="A17" s="20"/>
      <c r="B17" s="158" t="s">
        <v>68</v>
      </c>
      <c r="C17" s="11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x14ac:dyDescent="0.25">
      <c r="A18" s="20">
        <v>62</v>
      </c>
      <c r="B18" s="148" t="s">
        <v>108</v>
      </c>
      <c r="C18" s="149">
        <v>60</v>
      </c>
      <c r="D18" s="20">
        <f>12.3*C18/1000</f>
        <v>0.73799999999999999</v>
      </c>
      <c r="E18" s="20">
        <f>0.9*C18/1000</f>
        <v>5.3999999999999999E-2</v>
      </c>
      <c r="F18" s="20">
        <f>114.8*C18/1000</f>
        <v>6.8879999999999999</v>
      </c>
      <c r="G18" s="20">
        <f>817*C18/1000</f>
        <v>49.02</v>
      </c>
      <c r="H18" s="20">
        <f>0</f>
        <v>0</v>
      </c>
      <c r="I18" s="20">
        <f>0.6*C18/1000</f>
        <v>3.5999999999999997E-2</v>
      </c>
      <c r="J18" s="20">
        <f>33.6*C18/1000</f>
        <v>2.016</v>
      </c>
      <c r="K18" s="20">
        <f>257.6*C18/1000</f>
        <v>15.456000000000001</v>
      </c>
      <c r="L18" s="20">
        <f>527.7*C18/1000</f>
        <v>31.662000000000003</v>
      </c>
      <c r="M18" s="20">
        <f>6.6*C18/1000</f>
        <v>0.39600000000000002</v>
      </c>
    </row>
    <row r="19" spans="1:13" x14ac:dyDescent="0.25">
      <c r="A19" s="20">
        <v>104</v>
      </c>
      <c r="B19" s="148" t="s">
        <v>143</v>
      </c>
      <c r="C19" s="149">
        <v>200</v>
      </c>
      <c r="D19" s="20">
        <f>8.8*C19/1000</f>
        <v>1.7600000000000002</v>
      </c>
      <c r="E19" s="20">
        <f>11.1*C19/1000</f>
        <v>2.2200000000000002</v>
      </c>
      <c r="F19" s="20">
        <f>61.6*C19/1000</f>
        <v>12.32</v>
      </c>
      <c r="G19" s="20">
        <f>424*C19/1000</f>
        <v>84.8</v>
      </c>
      <c r="H19" s="20">
        <f>0</f>
        <v>0</v>
      </c>
      <c r="I19" s="20">
        <f>0.5*C19/1000</f>
        <v>0.1</v>
      </c>
      <c r="J19" s="20">
        <f>44.3*C19/1000</f>
        <v>8.86</v>
      </c>
      <c r="K19" s="20">
        <f>118.8*C19/1000</f>
        <v>23.76</v>
      </c>
      <c r="L19" s="20">
        <f>288.9*C19/1000</f>
        <v>57.779999999999994</v>
      </c>
      <c r="M19" s="20">
        <f>4.6*C19/1000</f>
        <v>0.91999999999999993</v>
      </c>
    </row>
    <row r="20" spans="1:13" x14ac:dyDescent="0.25">
      <c r="A20" s="165">
        <v>204</v>
      </c>
      <c r="B20" s="148" t="s">
        <v>144</v>
      </c>
      <c r="C20" s="149">
        <v>200</v>
      </c>
      <c r="D20" s="130">
        <f>67.7*C20/1000</f>
        <v>13.54</v>
      </c>
      <c r="E20" s="130">
        <f>79.7*C20/1000</f>
        <v>15.94</v>
      </c>
      <c r="F20" s="130">
        <f>170.6*C20/1000</f>
        <v>34.119999999999997</v>
      </c>
      <c r="G20" s="130">
        <f>1123*C20/1000</f>
        <v>224.6</v>
      </c>
      <c r="H20" s="130">
        <f>576*C20/1000</f>
        <v>115.2</v>
      </c>
      <c r="I20" s="130">
        <f>0.4*C20/1000</f>
        <v>0.08</v>
      </c>
      <c r="J20" s="130">
        <f>1.1*C20/1000</f>
        <v>0.22000000000000003</v>
      </c>
      <c r="K20" s="130">
        <f>1476*C20/1000</f>
        <v>295.2</v>
      </c>
      <c r="L20" s="130">
        <f>1010*C20/1000</f>
        <v>202</v>
      </c>
      <c r="M20" s="130">
        <f>6.2*C20/1000</f>
        <v>1.24</v>
      </c>
    </row>
    <row r="21" spans="1:13" x14ac:dyDescent="0.25">
      <c r="A21" s="20">
        <v>379</v>
      </c>
      <c r="B21" s="148" t="s">
        <v>184</v>
      </c>
      <c r="C21" s="149">
        <v>200</v>
      </c>
      <c r="D21" s="150">
        <f>15.8*C21/1000</f>
        <v>3.16</v>
      </c>
      <c r="E21" s="150">
        <f>13.4*C21/1000</f>
        <v>2.68</v>
      </c>
      <c r="F21" s="150">
        <f>79.7*C21/1000</f>
        <v>15.94</v>
      </c>
      <c r="G21" s="150">
        <f>503*C21/1000</f>
        <v>100.6</v>
      </c>
      <c r="H21" s="150">
        <f>100*C21/1000</f>
        <v>20</v>
      </c>
      <c r="I21" s="150">
        <f>0.22*C21/1000</f>
        <v>4.3999999999999997E-2</v>
      </c>
      <c r="J21" s="150">
        <f>6.5*C21/1000</f>
        <v>1.3</v>
      </c>
      <c r="K21" s="150">
        <f>628.9*C21/1000</f>
        <v>125.78</v>
      </c>
      <c r="L21" s="150">
        <f>450*C21/1000</f>
        <v>90</v>
      </c>
      <c r="M21" s="150">
        <f>0.7*C21/1000</f>
        <v>0.14000000000000001</v>
      </c>
    </row>
    <row r="22" spans="1:13" x14ac:dyDescent="0.25">
      <c r="A22" s="152" t="s">
        <v>66</v>
      </c>
      <c r="B22" s="148" t="s">
        <v>33</v>
      </c>
      <c r="C22" s="149">
        <v>40</v>
      </c>
      <c r="D22" s="20">
        <f>107*C22/1000</f>
        <v>4.28</v>
      </c>
      <c r="E22" s="20">
        <f>45*C22/1000</f>
        <v>1.8</v>
      </c>
      <c r="F22" s="20">
        <f>435*C22/1000</f>
        <v>17.399999999999999</v>
      </c>
      <c r="G22" s="20">
        <f>2740*C22/1000</f>
        <v>109.6</v>
      </c>
      <c r="H22" s="20">
        <f>0</f>
        <v>0</v>
      </c>
      <c r="I22" s="20">
        <f>4.1*C22/1000</f>
        <v>0.16400000000000001</v>
      </c>
      <c r="J22" s="20">
        <f>2*C22/1000</f>
        <v>0.08</v>
      </c>
      <c r="K22" s="20">
        <f>1250*C22/1000</f>
        <v>50</v>
      </c>
      <c r="L22" s="20">
        <f>1290*C22/1000</f>
        <v>51.6</v>
      </c>
      <c r="M22" s="20">
        <f>36*C22/1000</f>
        <v>1.44</v>
      </c>
    </row>
    <row r="23" spans="1:13" x14ac:dyDescent="0.25">
      <c r="A23" s="153" t="s">
        <v>70</v>
      </c>
      <c r="B23" s="148" t="s">
        <v>3</v>
      </c>
      <c r="C23" s="149">
        <v>20</v>
      </c>
      <c r="D23" s="150">
        <f>85*C23/1000</f>
        <v>1.7</v>
      </c>
      <c r="E23" s="150">
        <f>33*C23/1000</f>
        <v>0.66</v>
      </c>
      <c r="F23" s="150">
        <f>425*C23/1000</f>
        <v>8.5</v>
      </c>
      <c r="G23" s="150">
        <f>2590*C23/1000</f>
        <v>51.8</v>
      </c>
      <c r="H23" s="154">
        <f>0</f>
        <v>0</v>
      </c>
      <c r="I23" s="150">
        <f>4.3*C23/1000</f>
        <v>8.5999999999999993E-2</v>
      </c>
      <c r="J23" s="150">
        <f>4*C23/1000</f>
        <v>0.08</v>
      </c>
      <c r="K23" s="150">
        <f>730*C23/1000</f>
        <v>14.6</v>
      </c>
      <c r="L23" s="150">
        <f>1250*C23/1000</f>
        <v>25</v>
      </c>
      <c r="M23" s="150">
        <f>28.3*C23/1000</f>
        <v>0.56599999999999995</v>
      </c>
    </row>
    <row r="24" spans="1:13" x14ac:dyDescent="0.25">
      <c r="A24" s="20"/>
      <c r="B24" s="148"/>
      <c r="C24" s="149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x14ac:dyDescent="0.25">
      <c r="A25" s="165"/>
      <c r="B25" s="155" t="s">
        <v>67</v>
      </c>
      <c r="C25" s="164">
        <f>SUM(C18:C24)</f>
        <v>720</v>
      </c>
      <c r="D25" s="157">
        <f t="shared" ref="D25:M25" si="1">SUM(D18:D24)</f>
        <v>25.178000000000001</v>
      </c>
      <c r="E25" s="157">
        <f t="shared" si="1"/>
        <v>23.353999999999999</v>
      </c>
      <c r="F25" s="157">
        <f t="shared" si="1"/>
        <v>95.168000000000006</v>
      </c>
      <c r="G25" s="157">
        <f t="shared" si="1"/>
        <v>620.41999999999996</v>
      </c>
      <c r="H25" s="157">
        <f t="shared" si="1"/>
        <v>135.19999999999999</v>
      </c>
      <c r="I25" s="157">
        <f t="shared" si="1"/>
        <v>0.51</v>
      </c>
      <c r="J25" s="157">
        <f t="shared" si="1"/>
        <v>12.556000000000001</v>
      </c>
      <c r="K25" s="157">
        <f t="shared" si="1"/>
        <v>524.79600000000005</v>
      </c>
      <c r="L25" s="157">
        <f t="shared" si="1"/>
        <v>458.04200000000003</v>
      </c>
      <c r="M25" s="157">
        <f t="shared" si="1"/>
        <v>4.702</v>
      </c>
    </row>
    <row r="26" spans="1:13" ht="18.75" x14ac:dyDescent="0.25">
      <c r="A26" s="165"/>
      <c r="B26" s="159" t="s">
        <v>71</v>
      </c>
      <c r="C26" s="166">
        <f t="shared" ref="C26:M26" si="2">C16+C25</f>
        <v>1290</v>
      </c>
      <c r="D26" s="161">
        <f t="shared" si="2"/>
        <v>52.286999999999999</v>
      </c>
      <c r="E26" s="161">
        <f t="shared" si="2"/>
        <v>42.232999999999997</v>
      </c>
      <c r="F26" s="161">
        <f t="shared" si="2"/>
        <v>187.61600000000001</v>
      </c>
      <c r="G26" s="161">
        <f t="shared" si="2"/>
        <v>1288.56</v>
      </c>
      <c r="H26" s="161">
        <f t="shared" si="2"/>
        <v>167.166</v>
      </c>
      <c r="I26" s="161">
        <f t="shared" si="2"/>
        <v>0.91700000000000004</v>
      </c>
      <c r="J26" s="161">
        <f t="shared" si="2"/>
        <v>19.145000000000003</v>
      </c>
      <c r="K26" s="161">
        <f t="shared" si="2"/>
        <v>794.04500000000007</v>
      </c>
      <c r="L26" s="161">
        <f t="shared" si="2"/>
        <v>943.18299999999999</v>
      </c>
      <c r="M26" s="161">
        <f t="shared" si="2"/>
        <v>8.923</v>
      </c>
    </row>
    <row r="27" spans="1:13" ht="18" customHeight="1" x14ac:dyDescent="0.25">
      <c r="A27" s="162"/>
      <c r="B27" s="19" t="s">
        <v>170</v>
      </c>
      <c r="C27" s="20">
        <v>1200</v>
      </c>
      <c r="D27" s="21">
        <v>45</v>
      </c>
      <c r="E27" s="21">
        <v>46</v>
      </c>
      <c r="F27" s="21">
        <v>192</v>
      </c>
      <c r="G27" s="21">
        <v>1360</v>
      </c>
      <c r="H27" s="21">
        <v>450</v>
      </c>
      <c r="I27" s="21">
        <v>0.7</v>
      </c>
      <c r="J27" s="21">
        <v>35</v>
      </c>
      <c r="K27" s="21">
        <v>600</v>
      </c>
      <c r="L27" s="21">
        <v>600</v>
      </c>
      <c r="M27" s="21">
        <v>9</v>
      </c>
    </row>
    <row r="28" spans="1:13" ht="18" customHeight="1" x14ac:dyDescent="0.25">
      <c r="A28" s="163"/>
      <c r="B28" s="23"/>
      <c r="C28" s="24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ht="18" customHeight="1" x14ac:dyDescent="0.25">
      <c r="A29" s="163"/>
      <c r="B29" s="23"/>
      <c r="C29" s="24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36.6" customHeight="1" x14ac:dyDescent="0.25">
      <c r="A30" s="163"/>
      <c r="B30" s="23"/>
      <c r="C30" s="24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ht="16.149999999999999" hidden="1" customHeight="1" x14ac:dyDescent="0.25">
      <c r="B31" s="144"/>
      <c r="C31" s="144"/>
      <c r="D31" s="32"/>
      <c r="E31" s="32"/>
      <c r="F31" s="32"/>
      <c r="G31" s="32"/>
      <c r="H31" s="32"/>
      <c r="I31" s="32"/>
      <c r="J31" s="32"/>
      <c r="K31" s="32"/>
      <c r="L31" s="32"/>
      <c r="M31" s="32"/>
    </row>
  </sheetData>
  <mergeCells count="11">
    <mergeCell ref="H6:J7"/>
    <mergeCell ref="K6:M7"/>
    <mergeCell ref="D7:F7"/>
    <mergeCell ref="A3:B3"/>
    <mergeCell ref="A4:B4"/>
    <mergeCell ref="A5:B5"/>
    <mergeCell ref="A6:A8"/>
    <mergeCell ref="B6:B8"/>
    <mergeCell ref="C6:C8"/>
    <mergeCell ref="D6:F6"/>
    <mergeCell ref="G6:G8"/>
  </mergeCells>
  <pageMargins left="0.7" right="0.7" top="0.75" bottom="0.75" header="0.3" footer="0.3"/>
  <pageSetup paperSize="9" scale="87" fitToWidth="0" orientation="landscape" r:id="rId1"/>
  <rowBreaks count="1" manualBreakCount="1">
    <brk id="30" max="12" man="1"/>
  </rowBreaks>
  <colBreaks count="1" manualBreakCount="1">
    <brk id="1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WhiteSpace="0" view="pageBreakPreview" topLeftCell="A2" zoomScale="80" zoomScaleNormal="70" zoomScaleSheetLayoutView="80" zoomScalePageLayoutView="70" workbookViewId="0">
      <selection activeCell="Q13" sqref="Q13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20" ht="16.149999999999999" hidden="1" customHeight="1" x14ac:dyDescent="0.25">
      <c r="B1" s="144"/>
      <c r="C1" s="144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20" ht="18.75" x14ac:dyDescent="0.25">
      <c r="A2" s="237" t="s">
        <v>77</v>
      </c>
      <c r="B2" s="238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20" x14ac:dyDescent="0.25">
      <c r="A3" s="237" t="s">
        <v>79</v>
      </c>
      <c r="B3" s="238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20" ht="15.75" thickBot="1" x14ac:dyDescent="0.3">
      <c r="A4" s="239" t="s">
        <v>168</v>
      </c>
      <c r="B4" s="240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20" x14ac:dyDescent="0.25">
      <c r="A5" s="192" t="s">
        <v>49</v>
      </c>
      <c r="B5" s="192" t="s">
        <v>50</v>
      </c>
      <c r="C5" s="192" t="s">
        <v>51</v>
      </c>
      <c r="D5" s="207" t="s">
        <v>52</v>
      </c>
      <c r="E5" s="208"/>
      <c r="F5" s="209"/>
      <c r="G5" s="204" t="s">
        <v>53</v>
      </c>
      <c r="H5" s="207" t="s">
        <v>54</v>
      </c>
      <c r="I5" s="208"/>
      <c r="J5" s="209"/>
      <c r="K5" s="207" t="s">
        <v>55</v>
      </c>
      <c r="L5" s="208"/>
      <c r="M5" s="209"/>
    </row>
    <row r="6" spans="1:20" ht="15.75" thickBot="1" x14ac:dyDescent="0.3">
      <c r="A6" s="202"/>
      <c r="B6" s="193"/>
      <c r="C6" s="193"/>
      <c r="D6" s="210" t="s">
        <v>56</v>
      </c>
      <c r="E6" s="211"/>
      <c r="F6" s="212"/>
      <c r="G6" s="205"/>
      <c r="H6" s="210"/>
      <c r="I6" s="211"/>
      <c r="J6" s="212"/>
      <c r="K6" s="210"/>
      <c r="L6" s="211"/>
      <c r="M6" s="212"/>
      <c r="T6" s="32"/>
    </row>
    <row r="7" spans="1:20" ht="16.149999999999999" customHeight="1" thickBot="1" x14ac:dyDescent="0.3">
      <c r="A7" s="203"/>
      <c r="B7" s="194"/>
      <c r="C7" s="194"/>
      <c r="D7" s="33" t="s">
        <v>57</v>
      </c>
      <c r="E7" s="33" t="s">
        <v>58</v>
      </c>
      <c r="F7" s="33" t="s">
        <v>59</v>
      </c>
      <c r="G7" s="206"/>
      <c r="H7" s="33" t="s">
        <v>60</v>
      </c>
      <c r="I7" s="33" t="s">
        <v>84</v>
      </c>
      <c r="J7" s="33" t="s">
        <v>62</v>
      </c>
      <c r="K7" s="33" t="s">
        <v>63</v>
      </c>
      <c r="L7" s="33" t="s">
        <v>81</v>
      </c>
      <c r="M7" s="33" t="s">
        <v>64</v>
      </c>
    </row>
    <row r="8" spans="1:20" ht="16.5" customHeight="1" x14ac:dyDescent="0.25">
      <c r="A8" s="6"/>
      <c r="B8" s="151" t="s">
        <v>65</v>
      </c>
      <c r="C8" s="8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20" ht="30" x14ac:dyDescent="0.25">
      <c r="A9" s="20">
        <v>173</v>
      </c>
      <c r="B9" s="169" t="s">
        <v>163</v>
      </c>
      <c r="C9" s="149">
        <v>200</v>
      </c>
      <c r="D9" s="20">
        <f>16.9*C9/1000</f>
        <v>3.3799999999999994</v>
      </c>
      <c r="E9" s="20">
        <f>109.9*C9/1000</f>
        <v>21.98</v>
      </c>
      <c r="F9" s="20">
        <f>81.9*C9/1000</f>
        <v>16.380000000000003</v>
      </c>
      <c r="G9" s="20">
        <f>1352.4*C9/1000</f>
        <v>270.48</v>
      </c>
      <c r="H9" s="20">
        <f>438.1*C9/1000</f>
        <v>87.62</v>
      </c>
      <c r="I9" s="20">
        <f>0.6*C9/1000</f>
        <v>0.12</v>
      </c>
      <c r="J9" s="20">
        <f>119.1*C9/1000</f>
        <v>23.82</v>
      </c>
      <c r="K9" s="20">
        <f>353.9*C9/1000</f>
        <v>70.78</v>
      </c>
      <c r="L9" s="20">
        <f>428.6*C9/1000</f>
        <v>85.72</v>
      </c>
      <c r="M9" s="20">
        <f>5.7*C9/1000</f>
        <v>1.1399999999999999</v>
      </c>
    </row>
    <row r="10" spans="1:20" x14ac:dyDescent="0.25">
      <c r="A10" s="20">
        <v>338</v>
      </c>
      <c r="B10" s="148" t="s">
        <v>131</v>
      </c>
      <c r="C10" s="149">
        <v>150</v>
      </c>
      <c r="D10" s="20">
        <f>129*C10/1000</f>
        <v>19.350000000000001</v>
      </c>
      <c r="E10" s="20">
        <f>334.2*C10/1000</f>
        <v>50.13</v>
      </c>
      <c r="F10" s="20">
        <f>132.2*C10/1000</f>
        <v>19.829999999999998</v>
      </c>
      <c r="G10" s="20">
        <f>4080*C10/1000</f>
        <v>612</v>
      </c>
      <c r="H10" s="20">
        <f>400*C10/1000</f>
        <v>60</v>
      </c>
      <c r="I10" s="20">
        <f>3.6*C10/1000</f>
        <v>0.54</v>
      </c>
      <c r="J10" s="20">
        <f>42.8*C10/1000</f>
        <v>6.42</v>
      </c>
      <c r="K10" s="20">
        <f>115*C10/1000</f>
        <v>17.25</v>
      </c>
      <c r="L10" s="20">
        <f>1541.6*C10/1000</f>
        <v>231.24</v>
      </c>
      <c r="M10" s="20">
        <f>32*C10/1000</f>
        <v>4.8</v>
      </c>
    </row>
    <row r="11" spans="1:20" x14ac:dyDescent="0.25">
      <c r="A11" s="20">
        <v>386</v>
      </c>
      <c r="B11" s="148" t="s">
        <v>172</v>
      </c>
      <c r="C11" s="149">
        <v>200</v>
      </c>
      <c r="D11" s="20">
        <v>5.8</v>
      </c>
      <c r="E11" s="20">
        <v>5</v>
      </c>
      <c r="F11" s="20">
        <v>8</v>
      </c>
      <c r="G11" s="20">
        <v>100</v>
      </c>
      <c r="H11" s="20">
        <v>40</v>
      </c>
      <c r="I11" s="20">
        <v>0.08</v>
      </c>
      <c r="J11" s="20">
        <v>1.4</v>
      </c>
      <c r="K11" s="20">
        <v>240</v>
      </c>
      <c r="L11" s="20">
        <v>180</v>
      </c>
      <c r="M11" s="20">
        <v>0.2</v>
      </c>
    </row>
    <row r="12" spans="1:20" x14ac:dyDescent="0.25">
      <c r="A12" s="20">
        <v>15</v>
      </c>
      <c r="B12" s="148" t="s">
        <v>9</v>
      </c>
      <c r="C12" s="149">
        <v>15</v>
      </c>
      <c r="D12" s="20">
        <f>232*C12/1000</f>
        <v>3.48</v>
      </c>
      <c r="E12" s="20">
        <f>295*C12/1000</f>
        <v>4.4249999999999998</v>
      </c>
      <c r="F12" s="20">
        <f>0</f>
        <v>0</v>
      </c>
      <c r="G12" s="20">
        <f>3600*C12/1000</f>
        <v>54</v>
      </c>
      <c r="H12" s="20">
        <f>2600*C12/1000</f>
        <v>39</v>
      </c>
      <c r="I12" s="20">
        <f>0.3*C12/1000</f>
        <v>4.4999999999999997E-3</v>
      </c>
      <c r="J12" s="20">
        <f>7*C12/1000</f>
        <v>0.105</v>
      </c>
      <c r="K12" s="20">
        <f>8800*C12/1000</f>
        <v>132</v>
      </c>
      <c r="L12" s="20">
        <f>5000*C12/1000</f>
        <v>75</v>
      </c>
      <c r="M12" s="20">
        <f>10*C12/1000</f>
        <v>0.15</v>
      </c>
    </row>
    <row r="13" spans="1:20" x14ac:dyDescent="0.25">
      <c r="A13" s="152" t="s">
        <v>66</v>
      </c>
      <c r="B13" s="148" t="s">
        <v>33</v>
      </c>
      <c r="C13" s="149">
        <v>40</v>
      </c>
      <c r="D13" s="20">
        <f>107*C13/1000</f>
        <v>4.28</v>
      </c>
      <c r="E13" s="20">
        <f>45*C13/1000</f>
        <v>1.8</v>
      </c>
      <c r="F13" s="20">
        <f>435*C13/1000</f>
        <v>17.399999999999999</v>
      </c>
      <c r="G13" s="20">
        <f>2740*C13/1000</f>
        <v>109.6</v>
      </c>
      <c r="H13" s="20">
        <f>0</f>
        <v>0</v>
      </c>
      <c r="I13" s="20">
        <f>4.1*C13/1000</f>
        <v>0.16400000000000001</v>
      </c>
      <c r="J13" s="20">
        <f>2*C13/1000</f>
        <v>0.08</v>
      </c>
      <c r="K13" s="20">
        <f>1250*C13/1000</f>
        <v>50</v>
      </c>
      <c r="L13" s="20">
        <f>1290*C13/1000</f>
        <v>51.6</v>
      </c>
      <c r="M13" s="20">
        <f>36*C13/1000</f>
        <v>1.44</v>
      </c>
    </row>
    <row r="14" spans="1:20" x14ac:dyDescent="0.25">
      <c r="A14" s="153" t="s">
        <v>70</v>
      </c>
      <c r="B14" s="148" t="s">
        <v>3</v>
      </c>
      <c r="C14" s="149">
        <v>20</v>
      </c>
      <c r="D14" s="150">
        <f>85*C14/1000</f>
        <v>1.7</v>
      </c>
      <c r="E14" s="150">
        <f>33*C14/1000</f>
        <v>0.66</v>
      </c>
      <c r="F14" s="150">
        <f>425*C14/1000</f>
        <v>8.5</v>
      </c>
      <c r="G14" s="150">
        <f>2590*C14/1000</f>
        <v>51.8</v>
      </c>
      <c r="H14" s="154">
        <f>0</f>
        <v>0</v>
      </c>
      <c r="I14" s="150">
        <f>4.3*C14/1000</f>
        <v>8.5999999999999993E-2</v>
      </c>
      <c r="J14" s="150">
        <f>4*C14/1000</f>
        <v>0.08</v>
      </c>
      <c r="K14" s="150">
        <f>730*C14/1000</f>
        <v>14.6</v>
      </c>
      <c r="L14" s="150">
        <f>1250*C14/1000</f>
        <v>25</v>
      </c>
      <c r="M14" s="150">
        <f>28.3*C14/1000</f>
        <v>0.56599999999999995</v>
      </c>
    </row>
    <row r="15" spans="1:20" x14ac:dyDescent="0.25">
      <c r="A15" s="20"/>
      <c r="B15" s="155" t="s">
        <v>67</v>
      </c>
      <c r="C15" s="164">
        <f>SUM(C9:C14)</f>
        <v>625</v>
      </c>
      <c r="D15" s="157">
        <f t="shared" ref="D15:M15" si="0">SUM(D9:D14)</f>
        <v>37.99</v>
      </c>
      <c r="E15" s="157">
        <f t="shared" si="0"/>
        <v>83.99499999999999</v>
      </c>
      <c r="F15" s="157">
        <f t="shared" si="0"/>
        <v>70.11</v>
      </c>
      <c r="G15" s="157">
        <f t="shared" si="0"/>
        <v>1197.8799999999999</v>
      </c>
      <c r="H15" s="157">
        <f t="shared" si="0"/>
        <v>226.62</v>
      </c>
      <c r="I15" s="157">
        <f t="shared" si="0"/>
        <v>0.99449999999999994</v>
      </c>
      <c r="J15" s="157">
        <f t="shared" si="0"/>
        <v>31.904999999999998</v>
      </c>
      <c r="K15" s="157">
        <f t="shared" si="0"/>
        <v>524.63</v>
      </c>
      <c r="L15" s="157">
        <f t="shared" si="0"/>
        <v>648.56000000000006</v>
      </c>
      <c r="M15" s="157">
        <f t="shared" si="0"/>
        <v>8.2960000000000012</v>
      </c>
    </row>
    <row r="16" spans="1:20" ht="18.75" x14ac:dyDescent="0.25">
      <c r="A16" s="20"/>
      <c r="B16" s="158" t="s">
        <v>68</v>
      </c>
      <c r="C16" s="11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x14ac:dyDescent="0.25">
      <c r="A17" s="20">
        <v>81</v>
      </c>
      <c r="B17" s="148" t="s">
        <v>72</v>
      </c>
      <c r="C17" s="149">
        <v>200</v>
      </c>
      <c r="D17" s="20">
        <f>6.4*C17/1000</f>
        <v>1.28</v>
      </c>
      <c r="E17" s="20">
        <f>19.4*C17/1000</f>
        <v>3.8799999999999994</v>
      </c>
      <c r="F17" s="20">
        <f>34.3*C17/1000</f>
        <v>6.8599999999999994</v>
      </c>
      <c r="G17" s="20">
        <f>365*C17/1000</f>
        <v>73</v>
      </c>
      <c r="H17" s="20">
        <f>0</f>
        <v>0</v>
      </c>
      <c r="I17" s="20">
        <f>0.1*C17/1000</f>
        <v>0.02</v>
      </c>
      <c r="J17" s="20">
        <f>43.7*C17/1000</f>
        <v>8.74</v>
      </c>
      <c r="K17" s="20">
        <f>210.1*C17/1000</f>
        <v>42.02</v>
      </c>
      <c r="L17" s="20">
        <f>184.4*C17/1000</f>
        <v>36.880000000000003</v>
      </c>
      <c r="M17" s="20">
        <f>4.4*C17/1000</f>
        <v>0.88000000000000012</v>
      </c>
    </row>
    <row r="18" spans="1:13" x14ac:dyDescent="0.25">
      <c r="A18" s="20">
        <v>310</v>
      </c>
      <c r="B18" s="148" t="s">
        <v>145</v>
      </c>
      <c r="C18" s="149">
        <v>200</v>
      </c>
      <c r="D18" s="20">
        <f>19.1*C18/1000</f>
        <v>3.8200000000000003</v>
      </c>
      <c r="E18" s="20">
        <f>28.8*C18/1000</f>
        <v>5.76</v>
      </c>
      <c r="F18" s="20">
        <f>153.4*C18/1000</f>
        <v>30.68</v>
      </c>
      <c r="G18" s="20">
        <f>949*C18/1000</f>
        <v>189.8</v>
      </c>
      <c r="H18" s="20">
        <f>0</f>
        <v>0</v>
      </c>
      <c r="I18" s="20">
        <f>1*C18/1000</f>
        <v>0.2</v>
      </c>
      <c r="J18" s="20">
        <f>140*C18/1000</f>
        <v>28</v>
      </c>
      <c r="K18" s="20">
        <f>97.6*C18/1000</f>
        <v>19.52</v>
      </c>
      <c r="L18" s="20">
        <f>531.5*C18/1000</f>
        <v>106.3</v>
      </c>
      <c r="M18" s="20">
        <f>7.7*C18/1000</f>
        <v>1.54</v>
      </c>
    </row>
    <row r="19" spans="1:13" x14ac:dyDescent="0.25">
      <c r="A19" s="20">
        <v>234</v>
      </c>
      <c r="B19" s="148" t="s">
        <v>40</v>
      </c>
      <c r="C19" s="149">
        <v>100</v>
      </c>
      <c r="D19" s="20">
        <v>9.8000000000000007</v>
      </c>
      <c r="E19" s="20">
        <v>5</v>
      </c>
      <c r="F19" s="20">
        <v>3.8</v>
      </c>
      <c r="G19" s="20">
        <v>105</v>
      </c>
      <c r="H19" s="20">
        <v>5.8</v>
      </c>
      <c r="I19" s="20">
        <v>0.1</v>
      </c>
      <c r="J19" s="20">
        <v>3.7</v>
      </c>
      <c r="K19" s="20">
        <v>39.1</v>
      </c>
      <c r="L19" s="20">
        <v>162.19999999999999</v>
      </c>
      <c r="M19" s="20">
        <v>0.9</v>
      </c>
    </row>
    <row r="20" spans="1:13" x14ac:dyDescent="0.25">
      <c r="A20" s="20">
        <v>379</v>
      </c>
      <c r="B20" s="148" t="s">
        <v>179</v>
      </c>
      <c r="C20" s="149">
        <v>207</v>
      </c>
      <c r="D20" s="150">
        <f>15.8*C20/1000</f>
        <v>3.2706000000000004</v>
      </c>
      <c r="E20" s="150">
        <f>13.4*C20/1000</f>
        <v>2.7738</v>
      </c>
      <c r="F20" s="150">
        <f>79.7*C20/1000</f>
        <v>16.497900000000001</v>
      </c>
      <c r="G20" s="150">
        <f>503*C20/1000</f>
        <v>104.121</v>
      </c>
      <c r="H20" s="150">
        <f>100*C20/1000</f>
        <v>20.7</v>
      </c>
      <c r="I20" s="150">
        <f>0.22*C20/1000</f>
        <v>4.5539999999999997E-2</v>
      </c>
      <c r="J20" s="150">
        <f>6.5*C20/1000</f>
        <v>1.3454999999999999</v>
      </c>
      <c r="K20" s="150">
        <f>628.9*C20/1000</f>
        <v>130.1823</v>
      </c>
      <c r="L20" s="150">
        <f>450*C20/1000</f>
        <v>93.15</v>
      </c>
      <c r="M20" s="150">
        <f>0.7*C20/1000</f>
        <v>0.14489999999999997</v>
      </c>
    </row>
    <row r="21" spans="1:13" x14ac:dyDescent="0.25">
      <c r="A21" s="152" t="s">
        <v>66</v>
      </c>
      <c r="B21" s="148" t="s">
        <v>33</v>
      </c>
      <c r="C21" s="149">
        <v>40</v>
      </c>
      <c r="D21" s="20">
        <f>107*C21/1000</f>
        <v>4.28</v>
      </c>
      <c r="E21" s="20">
        <f>45*C21/1000</f>
        <v>1.8</v>
      </c>
      <c r="F21" s="20">
        <f>435*C21/1000</f>
        <v>17.399999999999999</v>
      </c>
      <c r="G21" s="20">
        <f>2740*C21/1000</f>
        <v>109.6</v>
      </c>
      <c r="H21" s="20">
        <f>0</f>
        <v>0</v>
      </c>
      <c r="I21" s="20">
        <f>4.1*C21/1000</f>
        <v>0.16400000000000001</v>
      </c>
      <c r="J21" s="20">
        <f>2*C21/1000</f>
        <v>0.08</v>
      </c>
      <c r="K21" s="20">
        <f>1250*C21/1000</f>
        <v>50</v>
      </c>
      <c r="L21" s="20">
        <f>1290*C21/1000</f>
        <v>51.6</v>
      </c>
      <c r="M21" s="20">
        <f>36*C21/1000</f>
        <v>1.44</v>
      </c>
    </row>
    <row r="22" spans="1:13" x14ac:dyDescent="0.25">
      <c r="A22" s="153" t="s">
        <v>70</v>
      </c>
      <c r="B22" s="148" t="s">
        <v>3</v>
      </c>
      <c r="C22" s="149">
        <v>20</v>
      </c>
      <c r="D22" s="150">
        <f>85*C22/1000</f>
        <v>1.7</v>
      </c>
      <c r="E22" s="150">
        <f>33*C22/1000</f>
        <v>0.66</v>
      </c>
      <c r="F22" s="150">
        <f>425*C22/1000</f>
        <v>8.5</v>
      </c>
      <c r="G22" s="150">
        <f>2590*C22/1000</f>
        <v>51.8</v>
      </c>
      <c r="H22" s="154">
        <f>0</f>
        <v>0</v>
      </c>
      <c r="I22" s="150">
        <f>4.3*C22/1000</f>
        <v>8.5999999999999993E-2</v>
      </c>
      <c r="J22" s="150">
        <f>4*C22/1000</f>
        <v>0.08</v>
      </c>
      <c r="K22" s="150">
        <f>730*C22/1000</f>
        <v>14.6</v>
      </c>
      <c r="L22" s="150">
        <f>1250*C22/1000</f>
        <v>25</v>
      </c>
      <c r="M22" s="150">
        <f>28.3*C22/1000</f>
        <v>0.56599999999999995</v>
      </c>
    </row>
    <row r="23" spans="1:13" x14ac:dyDescent="0.25">
      <c r="A23" s="20">
        <v>338</v>
      </c>
      <c r="B23" s="148" t="s">
        <v>131</v>
      </c>
      <c r="C23" s="149">
        <v>100</v>
      </c>
      <c r="D23" s="20">
        <f>129*C23/1000</f>
        <v>12.9</v>
      </c>
      <c r="E23" s="20">
        <f>334.2*C23/1000</f>
        <v>33.42</v>
      </c>
      <c r="F23" s="20">
        <f>132.2*C23/1000</f>
        <v>13.219999999999999</v>
      </c>
      <c r="G23" s="20">
        <f>4080*C23/1000</f>
        <v>408</v>
      </c>
      <c r="H23" s="20">
        <f>400*C23/1000</f>
        <v>40</v>
      </c>
      <c r="I23" s="20">
        <f>3.6*C23/1000</f>
        <v>0.36</v>
      </c>
      <c r="J23" s="20">
        <f>42.8*C23/1000</f>
        <v>4.28</v>
      </c>
      <c r="K23" s="20">
        <f>115*C23/1000</f>
        <v>11.5</v>
      </c>
      <c r="L23" s="20">
        <f>1541.6*C23/1000</f>
        <v>154.16</v>
      </c>
      <c r="M23" s="20">
        <f>32*C23/1000</f>
        <v>3.2</v>
      </c>
    </row>
    <row r="24" spans="1:13" x14ac:dyDescent="0.25">
      <c r="A24" s="20"/>
      <c r="B24" s="148"/>
      <c r="C24" s="149">
        <f>SUM(C17:C23)</f>
        <v>867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s="187" customFormat="1" ht="12.75" x14ac:dyDescent="0.25">
      <c r="A25" s="183"/>
      <c r="B25" s="184" t="s">
        <v>71</v>
      </c>
      <c r="C25" s="185">
        <v>1482</v>
      </c>
      <c r="D25" s="186">
        <f t="shared" ref="D25:M25" si="1">D15+D24</f>
        <v>37.99</v>
      </c>
      <c r="E25" s="186">
        <f t="shared" si="1"/>
        <v>83.99499999999999</v>
      </c>
      <c r="F25" s="186">
        <f t="shared" si="1"/>
        <v>70.11</v>
      </c>
      <c r="G25" s="186">
        <f t="shared" si="1"/>
        <v>1197.8799999999999</v>
      </c>
      <c r="H25" s="186">
        <f t="shared" si="1"/>
        <v>226.62</v>
      </c>
      <c r="I25" s="186">
        <f t="shared" si="1"/>
        <v>0.99449999999999994</v>
      </c>
      <c r="J25" s="186">
        <f t="shared" si="1"/>
        <v>31.904999999999998</v>
      </c>
      <c r="K25" s="186">
        <f t="shared" si="1"/>
        <v>524.63</v>
      </c>
      <c r="L25" s="186">
        <f t="shared" si="1"/>
        <v>648.56000000000006</v>
      </c>
      <c r="M25" s="186">
        <f t="shared" si="1"/>
        <v>8.2960000000000012</v>
      </c>
    </row>
    <row r="26" spans="1:13" ht="18" customHeight="1" x14ac:dyDescent="0.25">
      <c r="A26" s="162"/>
      <c r="B26" s="19" t="s">
        <v>170</v>
      </c>
      <c r="C26" s="20">
        <v>1200</v>
      </c>
      <c r="D26" s="21">
        <v>45</v>
      </c>
      <c r="E26" s="21">
        <v>46</v>
      </c>
      <c r="F26" s="21">
        <v>192</v>
      </c>
      <c r="G26" s="21">
        <v>1360</v>
      </c>
      <c r="H26" s="21">
        <v>450</v>
      </c>
      <c r="I26" s="21">
        <v>0.7</v>
      </c>
      <c r="J26" s="21">
        <v>35</v>
      </c>
      <c r="K26" s="21">
        <v>600</v>
      </c>
      <c r="L26" s="21">
        <v>600</v>
      </c>
      <c r="M26" s="21">
        <v>9</v>
      </c>
    </row>
    <row r="28" spans="1:13" ht="11.45" customHeight="1" x14ac:dyDescent="0.25"/>
    <row r="29" spans="1:13" hidden="1" x14ac:dyDescent="0.25"/>
    <row r="30" spans="1:13" hidden="1" x14ac:dyDescent="0.25"/>
    <row r="31" spans="1:13" ht="73.150000000000006" hidden="1" customHeight="1" x14ac:dyDescent="0.25">
      <c r="A31" s="170"/>
      <c r="B31" s="170"/>
      <c r="C31" s="170"/>
      <c r="D31" s="171"/>
      <c r="E31" s="171"/>
      <c r="F31" s="171"/>
      <c r="G31" s="171"/>
      <c r="H31" s="171"/>
      <c r="I31" s="171"/>
      <c r="J31" s="172" t="s">
        <v>103</v>
      </c>
      <c r="K31" s="172"/>
      <c r="L31" s="172"/>
      <c r="M31" s="172"/>
    </row>
  </sheetData>
  <mergeCells count="11">
    <mergeCell ref="A2:B2"/>
    <mergeCell ref="A3:B3"/>
    <mergeCell ref="A4:B4"/>
    <mergeCell ref="K5:M6"/>
    <mergeCell ref="D6:F6"/>
    <mergeCell ref="A5:A7"/>
    <mergeCell ref="B5:B7"/>
    <mergeCell ref="C5:C7"/>
    <mergeCell ref="D5:F5"/>
    <mergeCell ref="G5:G7"/>
    <mergeCell ref="H5:J6"/>
  </mergeCells>
  <pageMargins left="0.7" right="0.7" top="0.75" bottom="0.75" header="0.3" footer="0.3"/>
  <pageSetup paperSize="9" scale="87" fitToWidth="0" orientation="landscape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1"/>
  <sheetViews>
    <sheetView topLeftCell="A27" zoomScale="63" zoomScaleNormal="63" workbookViewId="0">
      <selection activeCell="X27" sqref="X27"/>
    </sheetView>
  </sheetViews>
  <sheetFormatPr defaultRowHeight="15" x14ac:dyDescent="0.25"/>
  <cols>
    <col min="1" max="1" width="8" style="102" customWidth="1"/>
    <col min="2" max="2" width="31.5703125" customWidth="1"/>
    <col min="4" max="14" width="9.140625" customWidth="1"/>
    <col min="15" max="15" width="6.85546875" customWidth="1"/>
    <col min="16" max="16" width="31" customWidth="1"/>
    <col min="17" max="17" width="8.7109375" customWidth="1"/>
    <col min="18" max="26" width="7.7109375" customWidth="1"/>
    <col min="27" max="28" width="8.42578125" customWidth="1"/>
    <col min="29" max="45" width="7.7109375" customWidth="1"/>
  </cols>
  <sheetData>
    <row r="1" spans="1:45" ht="75" x14ac:dyDescent="0.25">
      <c r="A1" s="101" t="s">
        <v>49</v>
      </c>
      <c r="B1" s="95" t="s">
        <v>109</v>
      </c>
      <c r="C1" s="96" t="s">
        <v>110</v>
      </c>
      <c r="D1" s="97" t="s">
        <v>44</v>
      </c>
      <c r="E1" s="98" t="s">
        <v>43</v>
      </c>
      <c r="F1" s="98" t="s">
        <v>45</v>
      </c>
      <c r="G1" s="98" t="s">
        <v>46</v>
      </c>
      <c r="H1" s="99" t="s">
        <v>47</v>
      </c>
      <c r="I1" s="97" t="s">
        <v>44</v>
      </c>
      <c r="J1" s="98" t="s">
        <v>43</v>
      </c>
      <c r="K1" s="98" t="s">
        <v>45</v>
      </c>
      <c r="L1" s="98" t="s">
        <v>46</v>
      </c>
      <c r="M1" s="99" t="s">
        <v>47</v>
      </c>
      <c r="N1" s="100" t="s">
        <v>111</v>
      </c>
      <c r="P1" s="1"/>
      <c r="Q1" s="66" t="s">
        <v>112</v>
      </c>
      <c r="R1" s="67" t="s">
        <v>22</v>
      </c>
      <c r="S1" s="67" t="s">
        <v>10</v>
      </c>
      <c r="T1" s="67" t="s">
        <v>9</v>
      </c>
      <c r="U1" s="67" t="s">
        <v>23</v>
      </c>
      <c r="V1" s="67" t="s">
        <v>113</v>
      </c>
      <c r="W1" s="67" t="s">
        <v>25</v>
      </c>
      <c r="X1" s="67" t="s">
        <v>26</v>
      </c>
      <c r="Y1" s="67" t="s">
        <v>27</v>
      </c>
      <c r="Z1" s="67" t="s">
        <v>28</v>
      </c>
      <c r="AA1" s="67" t="s">
        <v>7</v>
      </c>
      <c r="AB1" s="67" t="s">
        <v>19</v>
      </c>
      <c r="AC1" s="67" t="s">
        <v>29</v>
      </c>
      <c r="AD1" s="67" t="s">
        <v>8</v>
      </c>
      <c r="AE1" s="67" t="s">
        <v>30</v>
      </c>
      <c r="AF1" s="67" t="s">
        <v>5</v>
      </c>
      <c r="AG1" s="67" t="s">
        <v>6</v>
      </c>
      <c r="AH1" s="67" t="s">
        <v>4</v>
      </c>
      <c r="AI1" s="67" t="s">
        <v>31</v>
      </c>
      <c r="AJ1" s="67" t="s">
        <v>17</v>
      </c>
      <c r="AK1" s="67" t="s">
        <v>12</v>
      </c>
      <c r="AL1" s="67" t="s">
        <v>14</v>
      </c>
      <c r="AM1" s="67" t="s">
        <v>15</v>
      </c>
      <c r="AN1" s="67" t="s">
        <v>16</v>
      </c>
      <c r="AO1" s="67" t="s">
        <v>18</v>
      </c>
      <c r="AP1" s="67" t="s">
        <v>32</v>
      </c>
      <c r="AQ1" s="67" t="s">
        <v>33</v>
      </c>
      <c r="AR1" s="68" t="s">
        <v>3</v>
      </c>
      <c r="AS1" s="68" t="s">
        <v>13</v>
      </c>
    </row>
    <row r="2" spans="1:45" x14ac:dyDescent="0.25">
      <c r="A2" s="118">
        <v>173</v>
      </c>
      <c r="B2" s="113" t="s">
        <v>100</v>
      </c>
      <c r="C2" s="114">
        <v>200</v>
      </c>
      <c r="D2" s="115"/>
      <c r="E2" s="116"/>
      <c r="F2" s="116"/>
      <c r="G2" s="116"/>
      <c r="H2" s="117"/>
      <c r="I2" s="140">
        <v>1</v>
      </c>
      <c r="J2" s="116"/>
      <c r="K2" s="116"/>
      <c r="L2" s="116"/>
      <c r="M2" s="117"/>
      <c r="N2" s="74">
        <f t="shared" ref="N2:N49" si="0">SUM(D2:M2)</f>
        <v>1</v>
      </c>
      <c r="P2" s="113" t="s">
        <v>100</v>
      </c>
      <c r="Q2" s="119">
        <f>100*N2</f>
        <v>100</v>
      </c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>
        <f>50*N2</f>
        <v>50</v>
      </c>
      <c r="AG2" s="120"/>
      <c r="AH2" s="120"/>
      <c r="AI2" s="120"/>
      <c r="AJ2" s="120"/>
      <c r="AK2" s="120"/>
      <c r="AL2" s="120"/>
      <c r="AM2" s="120"/>
      <c r="AN2" s="120"/>
      <c r="AO2" s="75">
        <f>16*N2</f>
        <v>16</v>
      </c>
      <c r="AP2" s="75">
        <f>0.6*N2</f>
        <v>0.6</v>
      </c>
      <c r="AQ2" s="120"/>
      <c r="AR2" s="121"/>
      <c r="AS2" s="121"/>
    </row>
    <row r="3" spans="1:45" x14ac:dyDescent="0.25">
      <c r="A3" s="94">
        <v>376</v>
      </c>
      <c r="B3" s="69" t="s">
        <v>34</v>
      </c>
      <c r="C3" s="70">
        <v>200</v>
      </c>
      <c r="D3" s="71"/>
      <c r="E3" s="133">
        <v>1</v>
      </c>
      <c r="F3" s="72"/>
      <c r="G3" s="72"/>
      <c r="H3" s="73"/>
      <c r="I3" s="71"/>
      <c r="J3" s="133">
        <v>1</v>
      </c>
      <c r="K3" s="72"/>
      <c r="L3" s="72"/>
      <c r="M3" s="134">
        <v>1</v>
      </c>
      <c r="N3" s="74">
        <f t="shared" si="0"/>
        <v>3</v>
      </c>
      <c r="P3" s="69" t="s">
        <v>34</v>
      </c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>
        <f>0.5*N3</f>
        <v>1.5</v>
      </c>
      <c r="AM3" s="75"/>
      <c r="AN3" s="75"/>
      <c r="AO3" s="75">
        <f>15*N3</f>
        <v>45</v>
      </c>
      <c r="AP3" s="75"/>
      <c r="AQ3" s="75"/>
      <c r="AR3" s="75"/>
      <c r="AS3" s="75"/>
    </row>
    <row r="4" spans="1:45" x14ac:dyDescent="0.25">
      <c r="A4" s="94">
        <v>382</v>
      </c>
      <c r="B4" s="69" t="s">
        <v>98</v>
      </c>
      <c r="C4" s="70">
        <v>200</v>
      </c>
      <c r="D4" s="132">
        <v>1</v>
      </c>
      <c r="E4" s="72"/>
      <c r="F4" s="72"/>
      <c r="G4" s="133">
        <v>1</v>
      </c>
      <c r="H4" s="134">
        <v>1</v>
      </c>
      <c r="I4" s="71"/>
      <c r="J4" s="72"/>
      <c r="K4" s="133">
        <v>1</v>
      </c>
      <c r="L4" s="133">
        <v>1</v>
      </c>
      <c r="M4" s="73"/>
      <c r="N4" s="74">
        <f t="shared" si="0"/>
        <v>5</v>
      </c>
      <c r="P4" s="69" t="s">
        <v>98</v>
      </c>
      <c r="Q4" s="75">
        <f>100*N4</f>
        <v>500</v>
      </c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>
        <f>4*N4</f>
        <v>20</v>
      </c>
      <c r="AN4" s="75"/>
      <c r="AO4" s="75">
        <f>20*N4</f>
        <v>100</v>
      </c>
      <c r="AP4" s="75"/>
      <c r="AQ4" s="75"/>
      <c r="AR4" s="75"/>
      <c r="AS4" s="75"/>
    </row>
    <row r="5" spans="1:45" x14ac:dyDescent="0.25">
      <c r="A5" s="94">
        <v>379</v>
      </c>
      <c r="B5" s="69" t="s">
        <v>119</v>
      </c>
      <c r="C5" s="70">
        <v>200</v>
      </c>
      <c r="D5" s="71"/>
      <c r="E5" s="72"/>
      <c r="F5" s="133">
        <v>1</v>
      </c>
      <c r="G5" s="72"/>
      <c r="H5" s="73"/>
      <c r="I5" s="132">
        <v>1</v>
      </c>
      <c r="J5" s="133">
        <v>1</v>
      </c>
      <c r="K5" s="133">
        <v>1</v>
      </c>
      <c r="L5" s="72"/>
      <c r="M5" s="134">
        <v>1</v>
      </c>
      <c r="N5" s="74">
        <f t="shared" si="0"/>
        <v>5</v>
      </c>
      <c r="P5" s="69" t="s">
        <v>119</v>
      </c>
      <c r="Q5" s="75">
        <f>100*N5</f>
        <v>500</v>
      </c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>
        <f>5*N5</f>
        <v>25</v>
      </c>
      <c r="AO5" s="75">
        <f>20*N5</f>
        <v>100</v>
      </c>
      <c r="AP5" s="75"/>
      <c r="AQ5" s="75"/>
      <c r="AR5" s="75"/>
      <c r="AS5" s="75"/>
    </row>
    <row r="6" spans="1:45" x14ac:dyDescent="0.25">
      <c r="A6" s="94"/>
      <c r="B6" s="69"/>
      <c r="C6" s="70"/>
      <c r="D6" s="132"/>
      <c r="E6" s="72"/>
      <c r="F6" s="72"/>
      <c r="G6" s="72"/>
      <c r="H6" s="134"/>
      <c r="I6" s="71"/>
      <c r="J6" s="72"/>
      <c r="K6" s="72"/>
      <c r="L6" s="72"/>
      <c r="M6" s="73"/>
      <c r="N6" s="74"/>
      <c r="P6" s="69" t="s">
        <v>124</v>
      </c>
      <c r="Q6" s="75">
        <f>200*N6</f>
        <v>0</v>
      </c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</row>
    <row r="7" spans="1:45" x14ac:dyDescent="0.25">
      <c r="A7" s="94">
        <v>389</v>
      </c>
      <c r="B7" s="69" t="s">
        <v>120</v>
      </c>
      <c r="C7" s="70">
        <v>200</v>
      </c>
      <c r="D7" s="71"/>
      <c r="E7" s="72"/>
      <c r="F7" s="72"/>
      <c r="G7" s="72"/>
      <c r="H7" s="134">
        <v>1</v>
      </c>
      <c r="I7" s="132">
        <v>1</v>
      </c>
      <c r="J7" s="133">
        <v>1</v>
      </c>
      <c r="K7" s="72"/>
      <c r="L7" s="133">
        <v>1</v>
      </c>
      <c r="M7" s="73"/>
      <c r="N7" s="74">
        <f t="shared" si="0"/>
        <v>4</v>
      </c>
      <c r="P7" s="69" t="s">
        <v>120</v>
      </c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>
        <f>200*N7</f>
        <v>800</v>
      </c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</row>
    <row r="8" spans="1:45" x14ac:dyDescent="0.25">
      <c r="A8" s="94">
        <v>349</v>
      </c>
      <c r="B8" s="69"/>
      <c r="C8" s="70"/>
      <c r="D8" s="71"/>
      <c r="E8" s="72"/>
      <c r="F8" s="133"/>
      <c r="G8" s="72"/>
      <c r="H8" s="73"/>
      <c r="I8" s="71"/>
      <c r="J8" s="72"/>
      <c r="K8" s="72"/>
      <c r="L8" s="72"/>
      <c r="M8" s="73"/>
      <c r="N8" s="74">
        <f t="shared" si="0"/>
        <v>0</v>
      </c>
      <c r="P8" s="69" t="s">
        <v>37</v>
      </c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>
        <f>50*N8</f>
        <v>0</v>
      </c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>
        <f>20*N8</f>
        <v>0</v>
      </c>
      <c r="AP8" s="75"/>
      <c r="AQ8" s="75"/>
      <c r="AR8" s="75"/>
      <c r="AS8" s="75"/>
    </row>
    <row r="9" spans="1:45" x14ac:dyDescent="0.25">
      <c r="A9" s="94">
        <v>342</v>
      </c>
      <c r="B9" s="69" t="s">
        <v>114</v>
      </c>
      <c r="C9" s="70">
        <v>200</v>
      </c>
      <c r="D9" s="132">
        <v>1</v>
      </c>
      <c r="E9" s="72"/>
      <c r="F9" s="72"/>
      <c r="G9" s="133">
        <v>1</v>
      </c>
      <c r="H9" s="73"/>
      <c r="I9" s="71"/>
      <c r="J9" s="72"/>
      <c r="K9" s="72"/>
      <c r="L9" s="72"/>
      <c r="M9" s="73"/>
      <c r="N9" s="74">
        <f t="shared" si="0"/>
        <v>2</v>
      </c>
      <c r="P9" s="69" t="s">
        <v>114</v>
      </c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>
        <f>40*N9</f>
        <v>80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>
        <f>24*N9</f>
        <v>48</v>
      </c>
      <c r="AP9" s="75"/>
      <c r="AQ9" s="75"/>
      <c r="AR9" s="75"/>
      <c r="AS9" s="75"/>
    </row>
    <row r="10" spans="1:45" x14ac:dyDescent="0.25">
      <c r="A10" s="94">
        <v>359</v>
      </c>
      <c r="B10" s="69" t="s">
        <v>140</v>
      </c>
      <c r="C10" s="70">
        <v>200</v>
      </c>
      <c r="D10" s="71"/>
      <c r="E10" s="133">
        <v>1</v>
      </c>
      <c r="F10" s="72"/>
      <c r="G10" s="72"/>
      <c r="H10" s="73"/>
      <c r="I10" s="132">
        <v>1</v>
      </c>
      <c r="J10" s="72"/>
      <c r="K10" s="72"/>
      <c r="L10" s="72"/>
      <c r="M10" s="73"/>
      <c r="N10" s="74">
        <f t="shared" si="0"/>
        <v>2</v>
      </c>
      <c r="P10" s="69" t="s">
        <v>140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>
        <f>60*N10</f>
        <v>120</v>
      </c>
      <c r="AF10" s="75"/>
      <c r="AG10" s="75"/>
      <c r="AH10" s="75"/>
      <c r="AI10" s="75"/>
      <c r="AJ10" s="75">
        <f>10*N10</f>
        <v>20</v>
      </c>
      <c r="AK10" s="75"/>
      <c r="AL10" s="75"/>
      <c r="AM10" s="75"/>
      <c r="AN10" s="75"/>
      <c r="AO10" s="75">
        <f>20*N10</f>
        <v>40</v>
      </c>
      <c r="AP10" s="75"/>
      <c r="AQ10" s="75"/>
      <c r="AR10" s="75"/>
      <c r="AS10" s="75"/>
    </row>
    <row r="11" spans="1:45" x14ac:dyDescent="0.25">
      <c r="A11" s="94"/>
      <c r="B11" s="69" t="s">
        <v>33</v>
      </c>
      <c r="C11" s="70">
        <v>30</v>
      </c>
      <c r="D11" s="132">
        <v>2</v>
      </c>
      <c r="E11" s="133">
        <v>2</v>
      </c>
      <c r="F11" s="133">
        <v>2</v>
      </c>
      <c r="G11" s="133">
        <v>2</v>
      </c>
      <c r="H11" s="134">
        <v>2</v>
      </c>
      <c r="I11" s="132">
        <v>2</v>
      </c>
      <c r="J11" s="133">
        <v>2</v>
      </c>
      <c r="K11" s="133">
        <v>2</v>
      </c>
      <c r="L11" s="133">
        <v>2</v>
      </c>
      <c r="M11" s="134">
        <v>2</v>
      </c>
      <c r="N11" s="74">
        <f t="shared" si="0"/>
        <v>20</v>
      </c>
      <c r="P11" s="69" t="s">
        <v>33</v>
      </c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>
        <f>30*N11</f>
        <v>600</v>
      </c>
      <c r="AR11" s="75"/>
      <c r="AS11" s="75"/>
    </row>
    <row r="12" spans="1:45" x14ac:dyDescent="0.25">
      <c r="A12" s="94"/>
      <c r="B12" s="69" t="s">
        <v>3</v>
      </c>
      <c r="C12" s="70">
        <v>20</v>
      </c>
      <c r="D12" s="132">
        <v>2</v>
      </c>
      <c r="E12" s="133">
        <v>1</v>
      </c>
      <c r="F12" s="133">
        <v>2</v>
      </c>
      <c r="G12" s="133">
        <v>2</v>
      </c>
      <c r="H12" s="134">
        <v>2</v>
      </c>
      <c r="I12" s="132">
        <v>2</v>
      </c>
      <c r="J12" s="133">
        <v>1</v>
      </c>
      <c r="K12" s="133">
        <v>2</v>
      </c>
      <c r="L12" s="133">
        <v>2</v>
      </c>
      <c r="M12" s="134">
        <v>2</v>
      </c>
      <c r="N12" s="74">
        <f t="shared" si="0"/>
        <v>18</v>
      </c>
      <c r="P12" s="69" t="s">
        <v>3</v>
      </c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>
        <f>20*N12</f>
        <v>360</v>
      </c>
      <c r="AS12" s="75"/>
    </row>
    <row r="13" spans="1:45" x14ac:dyDescent="0.25">
      <c r="A13" s="94">
        <v>14</v>
      </c>
      <c r="B13" s="69" t="s">
        <v>35</v>
      </c>
      <c r="C13" s="70"/>
      <c r="D13" s="71"/>
      <c r="E13" s="72"/>
      <c r="F13" s="72"/>
      <c r="G13" s="133"/>
      <c r="H13" s="134"/>
      <c r="I13" s="71"/>
      <c r="J13" s="72"/>
      <c r="K13" s="133"/>
      <c r="L13" s="72"/>
      <c r="M13" s="73"/>
      <c r="N13" s="74">
        <f t="shared" si="0"/>
        <v>0</v>
      </c>
      <c r="P13" s="69" t="s">
        <v>35</v>
      </c>
      <c r="Q13" s="75"/>
      <c r="R13" s="75"/>
      <c r="S13" s="75"/>
      <c r="T13" s="75"/>
      <c r="U13" s="75">
        <f>5*N13</f>
        <v>0</v>
      </c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</row>
    <row r="14" spans="1:45" x14ac:dyDescent="0.25">
      <c r="A14" s="94">
        <v>14</v>
      </c>
      <c r="B14" s="69" t="s">
        <v>35</v>
      </c>
      <c r="C14" s="70">
        <v>10</v>
      </c>
      <c r="D14" s="132">
        <v>1</v>
      </c>
      <c r="E14" s="133">
        <v>1</v>
      </c>
      <c r="F14" s="72"/>
      <c r="G14" s="72"/>
      <c r="H14" s="73"/>
      <c r="I14" s="132">
        <v>1</v>
      </c>
      <c r="J14" s="133">
        <v>1</v>
      </c>
      <c r="K14" s="133">
        <v>1</v>
      </c>
      <c r="L14" s="72"/>
      <c r="M14" s="134">
        <v>1</v>
      </c>
      <c r="N14" s="74">
        <f t="shared" si="0"/>
        <v>6</v>
      </c>
      <c r="P14" s="69" t="s">
        <v>35</v>
      </c>
      <c r="Q14" s="75"/>
      <c r="R14" s="75"/>
      <c r="S14" s="75"/>
      <c r="T14" s="75"/>
      <c r="U14" s="75">
        <f>10*N14</f>
        <v>60</v>
      </c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</row>
    <row r="15" spans="1:45" x14ac:dyDescent="0.25">
      <c r="A15" s="94">
        <v>15</v>
      </c>
      <c r="B15" s="69" t="s">
        <v>9</v>
      </c>
      <c r="C15" s="70">
        <v>30</v>
      </c>
      <c r="D15" s="71"/>
      <c r="E15" s="72"/>
      <c r="F15" s="72"/>
      <c r="G15" s="133">
        <v>1</v>
      </c>
      <c r="H15" s="134"/>
      <c r="I15" s="71"/>
      <c r="J15" s="72"/>
      <c r="K15" s="72"/>
      <c r="L15" s="72"/>
      <c r="M15" s="134">
        <v>1</v>
      </c>
      <c r="N15" s="74">
        <f t="shared" si="0"/>
        <v>2</v>
      </c>
      <c r="P15" s="69" t="s">
        <v>9</v>
      </c>
      <c r="Q15" s="75"/>
      <c r="R15" s="75"/>
      <c r="S15" s="75"/>
      <c r="T15" s="75">
        <v>15</v>
      </c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</row>
    <row r="16" spans="1:45" x14ac:dyDescent="0.25">
      <c r="A16" s="94">
        <v>208</v>
      </c>
      <c r="B16" s="69" t="s">
        <v>148</v>
      </c>
      <c r="C16" s="70">
        <v>40</v>
      </c>
      <c r="D16" s="71"/>
      <c r="E16" s="72"/>
      <c r="F16" s="72"/>
      <c r="G16" s="72"/>
      <c r="H16" s="73"/>
      <c r="I16" s="71"/>
      <c r="J16" s="72"/>
      <c r="K16" s="72"/>
      <c r="L16" s="133">
        <v>1</v>
      </c>
      <c r="M16" s="73"/>
      <c r="N16" s="74">
        <f t="shared" si="0"/>
        <v>1</v>
      </c>
      <c r="P16" s="69" t="s">
        <v>149</v>
      </c>
      <c r="Q16" s="75"/>
      <c r="R16" s="75"/>
      <c r="S16" s="75"/>
      <c r="T16" s="75"/>
      <c r="U16" s="75"/>
      <c r="V16" s="75">
        <f>40*N16</f>
        <v>40</v>
      </c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</row>
    <row r="17" spans="1:45" x14ac:dyDescent="0.25">
      <c r="A17" s="94">
        <v>338</v>
      </c>
      <c r="B17" s="69" t="s">
        <v>131</v>
      </c>
      <c r="C17" s="70">
        <v>100</v>
      </c>
      <c r="D17" s="71"/>
      <c r="E17" s="72"/>
      <c r="F17" s="133">
        <v>1</v>
      </c>
      <c r="G17" s="133">
        <v>1</v>
      </c>
      <c r="H17" s="73"/>
      <c r="I17" s="71"/>
      <c r="J17" s="72"/>
      <c r="K17" s="133">
        <v>1</v>
      </c>
      <c r="L17" s="72"/>
      <c r="M17" s="134">
        <v>1</v>
      </c>
      <c r="N17" s="74">
        <f t="shared" si="0"/>
        <v>4</v>
      </c>
      <c r="P17" s="69" t="s">
        <v>131</v>
      </c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>
        <f>100*N17</f>
        <v>400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</row>
    <row r="18" spans="1:45" x14ac:dyDescent="0.25">
      <c r="A18" s="94">
        <v>338</v>
      </c>
      <c r="B18" s="69" t="s">
        <v>131</v>
      </c>
      <c r="C18" s="70">
        <v>150</v>
      </c>
      <c r="D18" s="132">
        <v>1</v>
      </c>
      <c r="E18" s="133">
        <v>1</v>
      </c>
      <c r="F18" s="72"/>
      <c r="G18" s="72"/>
      <c r="H18" s="73"/>
      <c r="I18" s="71"/>
      <c r="J18" s="133">
        <v>1</v>
      </c>
      <c r="K18" s="72"/>
      <c r="L18" s="72"/>
      <c r="M18" s="73"/>
      <c r="N18" s="74">
        <f t="shared" si="0"/>
        <v>3</v>
      </c>
      <c r="P18" s="69" t="s">
        <v>131</v>
      </c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>
        <f>150*N18</f>
        <v>450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</row>
    <row r="19" spans="1:45" x14ac:dyDescent="0.25">
      <c r="A19" s="94"/>
      <c r="B19" s="69" t="s">
        <v>13</v>
      </c>
      <c r="C19" s="70">
        <v>50</v>
      </c>
      <c r="D19" s="71"/>
      <c r="E19" s="72"/>
      <c r="F19" s="72"/>
      <c r="G19" s="72"/>
      <c r="H19" s="73"/>
      <c r="I19" s="71"/>
      <c r="J19" s="72"/>
      <c r="K19" s="133">
        <v>1</v>
      </c>
      <c r="L19" s="72"/>
      <c r="M19" s="73"/>
      <c r="N19" s="74">
        <f t="shared" si="0"/>
        <v>1</v>
      </c>
      <c r="P19" s="69" t="s">
        <v>13</v>
      </c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>
        <f>50*N19</f>
        <v>50</v>
      </c>
    </row>
    <row r="20" spans="1:45" x14ac:dyDescent="0.25">
      <c r="A20" s="94">
        <v>71</v>
      </c>
      <c r="B20" s="69" t="s">
        <v>36</v>
      </c>
      <c r="C20" s="70">
        <v>100</v>
      </c>
      <c r="D20" s="132">
        <v>1</v>
      </c>
      <c r="E20" s="72"/>
      <c r="F20" s="72"/>
      <c r="G20" s="72"/>
      <c r="H20" s="134">
        <v>1</v>
      </c>
      <c r="I20" s="71"/>
      <c r="J20" s="133">
        <v>1</v>
      </c>
      <c r="K20" s="72"/>
      <c r="L20" s="72"/>
      <c r="M20" s="73"/>
      <c r="N20" s="74">
        <f t="shared" si="0"/>
        <v>3</v>
      </c>
      <c r="P20" s="69" t="s">
        <v>36</v>
      </c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>
        <f>100*N20</f>
        <v>300</v>
      </c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</row>
    <row r="21" spans="1:45" x14ac:dyDescent="0.25">
      <c r="A21" s="94">
        <v>71</v>
      </c>
      <c r="B21" s="69" t="s">
        <v>83</v>
      </c>
      <c r="C21" s="70">
        <v>100</v>
      </c>
      <c r="D21" s="71"/>
      <c r="E21" s="72"/>
      <c r="F21" s="133">
        <v>1</v>
      </c>
      <c r="G21" s="72"/>
      <c r="H21" s="73"/>
      <c r="I21" s="132">
        <v>1</v>
      </c>
      <c r="J21" s="72"/>
      <c r="K21" s="133">
        <v>1</v>
      </c>
      <c r="L21" s="72"/>
      <c r="M21" s="134">
        <v>1</v>
      </c>
      <c r="N21" s="74">
        <f t="shared" si="0"/>
        <v>4</v>
      </c>
      <c r="P21" s="69" t="s">
        <v>83</v>
      </c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>
        <f>100*N21</f>
        <v>400</v>
      </c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</row>
    <row r="22" spans="1:45" x14ac:dyDescent="0.25">
      <c r="A22" s="94">
        <v>45</v>
      </c>
      <c r="B22" s="69" t="s">
        <v>107</v>
      </c>
      <c r="C22" s="70">
        <v>100</v>
      </c>
      <c r="D22" s="71"/>
      <c r="E22" s="133">
        <v>1</v>
      </c>
      <c r="F22" s="72"/>
      <c r="G22" s="72"/>
      <c r="H22" s="134">
        <v>1</v>
      </c>
      <c r="I22" s="71"/>
      <c r="J22" s="72"/>
      <c r="K22" s="133">
        <v>1</v>
      </c>
      <c r="L22" s="72"/>
      <c r="M22" s="73"/>
      <c r="N22" s="74">
        <f t="shared" si="0"/>
        <v>3</v>
      </c>
      <c r="P22" s="69" t="s">
        <v>107</v>
      </c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>
        <f>89*N22</f>
        <v>267</v>
      </c>
      <c r="AC22" s="65"/>
      <c r="AD22" s="65"/>
      <c r="AE22" s="65"/>
      <c r="AF22" s="65"/>
      <c r="AG22" s="65"/>
      <c r="AH22" s="65"/>
      <c r="AI22" s="65"/>
      <c r="AJ22" s="65"/>
      <c r="AK22" s="65">
        <f>5*N22</f>
        <v>15</v>
      </c>
      <c r="AL22" s="65"/>
      <c r="AM22" s="65"/>
      <c r="AN22" s="65"/>
      <c r="AO22" s="65">
        <f>5*N22</f>
        <v>15</v>
      </c>
      <c r="AP22" s="65">
        <f>1.5*N22</f>
        <v>4.5</v>
      </c>
      <c r="AQ22" s="65"/>
      <c r="AR22" s="65"/>
      <c r="AS22" s="65"/>
    </row>
    <row r="23" spans="1:45" x14ac:dyDescent="0.25">
      <c r="A23" s="94">
        <v>62</v>
      </c>
      <c r="B23" s="69" t="s">
        <v>108</v>
      </c>
      <c r="C23" s="70">
        <v>100</v>
      </c>
      <c r="D23" s="71"/>
      <c r="E23" s="72"/>
      <c r="F23" s="72"/>
      <c r="G23" s="133">
        <v>1</v>
      </c>
      <c r="H23" s="73"/>
      <c r="I23" s="71"/>
      <c r="J23" s="72"/>
      <c r="K23" s="72"/>
      <c r="L23" s="133">
        <v>1</v>
      </c>
      <c r="M23" s="73"/>
      <c r="N23" s="74">
        <f t="shared" si="0"/>
        <v>2</v>
      </c>
      <c r="P23" s="69" t="s">
        <v>108</v>
      </c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>
        <f>96*N23</f>
        <v>192</v>
      </c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>
        <f>5*N23</f>
        <v>10</v>
      </c>
      <c r="AP23" s="65"/>
      <c r="AQ23" s="65"/>
      <c r="AR23" s="65"/>
      <c r="AS23" s="65"/>
    </row>
    <row r="24" spans="1:45" x14ac:dyDescent="0.25">
      <c r="A24" s="94">
        <v>87</v>
      </c>
      <c r="B24" s="69" t="s">
        <v>121</v>
      </c>
      <c r="C24" s="70">
        <v>250</v>
      </c>
      <c r="D24" s="132">
        <v>1</v>
      </c>
      <c r="E24" s="72"/>
      <c r="F24" s="72"/>
      <c r="G24" s="72"/>
      <c r="H24" s="73"/>
      <c r="I24" s="71"/>
      <c r="J24" s="72"/>
      <c r="K24" s="133">
        <v>1</v>
      </c>
      <c r="L24" s="72"/>
      <c r="M24" s="73"/>
      <c r="N24" s="74">
        <f t="shared" si="0"/>
        <v>2</v>
      </c>
      <c r="P24" s="69" t="s">
        <v>121</v>
      </c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>
        <f>92.5*N24</f>
        <v>185</v>
      </c>
      <c r="AC24" s="65"/>
      <c r="AD24" s="65"/>
      <c r="AE24" s="65"/>
      <c r="AF24" s="65"/>
      <c r="AG24" s="65"/>
      <c r="AH24" s="65">
        <f>2.5*N24</f>
        <v>5</v>
      </c>
      <c r="AI24" s="65"/>
      <c r="AJ24" s="65"/>
      <c r="AK24" s="65">
        <f>5*N24</f>
        <v>10</v>
      </c>
      <c r="AL24" s="65"/>
      <c r="AM24" s="65"/>
      <c r="AN24" s="65"/>
      <c r="AO24" s="65"/>
      <c r="AP24" s="65">
        <f>1.25*N24</f>
        <v>2.5</v>
      </c>
      <c r="AQ24" s="65"/>
      <c r="AR24" s="65"/>
      <c r="AS24" s="65"/>
    </row>
    <row r="25" spans="1:45" x14ac:dyDescent="0.25">
      <c r="A25" s="94">
        <v>81</v>
      </c>
      <c r="B25" s="69" t="s">
        <v>122</v>
      </c>
      <c r="C25" s="70">
        <v>250</v>
      </c>
      <c r="D25" s="71"/>
      <c r="E25" s="133">
        <v>1</v>
      </c>
      <c r="F25" s="72"/>
      <c r="G25" s="72"/>
      <c r="H25" s="134">
        <v>1</v>
      </c>
      <c r="I25" s="71"/>
      <c r="J25" s="72"/>
      <c r="K25" s="72"/>
      <c r="L25" s="72"/>
      <c r="M25" s="134">
        <v>1</v>
      </c>
      <c r="N25" s="74">
        <f t="shared" si="0"/>
        <v>3</v>
      </c>
      <c r="P25" s="69" t="s">
        <v>122</v>
      </c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>
        <f>92.5*N25</f>
        <v>277.5</v>
      </c>
      <c r="AC25" s="65"/>
      <c r="AD25" s="65"/>
      <c r="AE25" s="65"/>
      <c r="AF25" s="65"/>
      <c r="AG25" s="65"/>
      <c r="AH25" s="65"/>
      <c r="AI25" s="65"/>
      <c r="AJ25" s="65"/>
      <c r="AK25" s="65">
        <f>5*N25</f>
        <v>15</v>
      </c>
      <c r="AL25" s="65"/>
      <c r="AM25" s="65"/>
      <c r="AN25" s="65"/>
      <c r="AO25" s="65">
        <f>2.5*N25</f>
        <v>7.5</v>
      </c>
      <c r="AP25" s="65">
        <f>1.25*N25</f>
        <v>3.75</v>
      </c>
      <c r="AQ25" s="65"/>
      <c r="AR25" s="65"/>
      <c r="AS25" s="65"/>
    </row>
    <row r="26" spans="1:45" s="136" customFormat="1" x14ac:dyDescent="0.25">
      <c r="A26" s="81">
        <v>104</v>
      </c>
      <c r="B26" s="69" t="s">
        <v>143</v>
      </c>
      <c r="C26" s="70">
        <v>250</v>
      </c>
      <c r="D26" s="71"/>
      <c r="E26" s="72"/>
      <c r="F26" s="72"/>
      <c r="G26" s="72"/>
      <c r="H26" s="73"/>
      <c r="I26" s="71"/>
      <c r="J26" s="72"/>
      <c r="K26" s="72"/>
      <c r="L26" s="133">
        <v>1</v>
      </c>
      <c r="M26" s="73"/>
      <c r="N26" s="135">
        <f t="shared" si="0"/>
        <v>1</v>
      </c>
      <c r="P26" s="69" t="s">
        <v>143</v>
      </c>
      <c r="Q26" s="72"/>
      <c r="R26" s="72"/>
      <c r="S26" s="72"/>
      <c r="T26" s="72"/>
      <c r="U26" s="72"/>
      <c r="V26" s="72">
        <f>3*N26</f>
        <v>3</v>
      </c>
      <c r="W26" s="72">
        <f>40*N26</f>
        <v>40</v>
      </c>
      <c r="X26" s="72"/>
      <c r="Y26" s="72"/>
      <c r="Z26" s="72"/>
      <c r="AA26" s="72">
        <f>100*N26</f>
        <v>100</v>
      </c>
      <c r="AB26" s="72">
        <f>24*N26</f>
        <v>24</v>
      </c>
      <c r="AC26" s="72"/>
      <c r="AD26" s="72"/>
      <c r="AE26" s="72"/>
      <c r="AF26" s="72"/>
      <c r="AG26" s="72"/>
      <c r="AH26" s="72"/>
      <c r="AI26" s="72"/>
      <c r="AJ26" s="72"/>
      <c r="AK26" s="72">
        <f>3*N26</f>
        <v>3</v>
      </c>
      <c r="AL26" s="72"/>
      <c r="AM26" s="72"/>
      <c r="AN26" s="72"/>
      <c r="AO26" s="72"/>
      <c r="AP26" s="72">
        <f>1*N26</f>
        <v>1</v>
      </c>
      <c r="AQ26" s="72"/>
      <c r="AR26" s="72"/>
      <c r="AS26" s="72"/>
    </row>
    <row r="27" spans="1:45" x14ac:dyDescent="0.25">
      <c r="A27" s="94">
        <v>102</v>
      </c>
      <c r="B27" s="69" t="s">
        <v>115</v>
      </c>
      <c r="C27" s="70">
        <v>250</v>
      </c>
      <c r="D27" s="71"/>
      <c r="E27" s="72"/>
      <c r="F27" s="72"/>
      <c r="G27" s="72"/>
      <c r="H27" s="73"/>
      <c r="I27" s="71"/>
      <c r="J27" s="133">
        <v>1</v>
      </c>
      <c r="K27" s="72"/>
      <c r="L27" s="72"/>
      <c r="M27" s="73"/>
      <c r="N27" s="74">
        <f t="shared" si="0"/>
        <v>1</v>
      </c>
      <c r="P27" s="69" t="s">
        <v>115</v>
      </c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>
        <f>50*N27</f>
        <v>50</v>
      </c>
      <c r="AB27" s="65">
        <f>22.5*N27</f>
        <v>22.5</v>
      </c>
      <c r="AC27" s="65"/>
      <c r="AD27" s="65"/>
      <c r="AE27" s="65"/>
      <c r="AF27" s="65">
        <f>20*N27</f>
        <v>20</v>
      </c>
      <c r="AG27" s="65"/>
      <c r="AH27" s="65"/>
      <c r="AI27" s="65"/>
      <c r="AJ27" s="65"/>
      <c r="AK27" s="65">
        <f>5*N27</f>
        <v>5</v>
      </c>
      <c r="AL27" s="65"/>
      <c r="AM27" s="65"/>
      <c r="AN27" s="65"/>
      <c r="AO27" s="65"/>
      <c r="AP27" s="65">
        <f>1.25*N27</f>
        <v>1.25</v>
      </c>
      <c r="AQ27" s="65"/>
      <c r="AR27" s="65"/>
      <c r="AS27" s="65"/>
    </row>
    <row r="28" spans="1:45" x14ac:dyDescent="0.25">
      <c r="A28" s="94">
        <v>96</v>
      </c>
      <c r="B28" s="69" t="s">
        <v>41</v>
      </c>
      <c r="C28" s="70">
        <v>250</v>
      </c>
      <c r="D28" s="71"/>
      <c r="E28" s="72"/>
      <c r="F28" s="133">
        <v>1</v>
      </c>
      <c r="G28" s="72"/>
      <c r="H28" s="73"/>
      <c r="I28" s="132">
        <v>1</v>
      </c>
      <c r="J28" s="72"/>
      <c r="K28" s="72"/>
      <c r="L28" s="72"/>
      <c r="M28" s="73"/>
      <c r="N28" s="74">
        <f t="shared" si="0"/>
        <v>2</v>
      </c>
      <c r="P28" s="69" t="s">
        <v>41</v>
      </c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>
        <f>75*N28</f>
        <v>150</v>
      </c>
      <c r="AB28" s="65">
        <f>30*N28</f>
        <v>60</v>
      </c>
      <c r="AC28" s="65"/>
      <c r="AD28" s="65"/>
      <c r="AE28" s="65"/>
      <c r="AF28" s="65">
        <f>5*N28</f>
        <v>10</v>
      </c>
      <c r="AG28" s="65"/>
      <c r="AH28" s="65"/>
      <c r="AI28" s="65"/>
      <c r="AJ28" s="65"/>
      <c r="AK28" s="65">
        <f>5*N28</f>
        <v>10</v>
      </c>
      <c r="AL28" s="65"/>
      <c r="AM28" s="65"/>
      <c r="AN28" s="65"/>
      <c r="AO28" s="65"/>
      <c r="AP28" s="65">
        <f>1.25*N28</f>
        <v>2.5</v>
      </c>
      <c r="AQ28" s="65"/>
      <c r="AR28" s="65"/>
      <c r="AS28" s="65"/>
    </row>
    <row r="29" spans="1:45" x14ac:dyDescent="0.25">
      <c r="A29" s="94">
        <v>103</v>
      </c>
      <c r="B29" s="69" t="s">
        <v>116</v>
      </c>
      <c r="C29" s="70">
        <v>250</v>
      </c>
      <c r="D29" s="71"/>
      <c r="E29" s="72"/>
      <c r="F29" s="72"/>
      <c r="G29" s="133">
        <v>1</v>
      </c>
      <c r="H29" s="73"/>
      <c r="I29" s="71"/>
      <c r="J29" s="72"/>
      <c r="K29" s="72"/>
      <c r="L29" s="72"/>
      <c r="M29" s="73"/>
      <c r="N29" s="74">
        <f t="shared" si="0"/>
        <v>1</v>
      </c>
      <c r="P29" s="69" t="s">
        <v>116</v>
      </c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>
        <f>75*N29</f>
        <v>75</v>
      </c>
      <c r="AB29" s="65">
        <f>20*N29</f>
        <v>20</v>
      </c>
      <c r="AC29" s="65"/>
      <c r="AD29" s="65"/>
      <c r="AE29" s="65"/>
      <c r="AF29" s="65"/>
      <c r="AG29" s="65">
        <f>10*N29</f>
        <v>10</v>
      </c>
      <c r="AH29" s="65"/>
      <c r="AI29" s="65"/>
      <c r="AJ29" s="65"/>
      <c r="AK29" s="65">
        <f>2.5*N29</f>
        <v>2.5</v>
      </c>
      <c r="AL29" s="65"/>
      <c r="AM29" s="65"/>
      <c r="AN29" s="65"/>
      <c r="AO29" s="65"/>
      <c r="AP29" s="65">
        <f>1.25*N29</f>
        <v>1.25</v>
      </c>
      <c r="AQ29" s="65"/>
      <c r="AR29" s="65"/>
      <c r="AS29" s="65"/>
    </row>
    <row r="30" spans="1:45" x14ac:dyDescent="0.25">
      <c r="A30" s="94">
        <v>143</v>
      </c>
      <c r="B30" s="76" t="s">
        <v>93</v>
      </c>
      <c r="C30" s="70">
        <v>200</v>
      </c>
      <c r="D30" s="71"/>
      <c r="E30" s="133">
        <v>1</v>
      </c>
      <c r="F30" s="72"/>
      <c r="G30" s="72"/>
      <c r="H30" s="73"/>
      <c r="I30" s="71"/>
      <c r="J30" s="72"/>
      <c r="K30" s="72"/>
      <c r="L30" s="72"/>
      <c r="M30" s="134">
        <v>1</v>
      </c>
      <c r="N30" s="74">
        <f t="shared" si="0"/>
        <v>2</v>
      </c>
      <c r="P30" s="76" t="s">
        <v>93</v>
      </c>
      <c r="Q30" s="65"/>
      <c r="R30" s="65"/>
      <c r="S30" s="65">
        <f>15*N30</f>
        <v>30</v>
      </c>
      <c r="T30" s="65"/>
      <c r="U30" s="65"/>
      <c r="V30" s="65"/>
      <c r="W30" s="65"/>
      <c r="X30" s="65"/>
      <c r="Y30" s="65"/>
      <c r="Z30" s="65"/>
      <c r="AA30" s="65">
        <f>64*N30</f>
        <v>128</v>
      </c>
      <c r="AB30" s="65">
        <f>120*N30</f>
        <v>240</v>
      </c>
      <c r="AC30" s="65"/>
      <c r="AD30" s="65"/>
      <c r="AE30" s="65"/>
      <c r="AF30" s="65"/>
      <c r="AG30" s="65"/>
      <c r="AH30" s="65">
        <f>4.5*N30</f>
        <v>9</v>
      </c>
      <c r="AI30" s="65"/>
      <c r="AJ30" s="65"/>
      <c r="AK30" s="65">
        <f>8*N30</f>
        <v>16</v>
      </c>
      <c r="AL30" s="65"/>
      <c r="AM30" s="65"/>
      <c r="AN30" s="65"/>
      <c r="AO30" s="65"/>
      <c r="AP30" s="65">
        <f>1.6*N30</f>
        <v>3.2</v>
      </c>
      <c r="AQ30" s="65"/>
      <c r="AR30" s="65"/>
      <c r="AS30" s="65"/>
    </row>
    <row r="31" spans="1:45" x14ac:dyDescent="0.25">
      <c r="A31" s="94">
        <v>304</v>
      </c>
      <c r="B31" s="69" t="s">
        <v>39</v>
      </c>
      <c r="C31" s="70">
        <v>200</v>
      </c>
      <c r="D31" s="132">
        <v>1</v>
      </c>
      <c r="E31" s="72"/>
      <c r="F31" s="72"/>
      <c r="G31" s="72"/>
      <c r="H31" s="73"/>
      <c r="I31" s="71"/>
      <c r="J31" s="72"/>
      <c r="K31" s="72"/>
      <c r="L31" s="133">
        <v>1</v>
      </c>
      <c r="M31" s="73"/>
      <c r="N31" s="74">
        <f t="shared" si="0"/>
        <v>2</v>
      </c>
      <c r="P31" s="69" t="s">
        <v>39</v>
      </c>
      <c r="Q31" s="65"/>
      <c r="R31" s="65"/>
      <c r="S31" s="65"/>
      <c r="T31" s="65"/>
      <c r="U31" s="65">
        <f>9*N31</f>
        <v>18</v>
      </c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>
        <f>72*N31</f>
        <v>144</v>
      </c>
      <c r="AG31" s="65"/>
      <c r="AH31" s="65"/>
      <c r="AI31" s="65"/>
      <c r="AJ31" s="65"/>
      <c r="AK31" s="65"/>
      <c r="AL31" s="65"/>
      <c r="AM31" s="65"/>
      <c r="AN31" s="65"/>
      <c r="AO31" s="65"/>
      <c r="AP31" s="65">
        <f>2*N31</f>
        <v>4</v>
      </c>
      <c r="AQ31" s="65"/>
      <c r="AR31" s="65"/>
      <c r="AS31" s="65"/>
    </row>
    <row r="32" spans="1:45" x14ac:dyDescent="0.25">
      <c r="A32" s="94">
        <v>310</v>
      </c>
      <c r="B32" s="69" t="s">
        <v>145</v>
      </c>
      <c r="C32" s="70">
        <v>200</v>
      </c>
      <c r="D32" s="71"/>
      <c r="E32" s="72"/>
      <c r="F32" s="72"/>
      <c r="G32" s="72"/>
      <c r="H32" s="73"/>
      <c r="I32" s="71"/>
      <c r="J32" s="72"/>
      <c r="K32" s="72"/>
      <c r="L32" s="72"/>
      <c r="M32" s="134">
        <v>1</v>
      </c>
      <c r="N32" s="74">
        <f t="shared" si="0"/>
        <v>1</v>
      </c>
      <c r="P32" s="69" t="s">
        <v>145</v>
      </c>
      <c r="Q32" s="65"/>
      <c r="R32" s="65"/>
      <c r="S32" s="65"/>
      <c r="T32" s="65"/>
      <c r="U32" s="65">
        <f>7*N32</f>
        <v>7</v>
      </c>
      <c r="V32" s="65"/>
      <c r="W32" s="65"/>
      <c r="X32" s="65"/>
      <c r="Y32" s="65"/>
      <c r="Z32" s="65"/>
      <c r="AA32" s="65">
        <f>200*N32</f>
        <v>200</v>
      </c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>
        <f>2*N32</f>
        <v>2</v>
      </c>
      <c r="AQ32" s="65"/>
      <c r="AR32" s="65"/>
      <c r="AS32" s="65"/>
    </row>
    <row r="33" spans="1:45" x14ac:dyDescent="0.25">
      <c r="A33" s="94">
        <v>312</v>
      </c>
      <c r="B33" s="69" t="s">
        <v>42</v>
      </c>
      <c r="C33" s="70">
        <v>200</v>
      </c>
      <c r="D33" s="71"/>
      <c r="E33" s="72"/>
      <c r="F33" s="72"/>
      <c r="G33" s="133">
        <v>1</v>
      </c>
      <c r="H33" s="134">
        <v>1</v>
      </c>
      <c r="I33" s="71"/>
      <c r="J33" s="72"/>
      <c r="K33" s="133">
        <v>1</v>
      </c>
      <c r="L33" s="72"/>
      <c r="M33" s="73"/>
      <c r="N33" s="74">
        <f t="shared" si="0"/>
        <v>3</v>
      </c>
      <c r="P33" s="69" t="s">
        <v>42</v>
      </c>
      <c r="Q33" s="65">
        <f>30*N33</f>
        <v>90</v>
      </c>
      <c r="R33" s="65"/>
      <c r="S33" s="65"/>
      <c r="T33" s="65"/>
      <c r="U33" s="65">
        <f>9*N33</f>
        <v>27</v>
      </c>
      <c r="V33" s="65"/>
      <c r="W33" s="65"/>
      <c r="X33" s="65"/>
      <c r="Y33" s="65"/>
      <c r="Z33" s="65"/>
      <c r="AA33" s="65">
        <f>171*N33</f>
        <v>513</v>
      </c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>
        <f>2*N33</f>
        <v>6</v>
      </c>
      <c r="AQ33" s="65"/>
      <c r="AR33" s="65"/>
      <c r="AS33" s="65"/>
    </row>
    <row r="34" spans="1:45" x14ac:dyDescent="0.25">
      <c r="A34" s="94">
        <v>218</v>
      </c>
      <c r="B34" s="77" t="s">
        <v>125</v>
      </c>
      <c r="C34" s="70">
        <v>100</v>
      </c>
      <c r="D34" s="71"/>
      <c r="E34" s="133">
        <v>1</v>
      </c>
      <c r="F34" s="72"/>
      <c r="G34" s="72"/>
      <c r="H34" s="73"/>
      <c r="I34" s="71"/>
      <c r="J34" s="133">
        <v>1</v>
      </c>
      <c r="K34" s="72"/>
      <c r="L34" s="72"/>
      <c r="M34" s="73"/>
      <c r="N34" s="74">
        <f t="shared" si="0"/>
        <v>2</v>
      </c>
      <c r="P34" s="77" t="s">
        <v>125</v>
      </c>
      <c r="Q34" s="65"/>
      <c r="R34" s="65">
        <f>77.9*N34</f>
        <v>155.80000000000001</v>
      </c>
      <c r="S34" s="65"/>
      <c r="T34" s="65"/>
      <c r="U34" s="65"/>
      <c r="V34" s="65">
        <f>5.7*N34</f>
        <v>11.4</v>
      </c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>
        <f>11*N34</f>
        <v>22</v>
      </c>
      <c r="AI34" s="65"/>
      <c r="AJ34" s="65"/>
      <c r="AK34" s="65"/>
      <c r="AL34" s="65"/>
      <c r="AM34" s="65"/>
      <c r="AN34" s="65"/>
      <c r="AO34" s="65">
        <f>15.7*N34</f>
        <v>31.4</v>
      </c>
      <c r="AP34" s="65">
        <f>1.8*N34</f>
        <v>3.6</v>
      </c>
      <c r="AQ34" s="65"/>
      <c r="AR34" s="65"/>
      <c r="AS34" s="65"/>
    </row>
    <row r="35" spans="1:45" x14ac:dyDescent="0.25">
      <c r="A35" s="94">
        <v>289</v>
      </c>
      <c r="B35" s="76" t="s">
        <v>85</v>
      </c>
      <c r="C35" s="70">
        <v>200</v>
      </c>
      <c r="D35" s="132">
        <v>1</v>
      </c>
      <c r="E35" s="72"/>
      <c r="F35" s="72"/>
      <c r="G35" s="72"/>
      <c r="H35" s="73"/>
      <c r="I35" s="71"/>
      <c r="J35" s="72"/>
      <c r="K35" s="133">
        <v>1</v>
      </c>
      <c r="L35" s="72"/>
      <c r="M35" s="73"/>
      <c r="N35" s="74">
        <f t="shared" si="0"/>
        <v>2</v>
      </c>
      <c r="P35" s="76" t="s">
        <v>85</v>
      </c>
      <c r="Q35" s="65"/>
      <c r="R35" s="65"/>
      <c r="S35" s="65"/>
      <c r="T35" s="65"/>
      <c r="U35" s="65"/>
      <c r="V35" s="65"/>
      <c r="W35" s="65"/>
      <c r="X35" s="65">
        <f>78*N35</f>
        <v>156</v>
      </c>
      <c r="Y35" s="65"/>
      <c r="Z35" s="65"/>
      <c r="AA35" s="65">
        <f>91*N35</f>
        <v>182</v>
      </c>
      <c r="AB35" s="65">
        <f>30*N35</f>
        <v>60</v>
      </c>
      <c r="AC35" s="65"/>
      <c r="AD35" s="65"/>
      <c r="AE35" s="65"/>
      <c r="AF35" s="65"/>
      <c r="AG35" s="65"/>
      <c r="AH35" s="65">
        <f>1*N35</f>
        <v>2</v>
      </c>
      <c r="AI35" s="65"/>
      <c r="AJ35" s="65"/>
      <c r="AK35" s="65">
        <f>7*N35</f>
        <v>14</v>
      </c>
      <c r="AL35" s="65"/>
      <c r="AM35" s="65"/>
      <c r="AN35" s="65"/>
      <c r="AO35" s="65"/>
      <c r="AP35" s="65">
        <f>1*N35</f>
        <v>2</v>
      </c>
      <c r="AQ35" s="65"/>
      <c r="AR35" s="65"/>
      <c r="AS35" s="65"/>
    </row>
    <row r="36" spans="1:45" x14ac:dyDescent="0.25">
      <c r="A36" s="94">
        <v>291</v>
      </c>
      <c r="B36" s="78" t="s">
        <v>99</v>
      </c>
      <c r="C36" s="70">
        <v>250</v>
      </c>
      <c r="D36" s="71"/>
      <c r="E36" s="72"/>
      <c r="F36" s="72"/>
      <c r="G36" s="72"/>
      <c r="H36" s="73"/>
      <c r="I36" s="71"/>
      <c r="J36" s="133">
        <v>1</v>
      </c>
      <c r="K36" s="72"/>
      <c r="L36" s="72"/>
      <c r="M36" s="73"/>
      <c r="N36" s="74">
        <f t="shared" si="0"/>
        <v>1</v>
      </c>
      <c r="P36" s="78" t="s">
        <v>99</v>
      </c>
      <c r="Q36" s="65"/>
      <c r="R36" s="65"/>
      <c r="S36" s="65"/>
      <c r="T36" s="65"/>
      <c r="U36" s="65"/>
      <c r="V36" s="65"/>
      <c r="W36" s="65"/>
      <c r="X36" s="65">
        <f>113*N36</f>
        <v>113</v>
      </c>
      <c r="Y36" s="65"/>
      <c r="Z36" s="65"/>
      <c r="AA36" s="65"/>
      <c r="AB36" s="65">
        <f>25*N36</f>
        <v>25</v>
      </c>
      <c r="AC36" s="65"/>
      <c r="AD36" s="65"/>
      <c r="AE36" s="65"/>
      <c r="AF36" s="65">
        <f>58*N36</f>
        <v>58</v>
      </c>
      <c r="AG36" s="65"/>
      <c r="AH36" s="65"/>
      <c r="AI36" s="65"/>
      <c r="AJ36" s="65"/>
      <c r="AK36" s="65">
        <f>12*N36</f>
        <v>12</v>
      </c>
      <c r="AL36" s="65"/>
      <c r="AM36" s="65"/>
      <c r="AN36" s="65"/>
      <c r="AO36" s="65"/>
      <c r="AP36" s="65">
        <f>1*N36</f>
        <v>1</v>
      </c>
      <c r="AQ36" s="65"/>
      <c r="AR36" s="65"/>
      <c r="AS36" s="65"/>
    </row>
    <row r="37" spans="1:45" x14ac:dyDescent="0.25">
      <c r="A37" s="94">
        <v>284</v>
      </c>
      <c r="B37" s="78" t="s">
        <v>126</v>
      </c>
      <c r="C37" s="79">
        <v>100</v>
      </c>
      <c r="D37" s="80"/>
      <c r="E37" s="81"/>
      <c r="F37" s="81"/>
      <c r="G37" s="131">
        <v>1</v>
      </c>
      <c r="H37" s="82"/>
      <c r="I37" s="80"/>
      <c r="J37" s="81"/>
      <c r="K37" s="81"/>
      <c r="L37" s="81"/>
      <c r="M37" s="82"/>
      <c r="N37" s="74">
        <f t="shared" si="0"/>
        <v>1</v>
      </c>
      <c r="P37" s="78" t="s">
        <v>126</v>
      </c>
      <c r="Q37" s="65"/>
      <c r="R37" s="65"/>
      <c r="S37" s="65">
        <f>11.5*N37</f>
        <v>11.5</v>
      </c>
      <c r="T37" s="65"/>
      <c r="U37" s="65">
        <f>1*N37</f>
        <v>1</v>
      </c>
      <c r="V37" s="65"/>
      <c r="W37" s="65"/>
      <c r="X37" s="65"/>
      <c r="Y37" s="65">
        <f>74*N37</f>
        <v>74</v>
      </c>
      <c r="Z37" s="65"/>
      <c r="AA37" s="65"/>
      <c r="AB37" s="65">
        <f>10*N37</f>
        <v>10</v>
      </c>
      <c r="AC37" s="65"/>
      <c r="AD37" s="65"/>
      <c r="AE37" s="65"/>
      <c r="AF37" s="65"/>
      <c r="AG37" s="65"/>
      <c r="AH37" s="65">
        <f>3.5*N37</f>
        <v>3.5</v>
      </c>
      <c r="AI37" s="65"/>
      <c r="AJ37" s="65"/>
      <c r="AK37" s="65">
        <f>6*N37</f>
        <v>6</v>
      </c>
      <c r="AL37" s="65"/>
      <c r="AM37" s="65"/>
      <c r="AN37" s="65"/>
      <c r="AO37" s="65"/>
      <c r="AP37" s="65">
        <f>0.5*N37</f>
        <v>0.5</v>
      </c>
      <c r="AQ37" s="65"/>
      <c r="AR37" s="65"/>
      <c r="AS37" s="65"/>
    </row>
    <row r="38" spans="1:45" x14ac:dyDescent="0.25">
      <c r="A38" s="94">
        <v>284</v>
      </c>
      <c r="B38" s="78" t="s">
        <v>126</v>
      </c>
      <c r="C38" s="79">
        <v>150</v>
      </c>
      <c r="D38" s="80"/>
      <c r="E38" s="81"/>
      <c r="F38" s="81"/>
      <c r="G38" s="81"/>
      <c r="H38" s="82"/>
      <c r="I38" s="80"/>
      <c r="J38" s="81"/>
      <c r="K38" s="81"/>
      <c r="L38" s="81"/>
      <c r="M38" s="139">
        <v>1</v>
      </c>
      <c r="N38" s="74">
        <f t="shared" si="0"/>
        <v>1</v>
      </c>
      <c r="P38" s="78" t="s">
        <v>126</v>
      </c>
      <c r="Q38" s="65"/>
      <c r="R38" s="65"/>
      <c r="S38" s="65">
        <f>17.3*N38</f>
        <v>17.3</v>
      </c>
      <c r="T38" s="65"/>
      <c r="U38" s="65">
        <f>1.5*N38</f>
        <v>1.5</v>
      </c>
      <c r="V38" s="65"/>
      <c r="W38" s="65"/>
      <c r="X38" s="65"/>
      <c r="Y38" s="65">
        <f>111*N38</f>
        <v>111</v>
      </c>
      <c r="Z38" s="65"/>
      <c r="AA38" s="65"/>
      <c r="AB38" s="65">
        <f>15*N38</f>
        <v>15</v>
      </c>
      <c r="AC38" s="65"/>
      <c r="AD38" s="65"/>
      <c r="AE38" s="65"/>
      <c r="AF38" s="65"/>
      <c r="AG38" s="65"/>
      <c r="AH38" s="65">
        <f>5.3*N38</f>
        <v>5.3</v>
      </c>
      <c r="AI38" s="65"/>
      <c r="AJ38" s="65"/>
      <c r="AK38" s="65">
        <f>9*N38</f>
        <v>9</v>
      </c>
      <c r="AL38" s="65"/>
      <c r="AM38" s="65"/>
      <c r="AN38" s="65"/>
      <c r="AO38" s="65"/>
      <c r="AP38" s="65">
        <f>0.5*N38</f>
        <v>0.5</v>
      </c>
      <c r="AQ38" s="65"/>
      <c r="AR38" s="65"/>
      <c r="AS38" s="65"/>
    </row>
    <row r="39" spans="1:45" x14ac:dyDescent="0.25">
      <c r="A39" s="94">
        <v>263</v>
      </c>
      <c r="B39" s="69" t="s">
        <v>142</v>
      </c>
      <c r="C39" s="79">
        <v>250</v>
      </c>
      <c r="D39" s="80"/>
      <c r="E39" s="81"/>
      <c r="F39" s="81"/>
      <c r="G39" s="131">
        <v>1</v>
      </c>
      <c r="H39" s="82"/>
      <c r="I39" s="80"/>
      <c r="J39" s="81"/>
      <c r="K39" s="81"/>
      <c r="L39" s="81"/>
      <c r="M39" s="82"/>
      <c r="N39" s="74">
        <f t="shared" si="0"/>
        <v>1</v>
      </c>
      <c r="P39" s="69" t="s">
        <v>142</v>
      </c>
      <c r="Q39" s="65"/>
      <c r="R39" s="65"/>
      <c r="S39" s="65"/>
      <c r="T39" s="65"/>
      <c r="U39" s="65"/>
      <c r="V39" s="65"/>
      <c r="W39" s="65">
        <f>100*N39</f>
        <v>100</v>
      </c>
      <c r="X39" s="65"/>
      <c r="Y39" s="65"/>
      <c r="Z39" s="65"/>
      <c r="AA39" s="65">
        <f>114*N39</f>
        <v>114</v>
      </c>
      <c r="AB39" s="65">
        <f>38*N39</f>
        <v>38</v>
      </c>
      <c r="AC39" s="65"/>
      <c r="AD39" s="65"/>
      <c r="AE39" s="65"/>
      <c r="AF39" s="65"/>
      <c r="AG39" s="65"/>
      <c r="AH39" s="65">
        <f>3*N39</f>
        <v>3</v>
      </c>
      <c r="AI39" s="65"/>
      <c r="AJ39" s="65"/>
      <c r="AK39" s="65">
        <f>11*N39</f>
        <v>11</v>
      </c>
      <c r="AL39" s="65"/>
      <c r="AM39" s="65"/>
      <c r="AN39" s="65"/>
      <c r="AO39" s="65"/>
      <c r="AP39" s="65">
        <f>1*N39</f>
        <v>1</v>
      </c>
      <c r="AQ39" s="65"/>
      <c r="AR39" s="65"/>
      <c r="AS39" s="65"/>
    </row>
    <row r="40" spans="1:45" x14ac:dyDescent="0.25">
      <c r="A40" s="94">
        <v>229</v>
      </c>
      <c r="B40" s="69" t="s">
        <v>117</v>
      </c>
      <c r="C40" s="79">
        <v>140</v>
      </c>
      <c r="D40" s="137">
        <v>1</v>
      </c>
      <c r="E40" s="81"/>
      <c r="F40" s="81"/>
      <c r="G40" s="81"/>
      <c r="H40" s="82"/>
      <c r="I40" s="80"/>
      <c r="J40" s="81"/>
      <c r="K40" s="81"/>
      <c r="L40" s="131">
        <v>1</v>
      </c>
      <c r="M40" s="82"/>
      <c r="N40" s="74">
        <f t="shared" si="0"/>
        <v>2</v>
      </c>
      <c r="P40" s="69" t="s">
        <v>117</v>
      </c>
      <c r="Q40" s="65"/>
      <c r="R40" s="65"/>
      <c r="S40" s="65"/>
      <c r="T40" s="65"/>
      <c r="U40" s="65"/>
      <c r="V40" s="65"/>
      <c r="W40" s="65"/>
      <c r="X40" s="65"/>
      <c r="Y40" s="65"/>
      <c r="Z40" s="65">
        <f>86.8*N40</f>
        <v>173.6</v>
      </c>
      <c r="AA40" s="65"/>
      <c r="AB40" s="65">
        <f>42*N40</f>
        <v>84</v>
      </c>
      <c r="AC40" s="65"/>
      <c r="AD40" s="65"/>
      <c r="AE40" s="65"/>
      <c r="AF40" s="65"/>
      <c r="AG40" s="65"/>
      <c r="AH40" s="65"/>
      <c r="AI40" s="65"/>
      <c r="AJ40" s="65"/>
      <c r="AK40" s="65">
        <f>7*N40</f>
        <v>14</v>
      </c>
      <c r="AL40" s="65"/>
      <c r="AM40" s="65"/>
      <c r="AN40" s="65"/>
      <c r="AO40" s="65">
        <f>2.8*N40</f>
        <v>5.6</v>
      </c>
      <c r="AP40" s="65">
        <f>1.4*N40</f>
        <v>2.8</v>
      </c>
      <c r="AQ40" s="65"/>
      <c r="AR40" s="65"/>
      <c r="AS40" s="65"/>
    </row>
    <row r="41" spans="1:45" x14ac:dyDescent="0.25">
      <c r="A41" s="94">
        <v>234</v>
      </c>
      <c r="B41" s="69" t="s">
        <v>40</v>
      </c>
      <c r="C41" s="79">
        <v>100</v>
      </c>
      <c r="D41" s="80"/>
      <c r="E41" s="81"/>
      <c r="F41" s="131">
        <v>1</v>
      </c>
      <c r="G41" s="81"/>
      <c r="H41" s="139">
        <v>1</v>
      </c>
      <c r="I41" s="80"/>
      <c r="J41" s="81"/>
      <c r="K41" s="131">
        <v>1</v>
      </c>
      <c r="L41" s="81"/>
      <c r="M41" s="82"/>
      <c r="N41" s="74">
        <f t="shared" si="0"/>
        <v>3</v>
      </c>
      <c r="P41" s="69" t="s">
        <v>40</v>
      </c>
      <c r="Q41" s="65"/>
      <c r="R41" s="65"/>
      <c r="S41" s="65"/>
      <c r="T41" s="65"/>
      <c r="U41" s="65"/>
      <c r="V41" s="65"/>
      <c r="W41" s="65"/>
      <c r="X41" s="65"/>
      <c r="Y41" s="65"/>
      <c r="Z41" s="65">
        <f>66*N41</f>
        <v>198</v>
      </c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>
        <f>10*N41</f>
        <v>30</v>
      </c>
      <c r="AL41" s="65"/>
      <c r="AM41" s="65"/>
      <c r="AN41" s="65"/>
      <c r="AO41" s="65"/>
      <c r="AP41" s="65">
        <f>1*N41</f>
        <v>3</v>
      </c>
      <c r="AQ41" s="65">
        <f>28*N41</f>
        <v>84</v>
      </c>
      <c r="AR41" s="65"/>
      <c r="AS41" s="65"/>
    </row>
    <row r="42" spans="1:45" x14ac:dyDescent="0.25">
      <c r="A42" s="94">
        <v>210</v>
      </c>
      <c r="B42" s="69" t="s">
        <v>96</v>
      </c>
      <c r="C42" s="70">
        <v>75</v>
      </c>
      <c r="D42" s="71"/>
      <c r="E42" s="133">
        <v>1</v>
      </c>
      <c r="F42" s="72"/>
      <c r="G42" s="72"/>
      <c r="H42" s="73"/>
      <c r="I42" s="71"/>
      <c r="J42" s="133">
        <v>1</v>
      </c>
      <c r="K42" s="72"/>
      <c r="L42" s="72"/>
      <c r="M42" s="73"/>
      <c r="N42" s="74">
        <f t="shared" si="0"/>
        <v>2</v>
      </c>
      <c r="P42" s="69" t="s">
        <v>96</v>
      </c>
      <c r="Q42" s="65">
        <f>21.2*N42</f>
        <v>42.4</v>
      </c>
      <c r="R42" s="65"/>
      <c r="S42" s="65"/>
      <c r="T42" s="65"/>
      <c r="U42" s="65">
        <f>2.9*N42</f>
        <v>5.8</v>
      </c>
      <c r="V42" s="65">
        <f>56.6*N42</f>
        <v>113.2</v>
      </c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>
        <f>0.75*N42</f>
        <v>1.5</v>
      </c>
      <c r="AQ42" s="65"/>
      <c r="AR42" s="65"/>
      <c r="AS42" s="65"/>
    </row>
    <row r="43" spans="1:45" x14ac:dyDescent="0.25">
      <c r="A43" s="94"/>
      <c r="B43" s="69" t="s">
        <v>141</v>
      </c>
      <c r="C43" s="79">
        <v>40</v>
      </c>
      <c r="D43" s="80"/>
      <c r="E43" s="81"/>
      <c r="F43" s="131">
        <v>1</v>
      </c>
      <c r="G43" s="81"/>
      <c r="H43" s="82"/>
      <c r="I43" s="80"/>
      <c r="J43" s="81"/>
      <c r="K43" s="81"/>
      <c r="L43" s="81"/>
      <c r="M43" s="82"/>
      <c r="N43" s="74">
        <f t="shared" si="0"/>
        <v>1</v>
      </c>
      <c r="P43" s="69" t="s">
        <v>141</v>
      </c>
      <c r="Q43" s="65">
        <f>160*N43</f>
        <v>160</v>
      </c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</row>
    <row r="44" spans="1:45" x14ac:dyDescent="0.25">
      <c r="A44" s="94">
        <v>219</v>
      </c>
      <c r="B44" s="69" t="s">
        <v>94</v>
      </c>
      <c r="C44" s="70">
        <v>150</v>
      </c>
      <c r="D44" s="71"/>
      <c r="E44" s="72"/>
      <c r="F44" s="133">
        <v>1</v>
      </c>
      <c r="G44" s="72"/>
      <c r="H44" s="73"/>
      <c r="I44" s="71"/>
      <c r="J44" s="72"/>
      <c r="K44" s="72"/>
      <c r="L44" s="72"/>
      <c r="M44" s="73"/>
      <c r="N44" s="74">
        <f t="shared" si="0"/>
        <v>1</v>
      </c>
      <c r="P44" s="69" t="s">
        <v>94</v>
      </c>
      <c r="Q44" s="65"/>
      <c r="R44" s="65">
        <f>150*N44</f>
        <v>150</v>
      </c>
      <c r="S44" s="65"/>
      <c r="T44" s="65"/>
      <c r="U44" s="65"/>
      <c r="V44" s="65">
        <f>6*N44</f>
        <v>6</v>
      </c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>
        <f>21*N44</f>
        <v>21</v>
      </c>
      <c r="AI44" s="65"/>
      <c r="AJ44" s="65"/>
      <c r="AK44" s="65">
        <f>9*N44</f>
        <v>9</v>
      </c>
      <c r="AL44" s="65"/>
      <c r="AM44" s="65"/>
      <c r="AN44" s="65"/>
      <c r="AO44" s="65">
        <f>12*N44</f>
        <v>12</v>
      </c>
      <c r="AP44" s="65">
        <f>0.75*N44</f>
        <v>0.75</v>
      </c>
      <c r="AQ44" s="65"/>
      <c r="AR44" s="65"/>
      <c r="AS44" s="65"/>
    </row>
    <row r="45" spans="1:45" x14ac:dyDescent="0.25">
      <c r="A45" s="94">
        <v>268</v>
      </c>
      <c r="B45" s="69" t="s">
        <v>127</v>
      </c>
      <c r="C45" s="70">
        <v>100</v>
      </c>
      <c r="D45" s="71"/>
      <c r="E45" s="133">
        <v>1</v>
      </c>
      <c r="F45" s="72"/>
      <c r="G45" s="72"/>
      <c r="H45" s="134">
        <v>1</v>
      </c>
      <c r="I45" s="71"/>
      <c r="J45" s="72"/>
      <c r="K45" s="72"/>
      <c r="L45" s="72"/>
      <c r="M45" s="134">
        <v>1</v>
      </c>
      <c r="N45" s="74">
        <f t="shared" si="0"/>
        <v>3</v>
      </c>
      <c r="P45" s="69" t="s">
        <v>127</v>
      </c>
      <c r="Q45" s="65"/>
      <c r="R45" s="65"/>
      <c r="S45" s="65"/>
      <c r="T45" s="65"/>
      <c r="U45" s="65"/>
      <c r="V45" s="65"/>
      <c r="W45" s="65">
        <f>74*N45</f>
        <v>222</v>
      </c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>
        <f>6*N45</f>
        <v>18</v>
      </c>
      <c r="AL45" s="65"/>
      <c r="AM45" s="65"/>
      <c r="AN45" s="65"/>
      <c r="AO45" s="65"/>
      <c r="AP45" s="65">
        <f>0.5*N45</f>
        <v>1.5</v>
      </c>
      <c r="AQ45" s="65">
        <f>28*N45</f>
        <v>84</v>
      </c>
      <c r="AR45" s="65"/>
      <c r="AS45" s="65"/>
    </row>
    <row r="46" spans="1:45" x14ac:dyDescent="0.25">
      <c r="A46" s="94">
        <v>321</v>
      </c>
      <c r="B46" s="83" t="s">
        <v>128</v>
      </c>
      <c r="C46" s="84">
        <v>200</v>
      </c>
      <c r="D46" s="85"/>
      <c r="E46" s="86"/>
      <c r="F46" s="138">
        <v>1</v>
      </c>
      <c r="G46" s="86"/>
      <c r="H46" s="87"/>
      <c r="I46" s="141">
        <v>1</v>
      </c>
      <c r="J46" s="86"/>
      <c r="K46" s="86"/>
      <c r="L46" s="86"/>
      <c r="M46" s="87"/>
      <c r="N46" s="88">
        <f t="shared" si="0"/>
        <v>2</v>
      </c>
      <c r="P46" s="83" t="s">
        <v>128</v>
      </c>
      <c r="Q46" s="65"/>
      <c r="R46" s="65"/>
      <c r="S46" s="65"/>
      <c r="T46" s="65"/>
      <c r="U46" s="65">
        <f>7*N46</f>
        <v>14</v>
      </c>
      <c r="V46" s="65"/>
      <c r="W46" s="65"/>
      <c r="X46" s="65"/>
      <c r="Y46" s="65"/>
      <c r="Z46" s="65"/>
      <c r="AA46" s="65"/>
      <c r="AB46" s="65">
        <f>241*N46</f>
        <v>482</v>
      </c>
      <c r="AC46" s="65"/>
      <c r="AD46" s="65"/>
      <c r="AE46" s="65"/>
      <c r="AF46" s="65"/>
      <c r="AG46" s="65"/>
      <c r="AH46" s="65">
        <f>2*N46</f>
        <v>4</v>
      </c>
      <c r="AI46" s="65"/>
      <c r="AJ46" s="65"/>
      <c r="AK46" s="65"/>
      <c r="AL46" s="65"/>
      <c r="AM46" s="65"/>
      <c r="AN46" s="65"/>
      <c r="AO46" s="65">
        <f>6*N46</f>
        <v>12</v>
      </c>
      <c r="AP46" s="65">
        <f>2*N46</f>
        <v>4</v>
      </c>
      <c r="AQ46" s="65"/>
      <c r="AR46" s="65"/>
      <c r="AS46" s="65"/>
    </row>
    <row r="47" spans="1:45" x14ac:dyDescent="0.25">
      <c r="A47" s="94">
        <v>278</v>
      </c>
      <c r="B47" s="69" t="s">
        <v>129</v>
      </c>
      <c r="C47" s="70">
        <v>150</v>
      </c>
      <c r="D47" s="71"/>
      <c r="E47" s="72"/>
      <c r="F47" s="72"/>
      <c r="G47" s="72"/>
      <c r="H47" s="73"/>
      <c r="I47" s="132">
        <v>1</v>
      </c>
      <c r="J47" s="72"/>
      <c r="K47" s="72"/>
      <c r="L47" s="72"/>
      <c r="M47" s="73"/>
      <c r="N47" s="88">
        <f t="shared" si="0"/>
        <v>1</v>
      </c>
      <c r="P47" s="69" t="s">
        <v>129</v>
      </c>
      <c r="Q47" s="65"/>
      <c r="R47" s="65"/>
      <c r="S47" s="65">
        <f>17*N47</f>
        <v>17</v>
      </c>
      <c r="T47" s="65"/>
      <c r="U47" s="65"/>
      <c r="V47" s="65"/>
      <c r="W47" s="65">
        <f>52*N47</f>
        <v>52</v>
      </c>
      <c r="X47" s="65"/>
      <c r="Y47" s="65"/>
      <c r="Z47" s="65"/>
      <c r="AA47" s="65"/>
      <c r="AB47" s="65">
        <f>27*N47</f>
        <v>27</v>
      </c>
      <c r="AC47" s="65"/>
      <c r="AD47" s="65"/>
      <c r="AE47" s="65"/>
      <c r="AF47" s="65"/>
      <c r="AG47" s="65"/>
      <c r="AH47" s="65">
        <f>10*N47</f>
        <v>10</v>
      </c>
      <c r="AI47" s="65"/>
      <c r="AJ47" s="65"/>
      <c r="AK47" s="65">
        <f>8*N47</f>
        <v>8</v>
      </c>
      <c r="AL47" s="65"/>
      <c r="AM47" s="65"/>
      <c r="AN47" s="65"/>
      <c r="AO47" s="65"/>
      <c r="AP47" s="65">
        <f>1*N47</f>
        <v>1</v>
      </c>
      <c r="AQ47" s="65">
        <f>11*N47</f>
        <v>11</v>
      </c>
      <c r="AR47" s="65"/>
      <c r="AS47" s="65"/>
    </row>
    <row r="48" spans="1:45" x14ac:dyDescent="0.25">
      <c r="A48" s="94">
        <v>204</v>
      </c>
      <c r="B48" s="69" t="s">
        <v>144</v>
      </c>
      <c r="C48" s="70">
        <v>250</v>
      </c>
      <c r="D48" s="71"/>
      <c r="E48" s="72"/>
      <c r="F48" s="72"/>
      <c r="G48" s="72"/>
      <c r="H48" s="73"/>
      <c r="I48" s="71"/>
      <c r="J48" s="72"/>
      <c r="K48" s="72"/>
      <c r="L48" s="133">
        <v>1</v>
      </c>
      <c r="M48" s="73"/>
      <c r="N48" s="88">
        <f t="shared" si="0"/>
        <v>1</v>
      </c>
      <c r="P48" s="69" t="s">
        <v>144</v>
      </c>
      <c r="Q48" s="65"/>
      <c r="R48" s="65"/>
      <c r="S48" s="65"/>
      <c r="T48" s="65">
        <f>40*N48</f>
        <v>40</v>
      </c>
      <c r="U48" s="65">
        <f>10*N48</f>
        <v>10</v>
      </c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>
        <f>68*N48</f>
        <v>68</v>
      </c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</row>
    <row r="49" spans="1:45" x14ac:dyDescent="0.25">
      <c r="A49" s="94">
        <v>309</v>
      </c>
      <c r="B49" s="69" t="s">
        <v>130</v>
      </c>
      <c r="C49" s="70">
        <v>200</v>
      </c>
      <c r="D49" s="71"/>
      <c r="E49" s="72"/>
      <c r="F49" s="72"/>
      <c r="G49" s="72"/>
      <c r="H49" s="134">
        <v>1</v>
      </c>
      <c r="I49" s="71"/>
      <c r="J49" s="72"/>
      <c r="K49" s="72"/>
      <c r="L49" s="72"/>
      <c r="M49" s="73"/>
      <c r="N49" s="88">
        <f t="shared" si="0"/>
        <v>1</v>
      </c>
      <c r="P49" s="69" t="s">
        <v>130</v>
      </c>
      <c r="Q49" s="65"/>
      <c r="R49" s="65"/>
      <c r="S49" s="65"/>
      <c r="T49" s="65"/>
      <c r="U49" s="65">
        <f>7*N49</f>
        <v>7</v>
      </c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>
        <f>68*N49</f>
        <v>68</v>
      </c>
      <c r="AH49" s="65"/>
      <c r="AI49" s="65"/>
      <c r="AJ49" s="65"/>
      <c r="AK49" s="65"/>
      <c r="AL49" s="65"/>
      <c r="AM49" s="65"/>
      <c r="AN49" s="65"/>
      <c r="AO49" s="65"/>
      <c r="AP49" s="65">
        <f>3*N49</f>
        <v>3</v>
      </c>
      <c r="AQ49" s="65"/>
      <c r="AR49" s="65"/>
      <c r="AS49" s="65"/>
    </row>
    <row r="50" spans="1:45" ht="15.75" thickBot="1" x14ac:dyDescent="0.3">
      <c r="A50" s="94"/>
      <c r="B50" s="69"/>
      <c r="C50" s="70"/>
      <c r="D50" s="89"/>
      <c r="E50" s="90"/>
      <c r="F50" s="90"/>
      <c r="G50" s="90"/>
      <c r="H50" s="91"/>
      <c r="I50" s="89"/>
      <c r="J50" s="90"/>
      <c r="K50" s="90"/>
      <c r="L50" s="90"/>
      <c r="M50" s="91"/>
      <c r="N50" s="88"/>
      <c r="P50" s="69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</row>
    <row r="51" spans="1:45" x14ac:dyDescent="0.25">
      <c r="P51" s="92" t="s">
        <v>118</v>
      </c>
      <c r="Q51" s="142">
        <v>1792.4</v>
      </c>
      <c r="R51" s="142">
        <v>305.8</v>
      </c>
      <c r="S51" s="142">
        <v>75.8</v>
      </c>
      <c r="T51" s="142">
        <v>70</v>
      </c>
      <c r="U51" s="142">
        <v>171.3</v>
      </c>
      <c r="V51" s="142">
        <v>173.6</v>
      </c>
      <c r="W51" s="142">
        <v>414</v>
      </c>
      <c r="X51" s="142">
        <v>269</v>
      </c>
      <c r="Y51" s="142">
        <v>185</v>
      </c>
      <c r="Z51" s="142">
        <v>371.6</v>
      </c>
      <c r="AA51" s="142">
        <v>1512</v>
      </c>
      <c r="AB51" s="142">
        <v>2729</v>
      </c>
      <c r="AC51" s="142">
        <v>930</v>
      </c>
      <c r="AD51" s="142">
        <v>50</v>
      </c>
      <c r="AE51" s="142">
        <v>920</v>
      </c>
      <c r="AF51" s="142">
        <v>282</v>
      </c>
      <c r="AG51" s="142">
        <v>146</v>
      </c>
      <c r="AH51" s="142">
        <v>84.8</v>
      </c>
      <c r="AI51" s="142">
        <v>0</v>
      </c>
      <c r="AJ51" s="142">
        <v>20</v>
      </c>
      <c r="AK51" s="142">
        <v>207.5</v>
      </c>
      <c r="AL51" s="142">
        <v>1.5</v>
      </c>
      <c r="AM51" s="142">
        <v>20</v>
      </c>
      <c r="AN51" s="142">
        <v>25</v>
      </c>
      <c r="AO51" s="142">
        <v>462.5</v>
      </c>
      <c r="AP51" s="142">
        <v>58.699999999999996</v>
      </c>
      <c r="AQ51" s="142">
        <v>779</v>
      </c>
      <c r="AR51" s="142">
        <v>360</v>
      </c>
      <c r="AS51" s="142">
        <f t="shared" ref="AS51" si="1">SUM(AS2:AS50)</f>
        <v>50</v>
      </c>
    </row>
  </sheetData>
  <pageMargins left="0.25" right="0.25" top="0.75" bottom="0.75" header="0.3" footer="0.3"/>
  <pageSetup paperSize="9" orientation="landscape" r:id="rId1"/>
  <ignoredErrors>
    <ignoredError sqref="AP40 AO9 AK26 AP26 U32 AK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C8" sqref="C8:M8"/>
    </sheetView>
  </sheetViews>
  <sheetFormatPr defaultRowHeight="15" x14ac:dyDescent="0.25"/>
  <cols>
    <col min="1" max="1" width="7" customWidth="1"/>
    <col min="2" max="2" width="30.7109375" customWidth="1"/>
    <col min="3" max="3" width="11.42578125" customWidth="1"/>
    <col min="4" max="12" width="8.7109375" customWidth="1"/>
    <col min="13" max="13" width="7.5703125" customWidth="1"/>
    <col min="14" max="14" width="10.140625" customWidth="1"/>
  </cols>
  <sheetData>
    <row r="1" spans="1:12" ht="15.75" x14ac:dyDescent="0.25">
      <c r="A1" s="219" t="s">
        <v>138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2" x14ac:dyDescent="0.25">
      <c r="A2" s="220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2" x14ac:dyDescent="0.25">
      <c r="A3" s="50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.75" thickBot="1" x14ac:dyDescent="0.3">
      <c r="A4" s="50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15.75" thickBot="1" x14ac:dyDescent="0.3">
      <c r="A5" s="50"/>
      <c r="B5" s="226" t="s">
        <v>20</v>
      </c>
      <c r="C5" s="229" t="s">
        <v>86</v>
      </c>
      <c r="D5" s="230"/>
      <c r="E5" s="231"/>
      <c r="F5" s="204" t="s">
        <v>53</v>
      </c>
      <c r="G5" s="208" t="s">
        <v>54</v>
      </c>
      <c r="H5" s="208"/>
      <c r="I5" s="209"/>
      <c r="J5" s="207" t="s">
        <v>55</v>
      </c>
      <c r="K5" s="208"/>
      <c r="L5" s="209"/>
    </row>
    <row r="6" spans="1:12" ht="17.25" thickBot="1" x14ac:dyDescent="0.3">
      <c r="A6" s="50"/>
      <c r="B6" s="227"/>
      <c r="C6" s="52" t="s">
        <v>57</v>
      </c>
      <c r="D6" s="52" t="s">
        <v>58</v>
      </c>
      <c r="E6" s="52" t="s">
        <v>59</v>
      </c>
      <c r="F6" s="228"/>
      <c r="G6" s="52" t="s">
        <v>60</v>
      </c>
      <c r="H6" s="52" t="s">
        <v>84</v>
      </c>
      <c r="I6" s="52" t="s">
        <v>62</v>
      </c>
      <c r="J6" s="53" t="s">
        <v>63</v>
      </c>
      <c r="K6" s="52" t="s">
        <v>81</v>
      </c>
      <c r="L6" s="52" t="s">
        <v>64</v>
      </c>
    </row>
    <row r="7" spans="1:12" ht="15.75" x14ac:dyDescent="0.25">
      <c r="A7" s="50"/>
      <c r="B7" s="41" t="s">
        <v>82</v>
      </c>
      <c r="C7" s="46">
        <v>40.5</v>
      </c>
      <c r="D7" s="46">
        <v>45</v>
      </c>
      <c r="E7" s="46">
        <v>195.8</v>
      </c>
      <c r="F7" s="46">
        <v>1350</v>
      </c>
      <c r="G7" s="46">
        <v>112.5</v>
      </c>
      <c r="H7" s="46">
        <v>0.7</v>
      </c>
      <c r="I7" s="46">
        <v>37.5</v>
      </c>
      <c r="J7" s="46">
        <v>675</v>
      </c>
      <c r="K7" s="46">
        <v>600</v>
      </c>
      <c r="L7" s="54">
        <v>7.5</v>
      </c>
    </row>
    <row r="8" spans="1:12" x14ac:dyDescent="0.25">
      <c r="A8" s="50"/>
      <c r="B8" s="36" t="s">
        <v>44</v>
      </c>
      <c r="C8" s="42">
        <f>'Цикличное меню 1-4кл зо'!D26</f>
        <v>54.015000000000001</v>
      </c>
      <c r="D8" s="42">
        <f>'Цикличное меню 1-4кл зо'!E26</f>
        <v>45.25</v>
      </c>
      <c r="E8" s="42">
        <f>'Цикличное меню 1-4кл зо'!F26</f>
        <v>186.6</v>
      </c>
      <c r="F8" s="42">
        <f>'Цикличное меню 1-4кл зо'!G26</f>
        <v>1415.52</v>
      </c>
      <c r="G8" s="42">
        <f>'Цикличное меню 1-4кл зо'!H26</f>
        <v>96.548000000000002</v>
      </c>
      <c r="H8" s="42">
        <f>'Цикличное меню 1-4кл зо'!I26</f>
        <v>0.99500000000000011</v>
      </c>
      <c r="I8" s="42">
        <f>'Цикличное меню 1-4кл зо'!J26</f>
        <v>44.762000000000008</v>
      </c>
      <c r="J8" s="42">
        <f>'Цикличное меню 1-4кл зо'!K26</f>
        <v>467.88299999999998</v>
      </c>
      <c r="K8" s="42">
        <f>'Цикличное меню 1-4кл зо'!L26</f>
        <v>841.971</v>
      </c>
      <c r="L8" s="42">
        <f>'Цикличное меню 1-4кл зо'!M26</f>
        <v>14.826999999999998</v>
      </c>
    </row>
    <row r="9" spans="1:12" x14ac:dyDescent="0.25">
      <c r="A9" s="50"/>
      <c r="B9" s="36" t="s">
        <v>43</v>
      </c>
      <c r="C9" s="42">
        <f>'Цикличное меню 1-4кл зо'!D54</f>
        <v>53.220000000000006</v>
      </c>
      <c r="D9" s="42">
        <f>'Цикличное меню 1-4кл зо'!E54</f>
        <v>47.52</v>
      </c>
      <c r="E9" s="42">
        <f>'Цикличное меню 1-4кл зо'!F54</f>
        <v>185.44</v>
      </c>
      <c r="F9" s="42">
        <f>'Цикличное меню 1-4кл зо'!G54</f>
        <v>1459.38</v>
      </c>
      <c r="G9" s="42">
        <f>'Цикличное меню 1-4кл зо'!H54</f>
        <v>247.42000000000002</v>
      </c>
      <c r="H9" s="42">
        <f>'Цикличное меню 1-4кл зо'!I54</f>
        <v>0.82299999999999995</v>
      </c>
      <c r="I9" s="42">
        <f>'Цикличное меню 1-4кл зо'!J54</f>
        <v>55.94</v>
      </c>
      <c r="J9" s="42">
        <f>'Цикличное меню 1-4кл зо'!K54</f>
        <v>507.02</v>
      </c>
      <c r="K9" s="42">
        <f>'Цикличное меню 1-4кл зо'!L54</f>
        <v>689.78</v>
      </c>
      <c r="L9" s="42">
        <f>'Цикличное меню 1-4кл зо'!M54</f>
        <v>13.654</v>
      </c>
    </row>
    <row r="10" spans="1:12" x14ac:dyDescent="0.25">
      <c r="A10" s="50"/>
      <c r="B10" s="36" t="s">
        <v>45</v>
      </c>
      <c r="C10" s="42">
        <f>'Цикличное меню 1-4кл зо'!D83</f>
        <v>44.804000000000002</v>
      </c>
      <c r="D10" s="42">
        <f>'Цикличное меню 1-4кл зо'!E83</f>
        <v>38.668000000000006</v>
      </c>
      <c r="E10" s="42">
        <f>'Цикличное меню 1-4кл зо'!F83</f>
        <v>161.97000000000003</v>
      </c>
      <c r="F10" s="42">
        <f>'Цикличное меню 1-4кл зо'!G83</f>
        <v>1207.55</v>
      </c>
      <c r="G10" s="42">
        <f>'Цикличное меню 1-4кл зо'!H83</f>
        <v>106.85</v>
      </c>
      <c r="H10" s="42">
        <f>'Цикличное меню 1-4кл зо'!I83</f>
        <v>0.871</v>
      </c>
      <c r="I10" s="42">
        <f>'Цикличное меню 1-4кл зо'!J83</f>
        <v>63.003999999999998</v>
      </c>
      <c r="J10" s="42">
        <f>'Цикличное меню 1-4кл зо'!K83</f>
        <v>656.12799999999993</v>
      </c>
      <c r="K10" s="42">
        <f>'Цикличное меню 1-4кл зо'!L83</f>
        <v>702.58400000000006</v>
      </c>
      <c r="L10" s="42">
        <f>'Цикличное меню 1-4кл зо'!M83</f>
        <v>11.812000000000001</v>
      </c>
    </row>
    <row r="11" spans="1:12" x14ac:dyDescent="0.25">
      <c r="A11" s="50"/>
      <c r="B11" s="36" t="s">
        <v>46</v>
      </c>
      <c r="C11" s="42">
        <f>'Цикличное меню 1-4кл зо'!D113</f>
        <v>54.448000000000008</v>
      </c>
      <c r="D11" s="42">
        <f>'Цикличное меню 1-4кл зо'!E113</f>
        <v>49.044000000000004</v>
      </c>
      <c r="E11" s="42">
        <f>'Цикличное меню 1-4кл зо'!F113</f>
        <v>214.18799999999999</v>
      </c>
      <c r="F11" s="42">
        <f>'Цикличное меню 1-4кл зо'!G113</f>
        <v>1588.19</v>
      </c>
      <c r="G11" s="42">
        <f>'Цикличное меню 1-4кл зо'!H113</f>
        <v>5853.01</v>
      </c>
      <c r="H11" s="42">
        <f>'Цикличное меню 1-4кл зо'!I113</f>
        <v>1.236</v>
      </c>
      <c r="I11" s="42">
        <f>'Цикличное меню 1-4кл зо'!J113</f>
        <v>61.985999999999997</v>
      </c>
      <c r="J11" s="42">
        <f>'Цикличное меню 1-4кл зо'!K113</f>
        <v>601.90599999999995</v>
      </c>
      <c r="K11" s="42">
        <f>'Цикличное меню 1-4кл зо'!L113</f>
        <v>926.76199999999994</v>
      </c>
      <c r="L11" s="42">
        <f>'Цикличное меню 1-4кл зо'!M113</f>
        <v>20.387999999999998</v>
      </c>
    </row>
    <row r="12" spans="1:12" x14ac:dyDescent="0.25">
      <c r="A12" s="50"/>
      <c r="B12" s="36" t="s">
        <v>47</v>
      </c>
      <c r="C12" s="42">
        <f>'Цикличное меню 1-4кл зо'!D144</f>
        <v>57.438000000000002</v>
      </c>
      <c r="D12" s="42">
        <f>'Цикличное меню 1-4кл зо'!E144</f>
        <v>70.184999999999988</v>
      </c>
      <c r="E12" s="42">
        <f>'Цикличное меню 1-4кл зо'!F144</f>
        <v>182.256</v>
      </c>
      <c r="F12" s="42">
        <f>'Цикличное меню 1-4кл зо'!G144</f>
        <v>1628.12</v>
      </c>
      <c r="G12" s="42">
        <f>'Цикличное меню 1-4кл зо'!H144</f>
        <v>109.22</v>
      </c>
      <c r="H12" s="42">
        <f>'Цикличное меню 1-4кл зо'!I144</f>
        <v>1.2864999999999998</v>
      </c>
      <c r="I12" s="42">
        <f>'Цикличное меню 1-4кл зо'!J144</f>
        <v>62.154999999999987</v>
      </c>
      <c r="J12" s="42">
        <f>'Цикличное меню 1-4кл зо'!K144</f>
        <v>611.76600000000008</v>
      </c>
      <c r="K12" s="42">
        <f>'Цикличное меню 1-4кл зо'!L144</f>
        <v>919.65800000000013</v>
      </c>
      <c r="L12" s="42">
        <f>'Цикличное меню 1-4кл зо'!M144</f>
        <v>15.768000000000001</v>
      </c>
    </row>
    <row r="13" spans="1:12" ht="15.75" x14ac:dyDescent="0.25">
      <c r="A13" s="50"/>
      <c r="B13" s="38" t="s">
        <v>87</v>
      </c>
      <c r="C13" s="47">
        <f>SUM(C8:C12)/5</f>
        <v>52.785000000000004</v>
      </c>
      <c r="D13" s="47">
        <f t="shared" ref="D13:L13" si="0">SUM(D8:D12)/5</f>
        <v>50.133400000000009</v>
      </c>
      <c r="E13" s="47">
        <f t="shared" si="0"/>
        <v>186.0908</v>
      </c>
      <c r="F13" s="47">
        <f t="shared" si="0"/>
        <v>1459.752</v>
      </c>
      <c r="G13" s="47">
        <f t="shared" si="0"/>
        <v>1282.6096000000002</v>
      </c>
      <c r="H13" s="47">
        <f t="shared" si="0"/>
        <v>1.0422999999999998</v>
      </c>
      <c r="I13" s="47">
        <f t="shared" si="0"/>
        <v>57.569399999999995</v>
      </c>
      <c r="J13" s="47">
        <f t="shared" si="0"/>
        <v>568.94060000000002</v>
      </c>
      <c r="K13" s="47">
        <f t="shared" si="0"/>
        <v>816.15100000000007</v>
      </c>
      <c r="L13" s="47">
        <f t="shared" si="0"/>
        <v>15.2898</v>
      </c>
    </row>
    <row r="14" spans="1:12" x14ac:dyDescent="0.25">
      <c r="A14" s="50"/>
      <c r="B14" s="37" t="s">
        <v>88</v>
      </c>
      <c r="C14" s="45">
        <f>C13/C7-1</f>
        <v>0.30333333333333345</v>
      </c>
      <c r="D14" s="45">
        <f t="shared" ref="D14:L14" si="1">D13/D7-1</f>
        <v>0.11407555555555571</v>
      </c>
      <c r="E14" s="45">
        <f t="shared" si="1"/>
        <v>-4.9587334014300377E-2</v>
      </c>
      <c r="F14" s="45">
        <f t="shared" si="1"/>
        <v>8.1297777777777691E-2</v>
      </c>
      <c r="G14" s="129">
        <f t="shared" si="1"/>
        <v>10.400974222222224</v>
      </c>
      <c r="H14" s="45">
        <f t="shared" si="1"/>
        <v>0.48899999999999988</v>
      </c>
      <c r="I14" s="45">
        <f t="shared" si="1"/>
        <v>0.53518399999999988</v>
      </c>
      <c r="J14" s="45">
        <f t="shared" si="1"/>
        <v>-0.15712503703703706</v>
      </c>
      <c r="K14" s="45">
        <f t="shared" si="1"/>
        <v>0.36025166666666686</v>
      </c>
      <c r="L14" s="45">
        <f t="shared" si="1"/>
        <v>1.03864</v>
      </c>
    </row>
    <row r="15" spans="1:12" x14ac:dyDescent="0.25">
      <c r="A15" s="50"/>
      <c r="B15" s="36" t="s">
        <v>44</v>
      </c>
      <c r="C15" s="42">
        <f>'Цикличное меню 1-4кл зо'!D174</f>
        <v>51.641599999999997</v>
      </c>
      <c r="D15" s="42">
        <f>'Цикличное меню 1-4кл зо'!E174</f>
        <v>63.129999999999995</v>
      </c>
      <c r="E15" s="42">
        <f>'Цикличное меню 1-4кл зо'!F174</f>
        <v>231.75399999999999</v>
      </c>
      <c r="F15" s="42">
        <f>'Цикличное меню 1-4кл зо'!G174</f>
        <v>1419.3240000000001</v>
      </c>
      <c r="G15" s="42">
        <f>'Цикличное меню 1-4кл зо'!H174</f>
        <v>171.40800000000002</v>
      </c>
      <c r="H15" s="42">
        <f>'Цикличное меню 1-4кл зо'!I174</f>
        <v>1.1779999999999999</v>
      </c>
      <c r="I15" s="42">
        <f>'Цикличное меню 1-4кл зо'!J174</f>
        <v>78.88000000000001</v>
      </c>
      <c r="J15" s="42">
        <f>'Цикличное меню 1-4кл зо'!K174</f>
        <v>625.43200000000002</v>
      </c>
      <c r="K15" s="42">
        <f>'Цикличное меню 1-4кл зо'!L174</f>
        <v>776.16800000000012</v>
      </c>
      <c r="L15" s="42">
        <f>'Цикличное меню 1-4кл зо'!M174</f>
        <v>18.308</v>
      </c>
    </row>
    <row r="16" spans="1:12" x14ac:dyDescent="0.25">
      <c r="A16" s="50"/>
      <c r="B16" s="36" t="s">
        <v>43</v>
      </c>
      <c r="C16" s="42">
        <f>'Цикличное меню 1-4кл зо'!D204</f>
        <v>72.146500000000003</v>
      </c>
      <c r="D16" s="42">
        <f>'Цикличное меню 1-4кл зо'!E204</f>
        <v>62.776999999999994</v>
      </c>
      <c r="E16" s="42">
        <f>'Цикличное меню 1-4кл зо'!F204</f>
        <v>262.017</v>
      </c>
      <c r="F16" s="42">
        <f>'Цикличное меню 1-4кл зо'!G204</f>
        <v>1620.76</v>
      </c>
      <c r="G16" s="42">
        <f>'Цикличное меню 1-4кл зо'!H204</f>
        <v>185.655</v>
      </c>
      <c r="H16" s="42">
        <f>'Цикличное меню 1-4кл зо'!I204</f>
        <v>1.2350000000000001</v>
      </c>
      <c r="I16" s="42">
        <f>'Цикличное меню 1-4кл зо'!J204</f>
        <v>64.174499999999995</v>
      </c>
      <c r="J16" s="42">
        <f>'Цикличное меню 1-4кл зо'!K204</f>
        <v>537.08050000000003</v>
      </c>
      <c r="K16" s="42">
        <f>'Цикличное меню 1-4кл зо'!L204</f>
        <v>771.10500000000002</v>
      </c>
      <c r="L16" s="42">
        <f>'Цикличное меню 1-4кл зо'!M204</f>
        <v>22.621000000000002</v>
      </c>
    </row>
    <row r="17" spans="1:15" x14ac:dyDescent="0.25">
      <c r="A17" s="50"/>
      <c r="B17" s="36" t="s">
        <v>45</v>
      </c>
      <c r="C17" s="42">
        <f>'Цикличное меню 1-4кл зо'!D235</f>
        <v>42.779999999999994</v>
      </c>
      <c r="D17" s="42">
        <f>'Цикличное меню 1-4кл зо'!E235</f>
        <v>59.769999999999996</v>
      </c>
      <c r="E17" s="42">
        <f>'Цикличное меню 1-4кл зо'!F235</f>
        <v>171.5</v>
      </c>
      <c r="F17" s="42">
        <f>'Цикличное меню 1-4кл зо'!G235</f>
        <v>1422.6799999999998</v>
      </c>
      <c r="G17" s="42">
        <f>'Цикличное меню 1-4кл зо'!H235</f>
        <v>181.42000000000002</v>
      </c>
      <c r="H17" s="42">
        <f>'Цикличное меню 1-4кл зо'!I235</f>
        <v>1.1040000000000001</v>
      </c>
      <c r="I17" s="42">
        <f>'Цикличное меню 1-4кл зо'!J235</f>
        <v>90.039999999999992</v>
      </c>
      <c r="J17" s="42">
        <f>'Цикличное меню 1-4кл зо'!K235</f>
        <v>700.34000000000015</v>
      </c>
      <c r="K17" s="42">
        <f>'Цикличное меню 1-4кл зо'!L235</f>
        <v>840.48</v>
      </c>
      <c r="L17" s="42">
        <f>'Цикличное меню 1-4кл зо'!M235</f>
        <v>14.032</v>
      </c>
    </row>
    <row r="18" spans="1:15" x14ac:dyDescent="0.25">
      <c r="A18" s="50"/>
      <c r="B18" s="36" t="s">
        <v>46</v>
      </c>
      <c r="C18" s="42">
        <f>'Цикличное меню 1-4кл зо'!D264</f>
        <v>56.628</v>
      </c>
      <c r="D18" s="42">
        <f>'Цикличное меню 1-4кл зо'!E264</f>
        <v>45.004000000000005</v>
      </c>
      <c r="E18" s="42">
        <f>'Цикличное меню 1-4кл зо'!F264</f>
        <v>197.58799999999999</v>
      </c>
      <c r="F18" s="42">
        <f>'Цикличное меню 1-4кл зо'!G264</f>
        <v>1373.2199999999998</v>
      </c>
      <c r="G18" s="42">
        <f>'Цикличное меню 1-4кл зо'!H264</f>
        <v>207.34800000000001</v>
      </c>
      <c r="H18" s="42">
        <f>'Цикличное меню 1-4кл зо'!I264</f>
        <v>0.92600000000000005</v>
      </c>
      <c r="I18" s="42">
        <f>'Цикличное меню 1-4кл зо'!J264</f>
        <v>22.218</v>
      </c>
      <c r="J18" s="42">
        <f>'Цикличное меню 1-4кл зо'!K264</f>
        <v>706.35400000000004</v>
      </c>
      <c r="K18" s="42">
        <f>'Цикличное меню 1-4кл зо'!L264</f>
        <v>960.32800000000009</v>
      </c>
      <c r="L18" s="42">
        <f>'Цикличное меню 1-4кл зо'!M264</f>
        <v>12.213999999999999</v>
      </c>
    </row>
    <row r="19" spans="1:15" x14ac:dyDescent="0.25">
      <c r="A19" s="50"/>
      <c r="B19" s="36" t="s">
        <v>47</v>
      </c>
      <c r="C19" s="42">
        <f>'Цикличное меню 1-4кл зо'!D293</f>
        <v>57.400000000000006</v>
      </c>
      <c r="D19" s="42">
        <f>'Цикличное меню 1-4кл зо'!E293</f>
        <v>90.974999999999994</v>
      </c>
      <c r="E19" s="42">
        <f>'Цикличное меню 1-4кл зо'!F293</f>
        <v>174.54000000000002</v>
      </c>
      <c r="F19" s="42">
        <f>'Цикличное меню 1-4кл зо'!G293</f>
        <v>1789.08</v>
      </c>
      <c r="G19" s="42">
        <f>'Цикличное меню 1-4кл зо'!H293</f>
        <v>5988.62</v>
      </c>
      <c r="H19" s="42">
        <f>'Цикличное меню 1-4кл зо'!I293</f>
        <v>1.5125</v>
      </c>
      <c r="I19" s="42">
        <f>'Цикличное меню 1-4кл зо'!J293</f>
        <v>80.284999999999997</v>
      </c>
      <c r="J19" s="42">
        <f>'Цикличное меню 1-4кл зо'!K293</f>
        <v>703.82</v>
      </c>
      <c r="K19" s="42">
        <f>'Цикличное меню 1-4кл зо'!L293</f>
        <v>1044.58</v>
      </c>
      <c r="L19" s="42">
        <f>'Цикличное меню 1-4кл зо'!M293</f>
        <v>19.002000000000002</v>
      </c>
    </row>
    <row r="20" spans="1:15" ht="15.75" x14ac:dyDescent="0.25">
      <c r="A20" s="50"/>
      <c r="B20" s="38" t="s">
        <v>89</v>
      </c>
      <c r="C20" s="43">
        <f>SUM(C15:C19)/5</f>
        <v>56.119219999999999</v>
      </c>
      <c r="D20" s="43">
        <f t="shared" ref="D20:L20" si="2">SUM(D15:D19)/5</f>
        <v>64.331199999999995</v>
      </c>
      <c r="E20" s="43">
        <f t="shared" si="2"/>
        <v>207.47979999999998</v>
      </c>
      <c r="F20" s="43">
        <f t="shared" si="2"/>
        <v>1525.0127999999997</v>
      </c>
      <c r="G20" s="43">
        <f t="shared" si="2"/>
        <v>1346.8902</v>
      </c>
      <c r="H20" s="43">
        <f t="shared" si="2"/>
        <v>1.1911</v>
      </c>
      <c r="I20" s="43">
        <f t="shared" si="2"/>
        <v>67.119499999999988</v>
      </c>
      <c r="J20" s="43">
        <f t="shared" si="2"/>
        <v>654.60530000000006</v>
      </c>
      <c r="K20" s="43">
        <f t="shared" si="2"/>
        <v>878.53219999999999</v>
      </c>
      <c r="L20" s="43">
        <f t="shared" si="2"/>
        <v>17.235399999999998</v>
      </c>
    </row>
    <row r="21" spans="1:15" x14ac:dyDescent="0.25">
      <c r="A21" s="50"/>
      <c r="B21" s="37" t="s">
        <v>88</v>
      </c>
      <c r="C21" s="45">
        <f>C20/C7-1</f>
        <v>0.38565975308641964</v>
      </c>
      <c r="D21" s="45">
        <f t="shared" ref="D21:L21" si="3">D20/D7-1</f>
        <v>0.42958222222222209</v>
      </c>
      <c r="E21" s="45">
        <f t="shared" si="3"/>
        <v>5.9651685393258269E-2</v>
      </c>
      <c r="F21" s="45">
        <f t="shared" si="3"/>
        <v>0.12963911111111082</v>
      </c>
      <c r="G21" s="129">
        <f t="shared" si="3"/>
        <v>10.972357333333333</v>
      </c>
      <c r="H21" s="45">
        <f t="shared" si="3"/>
        <v>0.70157142857142873</v>
      </c>
      <c r="I21" s="45">
        <f t="shared" si="3"/>
        <v>0.78985333333333307</v>
      </c>
      <c r="J21" s="45">
        <f t="shared" si="3"/>
        <v>-3.0214370370370336E-2</v>
      </c>
      <c r="K21" s="45">
        <f t="shared" si="3"/>
        <v>0.46422033333333323</v>
      </c>
      <c r="L21" s="45">
        <f t="shared" si="3"/>
        <v>1.2980533333333333</v>
      </c>
    </row>
    <row r="22" spans="1:15" x14ac:dyDescent="0.25">
      <c r="A22" s="50"/>
      <c r="B22" s="39" t="s">
        <v>90</v>
      </c>
      <c r="C22" s="44">
        <f>(C8+C9+C10+C11+C12+C15+C16+C17+C18+C19)/10</f>
        <v>54.45210999999999</v>
      </c>
      <c r="D22" s="44">
        <f t="shared" ref="D22:L22" si="4">(D8+D9+D10+D11+D12+D15+D16+D17+D18+D19)/10</f>
        <v>57.232299999999995</v>
      </c>
      <c r="E22" s="44">
        <f t="shared" si="4"/>
        <v>196.78529999999998</v>
      </c>
      <c r="F22" s="44">
        <f t="shared" si="4"/>
        <v>1492.3824</v>
      </c>
      <c r="G22" s="44">
        <f t="shared" si="4"/>
        <v>1314.7499</v>
      </c>
      <c r="H22" s="44">
        <f t="shared" si="4"/>
        <v>1.1167</v>
      </c>
      <c r="I22" s="44">
        <f t="shared" si="4"/>
        <v>62.344449999999981</v>
      </c>
      <c r="J22" s="44">
        <f t="shared" si="4"/>
        <v>611.77295000000004</v>
      </c>
      <c r="K22" s="44">
        <f t="shared" si="4"/>
        <v>847.34160000000008</v>
      </c>
      <c r="L22" s="44">
        <f t="shared" si="4"/>
        <v>16.262600000000003</v>
      </c>
    </row>
    <row r="23" spans="1:15" ht="16.5" thickBot="1" x14ac:dyDescent="0.3">
      <c r="A23" s="50"/>
      <c r="B23" s="40" t="s">
        <v>91</v>
      </c>
      <c r="C23" s="48">
        <f>C22/C7-1</f>
        <v>0.34449654320987633</v>
      </c>
      <c r="D23" s="48">
        <f t="shared" ref="D23:L23" si="5">D22/D7-1</f>
        <v>0.27182888888888868</v>
      </c>
      <c r="E23" s="48">
        <f t="shared" si="5"/>
        <v>5.0321756894788905E-3</v>
      </c>
      <c r="F23" s="48">
        <f t="shared" si="5"/>
        <v>0.10546844444444448</v>
      </c>
      <c r="G23" s="128">
        <f t="shared" si="5"/>
        <v>10.686665777777778</v>
      </c>
      <c r="H23" s="48">
        <f t="shared" si="5"/>
        <v>0.59528571428571442</v>
      </c>
      <c r="I23" s="48">
        <f t="shared" si="5"/>
        <v>0.66251866666666626</v>
      </c>
      <c r="J23" s="48">
        <f t="shared" si="5"/>
        <v>-9.3669703703703644E-2</v>
      </c>
      <c r="K23" s="48">
        <f t="shared" si="5"/>
        <v>0.41223600000000005</v>
      </c>
      <c r="L23" s="48">
        <f t="shared" si="5"/>
        <v>1.1683466666666669</v>
      </c>
    </row>
    <row r="24" spans="1:15" x14ac:dyDescent="0.25">
      <c r="A24" s="50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</row>
    <row r="25" spans="1:15" x14ac:dyDescent="0.25">
      <c r="A25" s="50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</row>
    <row r="26" spans="1:15" x14ac:dyDescent="0.25">
      <c r="A26" s="50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</row>
    <row r="27" spans="1:15" x14ac:dyDescent="0.25">
      <c r="A27" s="50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</row>
    <row r="28" spans="1:15" ht="1.5" customHeight="1" thickBot="1" x14ac:dyDescent="0.3">
      <c r="A28" s="50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</row>
    <row r="29" spans="1:15" hidden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5" ht="24.75" customHeight="1" x14ac:dyDescent="0.25">
      <c r="A30" s="232" t="s">
        <v>1</v>
      </c>
      <c r="B30" s="233" t="s">
        <v>2</v>
      </c>
      <c r="C30" s="234" t="s">
        <v>92</v>
      </c>
      <c r="D30" s="235"/>
      <c r="E30" s="235"/>
      <c r="F30" s="235"/>
      <c r="G30" s="235"/>
      <c r="H30" s="235"/>
      <c r="I30" s="235"/>
      <c r="J30" s="235"/>
      <c r="K30" s="235"/>
      <c r="L30" s="236"/>
      <c r="M30" s="222" t="s">
        <v>90</v>
      </c>
      <c r="N30" s="224" t="s">
        <v>139</v>
      </c>
      <c r="O30" s="217" t="s">
        <v>123</v>
      </c>
    </row>
    <row r="31" spans="1:15" ht="45" customHeight="1" x14ac:dyDescent="0.25">
      <c r="A31" s="232"/>
      <c r="B31" s="233"/>
      <c r="C31" s="104">
        <v>1</v>
      </c>
      <c r="D31" s="64">
        <v>2</v>
      </c>
      <c r="E31" s="64">
        <v>3</v>
      </c>
      <c r="F31" s="64">
        <v>4</v>
      </c>
      <c r="G31" s="64">
        <v>5</v>
      </c>
      <c r="H31" s="64">
        <v>6</v>
      </c>
      <c r="I31" s="64">
        <v>7</v>
      </c>
      <c r="J31" s="64">
        <v>8</v>
      </c>
      <c r="K31" s="64">
        <v>9</v>
      </c>
      <c r="L31" s="105">
        <v>10</v>
      </c>
      <c r="M31" s="223"/>
      <c r="N31" s="225"/>
      <c r="O31" s="218"/>
    </row>
    <row r="32" spans="1:15" ht="12.95" customHeight="1" x14ac:dyDescent="0.25">
      <c r="A32" s="3">
        <v>1</v>
      </c>
      <c r="B32" s="103" t="s">
        <v>21</v>
      </c>
      <c r="C32" s="142">
        <v>1792.4</v>
      </c>
      <c r="D32" s="93">
        <v>100</v>
      </c>
      <c r="E32" s="93">
        <v>100</v>
      </c>
      <c r="F32" s="93">
        <v>100</v>
      </c>
      <c r="G32" s="93">
        <v>200</v>
      </c>
      <c r="H32" s="93">
        <v>100</v>
      </c>
      <c r="I32" s="93">
        <v>100</v>
      </c>
      <c r="J32" s="93">
        <v>100</v>
      </c>
      <c r="K32" s="93">
        <v>100</v>
      </c>
      <c r="L32" s="106">
        <v>200</v>
      </c>
      <c r="M32" s="110">
        <f>SUM(C32:L32)/10</f>
        <v>289.24</v>
      </c>
      <c r="N32" s="112">
        <v>265</v>
      </c>
      <c r="O32" s="109">
        <f>(M32/N32-1)*100</f>
        <v>9.1471698113207545</v>
      </c>
    </row>
    <row r="33" spans="1:15" ht="12.95" customHeight="1" x14ac:dyDescent="0.25">
      <c r="A33" s="3">
        <v>2</v>
      </c>
      <c r="B33" s="103" t="s">
        <v>22</v>
      </c>
      <c r="C33" s="142">
        <v>305.8</v>
      </c>
      <c r="D33" s="93"/>
      <c r="E33" s="93">
        <v>117</v>
      </c>
      <c r="F33" s="93"/>
      <c r="G33" s="93"/>
      <c r="H33" s="93"/>
      <c r="I33" s="93"/>
      <c r="J33" s="93">
        <v>117</v>
      </c>
      <c r="K33" s="93"/>
      <c r="L33" s="106"/>
      <c r="M33" s="110">
        <f t="shared" ref="M33:M60" si="6">SUM(C33:L33)/10</f>
        <v>53.98</v>
      </c>
      <c r="N33" s="112">
        <v>30</v>
      </c>
      <c r="O33" s="109">
        <f t="shared" ref="O33:O60" si="7">(M33/N33-1)*100</f>
        <v>79.933333333333323</v>
      </c>
    </row>
    <row r="34" spans="1:15" ht="12.95" customHeight="1" x14ac:dyDescent="0.25">
      <c r="A34" s="3">
        <v>3</v>
      </c>
      <c r="B34" s="103" t="s">
        <v>10</v>
      </c>
      <c r="C34" s="142">
        <v>75.8</v>
      </c>
      <c r="D34" s="93"/>
      <c r="E34" s="93">
        <v>6</v>
      </c>
      <c r="F34" s="93"/>
      <c r="G34" s="93"/>
      <c r="H34" s="93"/>
      <c r="I34" s="93"/>
      <c r="J34" s="93">
        <v>6</v>
      </c>
      <c r="K34" s="93"/>
      <c r="L34" s="106"/>
      <c r="M34" s="110">
        <f t="shared" si="6"/>
        <v>8.7799999999999994</v>
      </c>
      <c r="N34" s="112">
        <v>5</v>
      </c>
      <c r="O34" s="109">
        <f t="shared" si="7"/>
        <v>75.59999999999998</v>
      </c>
    </row>
    <row r="35" spans="1:15" ht="12.95" customHeight="1" x14ac:dyDescent="0.25">
      <c r="A35" s="3">
        <v>4</v>
      </c>
      <c r="B35" s="103" t="s">
        <v>9</v>
      </c>
      <c r="C35" s="142">
        <v>70</v>
      </c>
      <c r="D35" s="93"/>
      <c r="E35" s="93"/>
      <c r="F35" s="93"/>
      <c r="G35" s="93">
        <v>15</v>
      </c>
      <c r="H35" s="93"/>
      <c r="I35" s="93"/>
      <c r="J35" s="93"/>
      <c r="K35" s="93"/>
      <c r="L35" s="106"/>
      <c r="M35" s="110">
        <f t="shared" si="6"/>
        <v>8.5</v>
      </c>
      <c r="N35" s="112">
        <v>7.5</v>
      </c>
      <c r="O35" s="109">
        <f t="shared" si="7"/>
        <v>13.33333333333333</v>
      </c>
    </row>
    <row r="36" spans="1:15" ht="12.95" customHeight="1" x14ac:dyDescent="0.25">
      <c r="A36" s="3">
        <v>5</v>
      </c>
      <c r="B36" s="103" t="s">
        <v>23</v>
      </c>
      <c r="C36" s="142">
        <v>171.3</v>
      </c>
      <c r="D36" s="93"/>
      <c r="E36" s="93"/>
      <c r="F36" s="93"/>
      <c r="G36" s="93"/>
      <c r="H36" s="93"/>
      <c r="I36" s="93"/>
      <c r="J36" s="93"/>
      <c r="K36" s="93"/>
      <c r="L36" s="106"/>
      <c r="M36" s="110">
        <f t="shared" si="6"/>
        <v>17.130000000000003</v>
      </c>
      <c r="N36" s="112">
        <v>17.5</v>
      </c>
      <c r="O36" s="109">
        <f t="shared" si="7"/>
        <v>-2.1142857142857019</v>
      </c>
    </row>
    <row r="37" spans="1:15" ht="12.95" customHeight="1" x14ac:dyDescent="0.25">
      <c r="A37" s="3">
        <v>6</v>
      </c>
      <c r="B37" s="103" t="s">
        <v>24</v>
      </c>
      <c r="C37" s="142">
        <v>173.6</v>
      </c>
      <c r="D37" s="93"/>
      <c r="E37" s="93"/>
      <c r="F37" s="93"/>
      <c r="G37" s="93"/>
      <c r="H37" s="93"/>
      <c r="I37" s="93"/>
      <c r="J37" s="93"/>
      <c r="K37" s="93"/>
      <c r="L37" s="106"/>
      <c r="M37" s="110">
        <v>4.3</v>
      </c>
      <c r="N37" s="112">
        <v>5</v>
      </c>
      <c r="O37" s="109">
        <f t="shared" si="7"/>
        <v>-14.000000000000002</v>
      </c>
    </row>
    <row r="38" spans="1:15" ht="12.95" customHeight="1" x14ac:dyDescent="0.25">
      <c r="A38" s="3">
        <v>7</v>
      </c>
      <c r="B38" s="103" t="s">
        <v>25</v>
      </c>
      <c r="C38" s="142">
        <v>414</v>
      </c>
      <c r="D38" s="93"/>
      <c r="E38" s="93"/>
      <c r="F38" s="93"/>
      <c r="G38" s="93"/>
      <c r="H38" s="93"/>
      <c r="I38" s="93"/>
      <c r="J38" s="93"/>
      <c r="K38" s="93"/>
      <c r="L38" s="106"/>
      <c r="M38" s="110">
        <f t="shared" si="6"/>
        <v>41.4</v>
      </c>
      <c r="N38" s="112">
        <v>39</v>
      </c>
      <c r="O38" s="109">
        <f t="shared" si="7"/>
        <v>6.1538461538461542</v>
      </c>
    </row>
    <row r="39" spans="1:15" ht="12.95" customHeight="1" x14ac:dyDescent="0.25">
      <c r="A39" s="3">
        <v>8</v>
      </c>
      <c r="B39" s="103" t="s">
        <v>26</v>
      </c>
      <c r="C39" s="142">
        <v>269</v>
      </c>
      <c r="D39" s="93"/>
      <c r="E39" s="93"/>
      <c r="F39" s="93"/>
      <c r="G39" s="93"/>
      <c r="H39" s="93"/>
      <c r="I39" s="93"/>
      <c r="J39" s="93"/>
      <c r="K39" s="93"/>
      <c r="L39" s="106"/>
      <c r="M39" s="110">
        <f t="shared" si="6"/>
        <v>26.9</v>
      </c>
      <c r="N39" s="112">
        <v>26.5</v>
      </c>
      <c r="O39" s="109">
        <f t="shared" si="7"/>
        <v>1.5094339622641506</v>
      </c>
    </row>
    <row r="40" spans="1:15" ht="12.95" customHeight="1" x14ac:dyDescent="0.25">
      <c r="A40" s="3">
        <v>9</v>
      </c>
      <c r="B40" s="103" t="s">
        <v>27</v>
      </c>
      <c r="C40" s="142">
        <v>185</v>
      </c>
      <c r="D40" s="93"/>
      <c r="E40" s="93"/>
      <c r="F40" s="93"/>
      <c r="G40" s="93"/>
      <c r="H40" s="93"/>
      <c r="I40" s="93"/>
      <c r="J40" s="93"/>
      <c r="K40" s="93"/>
      <c r="L40" s="106"/>
      <c r="M40" s="110">
        <f t="shared" si="6"/>
        <v>18.5</v>
      </c>
      <c r="N40" s="112">
        <v>20</v>
      </c>
      <c r="O40" s="109">
        <f t="shared" si="7"/>
        <v>-7.4999999999999956</v>
      </c>
    </row>
    <row r="41" spans="1:15" ht="12.95" customHeight="1" x14ac:dyDescent="0.25">
      <c r="A41" s="3">
        <v>10</v>
      </c>
      <c r="B41" s="103" t="s">
        <v>28</v>
      </c>
      <c r="C41" s="142">
        <v>371.6</v>
      </c>
      <c r="D41" s="93"/>
      <c r="E41" s="93"/>
      <c r="F41" s="93"/>
      <c r="G41" s="93"/>
      <c r="H41" s="93"/>
      <c r="I41" s="93"/>
      <c r="J41" s="93"/>
      <c r="K41" s="93"/>
      <c r="L41" s="106"/>
      <c r="M41" s="110">
        <f t="shared" si="6"/>
        <v>37.160000000000004</v>
      </c>
      <c r="N41" s="112">
        <v>38.5</v>
      </c>
      <c r="O41" s="109">
        <f t="shared" si="7"/>
        <v>-3.4805194805194728</v>
      </c>
    </row>
    <row r="42" spans="1:15" ht="12.95" customHeight="1" x14ac:dyDescent="0.25">
      <c r="A42" s="3">
        <v>11</v>
      </c>
      <c r="B42" s="103" t="s">
        <v>7</v>
      </c>
      <c r="C42" s="142">
        <v>1512</v>
      </c>
      <c r="D42" s="93"/>
      <c r="E42" s="93"/>
      <c r="F42" s="93"/>
      <c r="G42" s="93"/>
      <c r="H42" s="93"/>
      <c r="I42" s="93"/>
      <c r="J42" s="93"/>
      <c r="K42" s="93"/>
      <c r="L42" s="106"/>
      <c r="M42" s="110">
        <f t="shared" si="6"/>
        <v>151.19999999999999</v>
      </c>
      <c r="N42" s="112">
        <v>93.5</v>
      </c>
      <c r="O42" s="109">
        <f t="shared" si="7"/>
        <v>61.71122994652405</v>
      </c>
    </row>
    <row r="43" spans="1:15" ht="12.95" customHeight="1" x14ac:dyDescent="0.25">
      <c r="A43" s="3">
        <v>12</v>
      </c>
      <c r="B43" s="103" t="s">
        <v>19</v>
      </c>
      <c r="C43" s="142">
        <v>2729</v>
      </c>
      <c r="D43" s="93"/>
      <c r="E43" s="93"/>
      <c r="F43" s="93"/>
      <c r="G43" s="93"/>
      <c r="H43" s="93"/>
      <c r="I43" s="93"/>
      <c r="J43" s="93"/>
      <c r="K43" s="93"/>
      <c r="L43" s="106"/>
      <c r="M43" s="110">
        <f t="shared" si="6"/>
        <v>272.89999999999998</v>
      </c>
      <c r="N43" s="112">
        <v>160</v>
      </c>
      <c r="O43" s="109">
        <f t="shared" si="7"/>
        <v>70.5625</v>
      </c>
    </row>
    <row r="44" spans="1:15" ht="12.95" customHeight="1" x14ac:dyDescent="0.25">
      <c r="A44" s="3">
        <v>13</v>
      </c>
      <c r="B44" s="103" t="s">
        <v>29</v>
      </c>
      <c r="C44" s="142">
        <v>930</v>
      </c>
      <c r="D44" s="93"/>
      <c r="E44" s="93"/>
      <c r="F44" s="93"/>
      <c r="G44" s="93"/>
      <c r="H44" s="93"/>
      <c r="I44" s="93"/>
      <c r="J44" s="93"/>
      <c r="K44" s="93"/>
      <c r="L44" s="106"/>
      <c r="M44" s="110">
        <f t="shared" si="6"/>
        <v>93</v>
      </c>
      <c r="N44" s="112">
        <v>92.5</v>
      </c>
      <c r="O44" s="109">
        <f t="shared" si="7"/>
        <v>0.54054054054053502</v>
      </c>
    </row>
    <row r="45" spans="1:15" ht="12.95" customHeight="1" x14ac:dyDescent="0.25">
      <c r="A45" s="3">
        <v>14</v>
      </c>
      <c r="B45" s="103" t="s">
        <v>8</v>
      </c>
      <c r="C45" s="142">
        <v>50</v>
      </c>
      <c r="D45" s="93"/>
      <c r="E45" s="93"/>
      <c r="F45" s="93"/>
      <c r="G45" s="93"/>
      <c r="H45" s="93"/>
      <c r="I45" s="93"/>
      <c r="J45" s="93"/>
      <c r="K45" s="93"/>
      <c r="L45" s="106"/>
      <c r="M45" s="110">
        <f t="shared" si="6"/>
        <v>5</v>
      </c>
      <c r="N45" s="112">
        <v>10</v>
      </c>
      <c r="O45" s="109">
        <f t="shared" si="7"/>
        <v>-50</v>
      </c>
    </row>
    <row r="46" spans="1:15" ht="12.95" customHeight="1" x14ac:dyDescent="0.25">
      <c r="A46" s="3">
        <v>15</v>
      </c>
      <c r="B46" s="103" t="s">
        <v>30</v>
      </c>
      <c r="C46" s="142">
        <v>920</v>
      </c>
      <c r="D46" s="93"/>
      <c r="E46" s="93"/>
      <c r="F46" s="93"/>
      <c r="G46" s="93"/>
      <c r="H46" s="93"/>
      <c r="I46" s="93"/>
      <c r="J46" s="93"/>
      <c r="K46" s="93"/>
      <c r="L46" s="106"/>
      <c r="M46" s="110">
        <f t="shared" si="6"/>
        <v>92</v>
      </c>
      <c r="N46" s="112">
        <v>100</v>
      </c>
      <c r="O46" s="109">
        <f t="shared" si="7"/>
        <v>-7.9999999999999964</v>
      </c>
    </row>
    <row r="47" spans="1:15" ht="12.95" customHeight="1" x14ac:dyDescent="0.25">
      <c r="A47" s="3">
        <v>16</v>
      </c>
      <c r="B47" s="103" t="s">
        <v>5</v>
      </c>
      <c r="C47" s="142">
        <v>282</v>
      </c>
      <c r="D47" s="93"/>
      <c r="E47" s="93"/>
      <c r="F47" s="93"/>
      <c r="G47" s="93"/>
      <c r="H47" s="93"/>
      <c r="I47" s="93"/>
      <c r="J47" s="93"/>
      <c r="K47" s="93"/>
      <c r="L47" s="106"/>
      <c r="M47" s="110">
        <f t="shared" si="6"/>
        <v>28.2</v>
      </c>
      <c r="N47" s="112">
        <v>25</v>
      </c>
      <c r="O47" s="109">
        <f t="shared" si="7"/>
        <v>12.79999999999999</v>
      </c>
    </row>
    <row r="48" spans="1:15" ht="12.95" customHeight="1" x14ac:dyDescent="0.25">
      <c r="A48" s="3">
        <v>17</v>
      </c>
      <c r="B48" s="103" t="s">
        <v>6</v>
      </c>
      <c r="C48" s="142">
        <v>146</v>
      </c>
      <c r="D48" s="93"/>
      <c r="E48" s="93"/>
      <c r="F48" s="93"/>
      <c r="G48" s="93"/>
      <c r="H48" s="93"/>
      <c r="I48" s="93"/>
      <c r="J48" s="93"/>
      <c r="K48" s="93"/>
      <c r="L48" s="106"/>
      <c r="M48" s="110">
        <f t="shared" si="6"/>
        <v>14.6</v>
      </c>
      <c r="N48" s="112">
        <v>10</v>
      </c>
      <c r="O48" s="109">
        <f t="shared" si="7"/>
        <v>46</v>
      </c>
    </row>
    <row r="49" spans="1:15" ht="12.95" customHeight="1" x14ac:dyDescent="0.25">
      <c r="A49" s="3">
        <v>18</v>
      </c>
      <c r="B49" s="103" t="s">
        <v>4</v>
      </c>
      <c r="C49" s="142">
        <v>84.8</v>
      </c>
      <c r="D49" s="93"/>
      <c r="E49" s="93"/>
      <c r="F49" s="93"/>
      <c r="G49" s="93"/>
      <c r="H49" s="93"/>
      <c r="I49" s="93"/>
      <c r="J49" s="93"/>
      <c r="K49" s="93"/>
      <c r="L49" s="106"/>
      <c r="M49" s="110">
        <f t="shared" si="6"/>
        <v>8.48</v>
      </c>
      <c r="N49" s="112">
        <v>10</v>
      </c>
      <c r="O49" s="109">
        <f t="shared" si="7"/>
        <v>-15.199999999999992</v>
      </c>
    </row>
    <row r="50" spans="1:15" ht="12.95" customHeight="1" x14ac:dyDescent="0.25">
      <c r="A50" s="3">
        <v>19</v>
      </c>
      <c r="B50" s="103" t="s">
        <v>31</v>
      </c>
      <c r="C50" s="142">
        <v>0</v>
      </c>
      <c r="D50" s="93"/>
      <c r="E50" s="93"/>
      <c r="F50" s="93"/>
      <c r="G50" s="93"/>
      <c r="H50" s="93"/>
      <c r="I50" s="93"/>
      <c r="J50" s="93"/>
      <c r="K50" s="93"/>
      <c r="L50" s="106"/>
      <c r="M50" s="110">
        <f t="shared" si="6"/>
        <v>0</v>
      </c>
      <c r="N50" s="112">
        <v>0.15</v>
      </c>
      <c r="O50" s="109">
        <f t="shared" si="7"/>
        <v>-100</v>
      </c>
    </row>
    <row r="51" spans="1:15" ht="12.95" customHeight="1" x14ac:dyDescent="0.25">
      <c r="A51" s="3">
        <v>20</v>
      </c>
      <c r="B51" s="103" t="s">
        <v>17</v>
      </c>
      <c r="C51" s="142">
        <v>20</v>
      </c>
      <c r="D51" s="93"/>
      <c r="E51" s="93"/>
      <c r="F51" s="93"/>
      <c r="G51" s="93"/>
      <c r="H51" s="93"/>
      <c r="I51" s="93"/>
      <c r="J51" s="93"/>
      <c r="K51" s="93"/>
      <c r="L51" s="106"/>
      <c r="M51" s="110">
        <f t="shared" si="6"/>
        <v>2</v>
      </c>
      <c r="N51" s="112">
        <v>2</v>
      </c>
      <c r="O51" s="109">
        <f t="shared" si="7"/>
        <v>0</v>
      </c>
    </row>
    <row r="52" spans="1:15" ht="12.95" customHeight="1" x14ac:dyDescent="0.25">
      <c r="A52" s="3">
        <v>21</v>
      </c>
      <c r="B52" s="103" t="s">
        <v>12</v>
      </c>
      <c r="C52" s="142">
        <v>207.5</v>
      </c>
      <c r="D52" s="93"/>
      <c r="E52" s="93"/>
      <c r="F52" s="93"/>
      <c r="G52" s="93"/>
      <c r="H52" s="93"/>
      <c r="I52" s="93"/>
      <c r="J52" s="93"/>
      <c r="K52" s="93"/>
      <c r="L52" s="106"/>
      <c r="M52" s="110">
        <f t="shared" si="6"/>
        <v>20.75</v>
      </c>
      <c r="N52" s="112">
        <v>9</v>
      </c>
      <c r="O52" s="109">
        <f t="shared" si="7"/>
        <v>130.55555555555554</v>
      </c>
    </row>
    <row r="53" spans="1:15" ht="12.95" customHeight="1" x14ac:dyDescent="0.25">
      <c r="A53" s="3">
        <v>22</v>
      </c>
      <c r="B53" s="103" t="s">
        <v>14</v>
      </c>
      <c r="C53" s="142">
        <v>1.5</v>
      </c>
      <c r="D53" s="93"/>
      <c r="E53" s="93"/>
      <c r="F53" s="93"/>
      <c r="G53" s="93"/>
      <c r="H53" s="93"/>
      <c r="I53" s="93"/>
      <c r="J53" s="93"/>
      <c r="K53" s="93"/>
      <c r="L53" s="106"/>
      <c r="M53" s="110">
        <f t="shared" si="6"/>
        <v>0.15</v>
      </c>
      <c r="N53" s="112">
        <v>1</v>
      </c>
      <c r="O53" s="109">
        <f t="shared" si="7"/>
        <v>-85</v>
      </c>
    </row>
    <row r="54" spans="1:15" ht="12.95" customHeight="1" x14ac:dyDescent="0.25">
      <c r="A54" s="3">
        <v>23</v>
      </c>
      <c r="B54" s="103" t="s">
        <v>15</v>
      </c>
      <c r="C54" s="142">
        <v>20</v>
      </c>
      <c r="D54" s="93"/>
      <c r="E54" s="93"/>
      <c r="F54" s="93"/>
      <c r="G54" s="93"/>
      <c r="H54" s="93"/>
      <c r="I54" s="93"/>
      <c r="J54" s="93"/>
      <c r="K54" s="93"/>
      <c r="L54" s="106"/>
      <c r="M54" s="110">
        <f t="shared" si="6"/>
        <v>2</v>
      </c>
      <c r="N54" s="112">
        <v>0.6</v>
      </c>
      <c r="O54" s="109">
        <f t="shared" si="7"/>
        <v>233.33333333333334</v>
      </c>
    </row>
    <row r="55" spans="1:15" ht="12.95" customHeight="1" x14ac:dyDescent="0.25">
      <c r="A55" s="3">
        <v>24</v>
      </c>
      <c r="B55" s="103" t="s">
        <v>16</v>
      </c>
      <c r="C55" s="142">
        <v>25</v>
      </c>
      <c r="D55" s="93"/>
      <c r="E55" s="93"/>
      <c r="F55" s="93"/>
      <c r="G55" s="93"/>
      <c r="H55" s="93"/>
      <c r="I55" s="93"/>
      <c r="J55" s="93"/>
      <c r="K55" s="93"/>
      <c r="L55" s="106"/>
      <c r="M55" s="110">
        <f t="shared" si="6"/>
        <v>2.5</v>
      </c>
      <c r="N55" s="112">
        <v>1</v>
      </c>
      <c r="O55" s="109">
        <f t="shared" si="7"/>
        <v>150</v>
      </c>
    </row>
    <row r="56" spans="1:15" ht="12.95" customHeight="1" x14ac:dyDescent="0.25">
      <c r="A56" s="3">
        <v>25</v>
      </c>
      <c r="B56" s="103" t="s">
        <v>18</v>
      </c>
      <c r="C56" s="142">
        <v>462.5</v>
      </c>
      <c r="D56" s="93"/>
      <c r="E56" s="93"/>
      <c r="F56" s="93"/>
      <c r="G56" s="93"/>
      <c r="H56" s="93"/>
      <c r="I56" s="93"/>
      <c r="J56" s="93"/>
      <c r="K56" s="93"/>
      <c r="L56" s="106"/>
      <c r="M56" s="110">
        <f t="shared" si="6"/>
        <v>46.25</v>
      </c>
      <c r="N56" s="112">
        <v>17.5</v>
      </c>
      <c r="O56" s="109">
        <f t="shared" si="7"/>
        <v>164.28571428571428</v>
      </c>
    </row>
    <row r="57" spans="1:15" ht="12.95" customHeight="1" x14ac:dyDescent="0.25">
      <c r="A57" s="3">
        <v>26</v>
      </c>
      <c r="B57" s="103" t="s">
        <v>32</v>
      </c>
      <c r="C57" s="142">
        <v>58.699999999999996</v>
      </c>
      <c r="D57" s="93"/>
      <c r="E57" s="93"/>
      <c r="F57" s="93"/>
      <c r="G57" s="93"/>
      <c r="H57" s="93"/>
      <c r="I57" s="93"/>
      <c r="J57" s="93"/>
      <c r="K57" s="93"/>
      <c r="L57" s="106"/>
      <c r="M57" s="110">
        <f t="shared" si="6"/>
        <v>5.8699999999999992</v>
      </c>
      <c r="N57" s="112">
        <v>2.5</v>
      </c>
      <c r="O57" s="109">
        <f t="shared" si="7"/>
        <v>134.79999999999998</v>
      </c>
    </row>
    <row r="58" spans="1:15" ht="12.95" customHeight="1" x14ac:dyDescent="0.25">
      <c r="A58" s="3">
        <v>27</v>
      </c>
      <c r="B58" s="103" t="s">
        <v>33</v>
      </c>
      <c r="C58" s="142">
        <v>779</v>
      </c>
      <c r="D58" s="93"/>
      <c r="E58" s="93"/>
      <c r="F58" s="93"/>
      <c r="G58" s="93"/>
      <c r="H58" s="93"/>
      <c r="I58" s="93"/>
      <c r="J58" s="93"/>
      <c r="K58" s="93"/>
      <c r="L58" s="106"/>
      <c r="M58" s="110">
        <f t="shared" si="6"/>
        <v>77.900000000000006</v>
      </c>
      <c r="N58" s="112">
        <v>100</v>
      </c>
      <c r="O58" s="109">
        <f t="shared" si="7"/>
        <v>-22.099999999999998</v>
      </c>
    </row>
    <row r="59" spans="1:15" ht="12.95" customHeight="1" x14ac:dyDescent="0.25">
      <c r="A59" s="3">
        <v>28</v>
      </c>
      <c r="B59" s="103" t="s">
        <v>3</v>
      </c>
      <c r="C59" s="142">
        <v>360</v>
      </c>
      <c r="D59" s="93"/>
      <c r="E59" s="93"/>
      <c r="F59" s="93"/>
      <c r="G59" s="93"/>
      <c r="H59" s="93"/>
      <c r="I59" s="93"/>
      <c r="J59" s="93"/>
      <c r="K59" s="93"/>
      <c r="L59" s="106"/>
      <c r="M59" s="110">
        <f t="shared" si="6"/>
        <v>36</v>
      </c>
      <c r="N59" s="112">
        <v>60</v>
      </c>
      <c r="O59" s="109">
        <f t="shared" si="7"/>
        <v>-40</v>
      </c>
    </row>
    <row r="60" spans="1:15" ht="12.95" customHeight="1" thickBot="1" x14ac:dyDescent="0.3">
      <c r="A60" s="51">
        <v>29</v>
      </c>
      <c r="B60" s="103" t="s">
        <v>13</v>
      </c>
      <c r="C60" s="93">
        <v>50</v>
      </c>
      <c r="D60" s="107"/>
      <c r="E60" s="107"/>
      <c r="F60" s="107"/>
      <c r="G60" s="107"/>
      <c r="H60" s="107"/>
      <c r="I60" s="107"/>
      <c r="J60" s="107"/>
      <c r="K60" s="107"/>
      <c r="L60" s="108"/>
      <c r="M60" s="111">
        <f t="shared" si="6"/>
        <v>5</v>
      </c>
      <c r="N60" s="112">
        <v>7.5</v>
      </c>
      <c r="O60" s="109">
        <f t="shared" si="7"/>
        <v>-33.333333333333336</v>
      </c>
    </row>
    <row r="61" spans="1:15" ht="15.6" customHeight="1" x14ac:dyDescent="0.25"/>
    <row r="66" spans="3:3" ht="15" customHeight="1" x14ac:dyDescent="0.25">
      <c r="C66" s="143"/>
    </row>
  </sheetData>
  <mergeCells count="13">
    <mergeCell ref="O30:O31"/>
    <mergeCell ref="A1:L1"/>
    <mergeCell ref="A2:L2"/>
    <mergeCell ref="M30:M31"/>
    <mergeCell ref="N30:N31"/>
    <mergeCell ref="B5:B6"/>
    <mergeCell ref="F5:F6"/>
    <mergeCell ref="C5:E5"/>
    <mergeCell ref="G5:I5"/>
    <mergeCell ref="J5:L5"/>
    <mergeCell ref="A30:A31"/>
    <mergeCell ref="B30:B31"/>
    <mergeCell ref="C30:L30"/>
  </mergeCells>
  <pageMargins left="0" right="0" top="0.55118110236220474" bottom="0.55118110236220474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WhiteSpace="0" view="pageBreakPreview" topLeftCell="A2" zoomScale="80" zoomScaleNormal="70" zoomScaleSheetLayoutView="80" zoomScalePageLayoutView="70" workbookViewId="0">
      <selection activeCell="P31" sqref="P31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22" ht="0.6" customHeight="1" x14ac:dyDescent="0.25">
      <c r="A1" s="167"/>
      <c r="B1" s="23"/>
      <c r="C1" s="30"/>
      <c r="D1" s="25"/>
      <c r="E1" s="25"/>
      <c r="F1" s="25"/>
      <c r="G1" s="25"/>
      <c r="H1" s="25"/>
      <c r="I1" s="26"/>
      <c r="J1" s="25"/>
      <c r="K1" s="25"/>
      <c r="L1" s="25"/>
      <c r="M1" s="25"/>
    </row>
    <row r="2" spans="1:22" x14ac:dyDescent="0.25">
      <c r="A2" s="237" t="s">
        <v>153</v>
      </c>
      <c r="B2" s="238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22" x14ac:dyDescent="0.25">
      <c r="A3" s="237" t="s">
        <v>48</v>
      </c>
      <c r="B3" s="238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22" ht="15.75" thickBot="1" x14ac:dyDescent="0.3">
      <c r="A4" s="239" t="s">
        <v>169</v>
      </c>
      <c r="B4" s="240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22" x14ac:dyDescent="0.25">
      <c r="A5" s="192" t="s">
        <v>49</v>
      </c>
      <c r="B5" s="192" t="s">
        <v>50</v>
      </c>
      <c r="C5" s="192" t="s">
        <v>51</v>
      </c>
      <c r="D5" s="207" t="s">
        <v>52</v>
      </c>
      <c r="E5" s="208"/>
      <c r="F5" s="209"/>
      <c r="G5" s="204" t="s">
        <v>53</v>
      </c>
      <c r="H5" s="207" t="s">
        <v>54</v>
      </c>
      <c r="I5" s="208"/>
      <c r="J5" s="209"/>
      <c r="K5" s="207" t="s">
        <v>55</v>
      </c>
      <c r="L5" s="208"/>
      <c r="M5" s="209"/>
    </row>
    <row r="6" spans="1:22" ht="15.75" thickBot="1" x14ac:dyDescent="0.3">
      <c r="A6" s="202"/>
      <c r="B6" s="193"/>
      <c r="C6" s="193"/>
      <c r="D6" s="210" t="s">
        <v>56</v>
      </c>
      <c r="E6" s="211"/>
      <c r="F6" s="212"/>
      <c r="G6" s="205"/>
      <c r="H6" s="210"/>
      <c r="I6" s="211"/>
      <c r="J6" s="212"/>
      <c r="K6" s="210"/>
      <c r="L6" s="211"/>
      <c r="M6" s="212"/>
    </row>
    <row r="7" spans="1:22" ht="17.25" thickBot="1" x14ac:dyDescent="0.3">
      <c r="A7" s="203"/>
      <c r="B7" s="194"/>
      <c r="C7" s="194"/>
      <c r="D7" s="33" t="s">
        <v>57</v>
      </c>
      <c r="E7" s="33" t="s">
        <v>58</v>
      </c>
      <c r="F7" s="33" t="s">
        <v>59</v>
      </c>
      <c r="G7" s="206"/>
      <c r="H7" s="33" t="s">
        <v>60</v>
      </c>
      <c r="I7" s="33" t="s">
        <v>84</v>
      </c>
      <c r="J7" s="33" t="s">
        <v>62</v>
      </c>
      <c r="K7" s="33" t="s">
        <v>63</v>
      </c>
      <c r="L7" s="33" t="s">
        <v>81</v>
      </c>
      <c r="M7" s="33" t="s">
        <v>64</v>
      </c>
    </row>
    <row r="8" spans="1:22" ht="18.75" x14ac:dyDescent="0.25">
      <c r="A8" s="6"/>
      <c r="B8" s="151" t="s">
        <v>65</v>
      </c>
      <c r="C8" s="8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22" x14ac:dyDescent="0.25">
      <c r="A9" s="152">
        <v>57</v>
      </c>
      <c r="B9" s="148" t="s">
        <v>181</v>
      </c>
      <c r="C9" s="149">
        <v>60</v>
      </c>
      <c r="D9" s="20">
        <f t="shared" ref="D9" si="0">6.4*C9/1000</f>
        <v>0.38400000000000001</v>
      </c>
      <c r="E9" s="20">
        <f t="shared" ref="E9" si="1">19.4*C9/1000</f>
        <v>1.1639999999999999</v>
      </c>
      <c r="F9" s="20">
        <f t="shared" ref="F9" si="2">34.3*C9/1000</f>
        <v>2.0579999999999998</v>
      </c>
      <c r="G9" s="20">
        <f t="shared" ref="G9" si="3">365*C9/1000</f>
        <v>21.9</v>
      </c>
      <c r="H9" s="20">
        <f>0</f>
        <v>0</v>
      </c>
      <c r="I9" s="20">
        <f t="shared" ref="I9" si="4">0.1*C9/1000</f>
        <v>6.0000000000000001E-3</v>
      </c>
      <c r="J9" s="20">
        <f t="shared" ref="J9" si="5">43.7*C9/1000</f>
        <v>2.6219999999999999</v>
      </c>
      <c r="K9" s="20">
        <f t="shared" ref="K9" si="6">210.1*C9/1000</f>
        <v>12.606</v>
      </c>
      <c r="L9" s="20">
        <f t="shared" ref="L9" si="7">184.4*C9/1000</f>
        <v>11.064</v>
      </c>
      <c r="M9" s="20">
        <f t="shared" ref="M9" si="8">4.4*C9/1000</f>
        <v>0.26400000000000001</v>
      </c>
    </row>
    <row r="10" spans="1:22" ht="20.45" customHeight="1" x14ac:dyDescent="0.25">
      <c r="A10" s="20">
        <v>309</v>
      </c>
      <c r="B10" s="148" t="s">
        <v>130</v>
      </c>
      <c r="C10" s="149">
        <v>180</v>
      </c>
      <c r="D10" s="20">
        <f>36.8*C10/1000</f>
        <v>6.6239999999999988</v>
      </c>
      <c r="E10" s="20">
        <f>30.1*C10/1000</f>
        <v>5.4180000000000001</v>
      </c>
      <c r="F10" s="20">
        <f>176.3*C10/1000</f>
        <v>31.734000000000005</v>
      </c>
      <c r="G10" s="20">
        <f>1123*C10/1000</f>
        <v>202.14</v>
      </c>
      <c r="H10" s="20">
        <f>0</f>
        <v>0</v>
      </c>
      <c r="I10" s="20">
        <f>0.4*C10/1000</f>
        <v>7.1999999999999995E-2</v>
      </c>
      <c r="J10" s="20">
        <f>0</f>
        <v>0</v>
      </c>
      <c r="K10" s="20">
        <f>32.4*C10/1000</f>
        <v>5.8319999999999999</v>
      </c>
      <c r="L10" s="20">
        <f>247.8*C10/1000</f>
        <v>44.603999999999999</v>
      </c>
      <c r="M10" s="20">
        <f>7.4*C10/1000</f>
        <v>1.3320000000000001</v>
      </c>
      <c r="V10" s="147"/>
    </row>
    <row r="11" spans="1:22" x14ac:dyDescent="0.25">
      <c r="A11" s="20">
        <v>229</v>
      </c>
      <c r="B11" s="148" t="s">
        <v>73</v>
      </c>
      <c r="C11" s="149">
        <v>100</v>
      </c>
      <c r="D11" s="20">
        <v>13.65</v>
      </c>
      <c r="E11" s="20">
        <v>6.93</v>
      </c>
      <c r="F11" s="20">
        <v>5.32</v>
      </c>
      <c r="G11" s="20">
        <v>147</v>
      </c>
      <c r="H11" s="20">
        <v>8.1479999999999997</v>
      </c>
      <c r="I11" s="20">
        <v>7.0000000000000007E-2</v>
      </c>
      <c r="J11" s="20">
        <v>5.2220000000000004</v>
      </c>
      <c r="K11" s="20">
        <v>54.698</v>
      </c>
      <c r="L11" s="20">
        <v>227.066</v>
      </c>
      <c r="M11" s="20">
        <v>1.19</v>
      </c>
    </row>
    <row r="12" spans="1:22" x14ac:dyDescent="0.25">
      <c r="A12" s="20">
        <v>376</v>
      </c>
      <c r="B12" s="148" t="s">
        <v>184</v>
      </c>
      <c r="C12" s="149">
        <v>200</v>
      </c>
      <c r="D12" s="20">
        <f>0.35*C12/1000</f>
        <v>7.0000000000000007E-2</v>
      </c>
      <c r="E12" s="20">
        <f>0.1*C12/1000</f>
        <v>0.02</v>
      </c>
      <c r="F12" s="20">
        <f>75*C12/1000</f>
        <v>15</v>
      </c>
      <c r="G12" s="20">
        <f>300*C12/1000</f>
        <v>60</v>
      </c>
      <c r="H12" s="20">
        <f>0*C12/1000</f>
        <v>0</v>
      </c>
      <c r="I12" s="20">
        <f>0</f>
        <v>0</v>
      </c>
      <c r="J12" s="20">
        <f>0.2*C12/1000</f>
        <v>0.04</v>
      </c>
      <c r="K12" s="20">
        <f>55.5*C12/1000</f>
        <v>11.1</v>
      </c>
      <c r="L12" s="20">
        <f>14*C12/1000</f>
        <v>2.8</v>
      </c>
      <c r="M12" s="20">
        <f>1.4*C12/1000</f>
        <v>0.28000000000000003</v>
      </c>
    </row>
    <row r="13" spans="1:22" x14ac:dyDescent="0.25">
      <c r="A13" s="152" t="s">
        <v>66</v>
      </c>
      <c r="B13" s="148" t="s">
        <v>33</v>
      </c>
      <c r="C13" s="149">
        <v>40</v>
      </c>
      <c r="D13" s="20">
        <f>107*C13/1000</f>
        <v>4.28</v>
      </c>
      <c r="E13" s="20">
        <f>45*C13/1000</f>
        <v>1.8</v>
      </c>
      <c r="F13" s="20">
        <f>435*C13/1000</f>
        <v>17.399999999999999</v>
      </c>
      <c r="G13" s="20">
        <f>2740*C13/1000</f>
        <v>109.6</v>
      </c>
      <c r="H13" s="20">
        <f>0</f>
        <v>0</v>
      </c>
      <c r="I13" s="20">
        <f>4.1*C13/1000</f>
        <v>0.16400000000000001</v>
      </c>
      <c r="J13" s="20">
        <f>2*C13/1000</f>
        <v>0.08</v>
      </c>
      <c r="K13" s="20">
        <f>1250*C13/1000</f>
        <v>50</v>
      </c>
      <c r="L13" s="20">
        <f>1290*C13/1000</f>
        <v>51.6</v>
      </c>
      <c r="M13" s="20">
        <f>36*C13/1000</f>
        <v>1.44</v>
      </c>
    </row>
    <row r="14" spans="1:22" x14ac:dyDescent="0.25">
      <c r="A14" s="152">
        <v>338</v>
      </c>
      <c r="B14" s="148" t="s">
        <v>131</v>
      </c>
      <c r="C14" s="149">
        <v>100</v>
      </c>
      <c r="D14" s="20">
        <f>4*C14/1000</f>
        <v>0.4</v>
      </c>
      <c r="E14" s="20">
        <f>4*C14/1000</f>
        <v>0.4</v>
      </c>
      <c r="F14" s="20">
        <f>98*C14/1000</f>
        <v>9.8000000000000007</v>
      </c>
      <c r="G14" s="20">
        <f>470*C14/1000</f>
        <v>47</v>
      </c>
      <c r="H14" s="20">
        <f>0</f>
        <v>0</v>
      </c>
      <c r="I14" s="20">
        <f>0.3*C14/1000</f>
        <v>0.03</v>
      </c>
      <c r="J14" s="20">
        <f>100*C14/1000</f>
        <v>10</v>
      </c>
      <c r="K14" s="20">
        <f>160*C14/1000</f>
        <v>16</v>
      </c>
      <c r="L14" s="20">
        <f>110*C14/1000</f>
        <v>11</v>
      </c>
      <c r="M14" s="20">
        <f>22*C14/1000</f>
        <v>2.2000000000000002</v>
      </c>
    </row>
    <row r="15" spans="1:22" x14ac:dyDescent="0.25">
      <c r="A15" s="153" t="s">
        <v>70</v>
      </c>
      <c r="B15" s="148" t="s">
        <v>3</v>
      </c>
      <c r="C15" s="149">
        <v>20</v>
      </c>
      <c r="D15" s="150">
        <f>85*C15/1000</f>
        <v>1.7</v>
      </c>
      <c r="E15" s="150">
        <f>33*C15/1000</f>
        <v>0.66</v>
      </c>
      <c r="F15" s="150">
        <f>425*C15/1000</f>
        <v>8.5</v>
      </c>
      <c r="G15" s="150">
        <f>2590*C15/1000</f>
        <v>51.8</v>
      </c>
      <c r="H15" s="154">
        <f>0</f>
        <v>0</v>
      </c>
      <c r="I15" s="150">
        <f>4.3*C15/1000</f>
        <v>8.5999999999999993E-2</v>
      </c>
      <c r="J15" s="150">
        <f>4*C15/1000</f>
        <v>0.08</v>
      </c>
      <c r="K15" s="150">
        <f>730*C15/1000</f>
        <v>14.6</v>
      </c>
      <c r="L15" s="150">
        <f>1250*C15/1000</f>
        <v>25</v>
      </c>
      <c r="M15" s="150">
        <f>28.3*C15/1000</f>
        <v>0.56599999999999995</v>
      </c>
    </row>
    <row r="16" spans="1:22" x14ac:dyDescent="0.25">
      <c r="A16" s="20"/>
      <c r="B16" s="155" t="s">
        <v>67</v>
      </c>
      <c r="C16" s="164">
        <f t="shared" ref="C16:M16" si="9">SUM(C9:C15)</f>
        <v>700</v>
      </c>
      <c r="D16" s="157">
        <f t="shared" si="9"/>
        <v>27.108000000000001</v>
      </c>
      <c r="E16" s="157">
        <f t="shared" si="9"/>
        <v>16.391999999999999</v>
      </c>
      <c r="F16" s="157">
        <f t="shared" si="9"/>
        <v>89.811999999999998</v>
      </c>
      <c r="G16" s="157">
        <f t="shared" si="9"/>
        <v>639.43999999999994</v>
      </c>
      <c r="H16" s="157">
        <f t="shared" si="9"/>
        <v>8.1479999999999997</v>
      </c>
      <c r="I16" s="157">
        <f t="shared" si="9"/>
        <v>0.42800000000000005</v>
      </c>
      <c r="J16" s="157">
        <f t="shared" si="9"/>
        <v>18.043999999999997</v>
      </c>
      <c r="K16" s="157">
        <f t="shared" si="9"/>
        <v>164.83599999999998</v>
      </c>
      <c r="L16" s="157">
        <f t="shared" si="9"/>
        <v>373.13400000000001</v>
      </c>
      <c r="M16" s="157">
        <f t="shared" si="9"/>
        <v>7.2720000000000002</v>
      </c>
    </row>
    <row r="17" spans="1:13" ht="18.75" x14ac:dyDescent="0.25">
      <c r="A17" s="20"/>
      <c r="B17" s="158" t="s">
        <v>68</v>
      </c>
      <c r="C17" s="11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x14ac:dyDescent="0.25">
      <c r="A18" s="20">
        <v>82</v>
      </c>
      <c r="B18" s="148" t="s">
        <v>72</v>
      </c>
      <c r="C18" s="149">
        <v>200</v>
      </c>
      <c r="D18" s="20">
        <f>6.4*C18/1000</f>
        <v>1.28</v>
      </c>
      <c r="E18" s="20">
        <f>19.4*C18/1000</f>
        <v>3.8799999999999994</v>
      </c>
      <c r="F18" s="20">
        <f>34.3*C18/1000</f>
        <v>6.8599999999999994</v>
      </c>
      <c r="G18" s="20">
        <f>365*C18/1000</f>
        <v>73</v>
      </c>
      <c r="H18" s="20">
        <f>0</f>
        <v>0</v>
      </c>
      <c r="I18" s="20">
        <f>0.1*C18/1000</f>
        <v>0.02</v>
      </c>
      <c r="J18" s="20">
        <f>43.7*C18/1000</f>
        <v>8.74</v>
      </c>
      <c r="K18" s="20">
        <f>210.1*C18/1000</f>
        <v>42.02</v>
      </c>
      <c r="L18" s="20">
        <f>184.4*C18/1000</f>
        <v>36.880000000000003</v>
      </c>
      <c r="M18" s="20">
        <f>4.4*C18/1000</f>
        <v>0.88000000000000012</v>
      </c>
    </row>
    <row r="19" spans="1:13" x14ac:dyDescent="0.25">
      <c r="A19" s="20">
        <v>259</v>
      </c>
      <c r="B19" s="148" t="s">
        <v>186</v>
      </c>
      <c r="C19" s="149">
        <v>200</v>
      </c>
      <c r="D19" s="20">
        <v>14.1</v>
      </c>
      <c r="E19" s="20">
        <v>33.799999999999997</v>
      </c>
      <c r="F19" s="20">
        <v>18.899999999999999</v>
      </c>
      <c r="G19" s="20">
        <v>437.8</v>
      </c>
      <c r="H19" s="20">
        <v>0</v>
      </c>
      <c r="I19" s="20">
        <v>1.04</v>
      </c>
      <c r="J19" s="20">
        <v>7.7</v>
      </c>
      <c r="K19" s="20">
        <v>32.799999999999997</v>
      </c>
      <c r="L19" s="20">
        <v>205.6</v>
      </c>
      <c r="M19" s="20">
        <v>3.5</v>
      </c>
    </row>
    <row r="20" spans="1:13" x14ac:dyDescent="0.25">
      <c r="A20" s="20">
        <v>45</v>
      </c>
      <c r="B20" s="148" t="s">
        <v>187</v>
      </c>
      <c r="C20" s="149">
        <v>100</v>
      </c>
      <c r="D20" s="127">
        <v>1.3</v>
      </c>
      <c r="E20" s="127">
        <v>3.3</v>
      </c>
      <c r="F20" s="127">
        <v>6.5</v>
      </c>
      <c r="G20" s="127">
        <v>60.4</v>
      </c>
      <c r="H20" s="127">
        <v>0</v>
      </c>
      <c r="I20" s="127">
        <v>0</v>
      </c>
      <c r="J20" s="127">
        <v>17.100000000000001</v>
      </c>
      <c r="K20" s="127">
        <v>25</v>
      </c>
      <c r="L20" s="127">
        <v>28.3</v>
      </c>
      <c r="M20" s="127">
        <v>0.5</v>
      </c>
    </row>
    <row r="21" spans="1:13" x14ac:dyDescent="0.25">
      <c r="A21" s="20">
        <v>342</v>
      </c>
      <c r="B21" s="148" t="s">
        <v>74</v>
      </c>
      <c r="C21" s="149">
        <v>200</v>
      </c>
      <c r="D21" s="20">
        <f>0.8*C21/1000</f>
        <v>0.16</v>
      </c>
      <c r="E21" s="20">
        <f>0.8*C21/1000</f>
        <v>0.16</v>
      </c>
      <c r="F21" s="20">
        <f>139.4*C21/1000</f>
        <v>27.88</v>
      </c>
      <c r="G21" s="20">
        <f>573*C21/1000</f>
        <v>114.6</v>
      </c>
      <c r="H21" s="20">
        <f>0</f>
        <v>0</v>
      </c>
      <c r="I21" s="20">
        <f>0.1*C20/1000</f>
        <v>0.01</v>
      </c>
      <c r="J21" s="20">
        <f>5.5*C21/1000</f>
        <v>1.1000000000000001</v>
      </c>
      <c r="K21" s="20">
        <f>70.9*C21/1000</f>
        <v>14.180000000000001</v>
      </c>
      <c r="L21" s="20">
        <f>22*C21/1000</f>
        <v>4.4000000000000004</v>
      </c>
      <c r="M21" s="20">
        <f>4.8*C21/1000</f>
        <v>0.96</v>
      </c>
    </row>
    <row r="22" spans="1:13" x14ac:dyDescent="0.25">
      <c r="A22" s="152" t="s">
        <v>66</v>
      </c>
      <c r="B22" s="148" t="s">
        <v>33</v>
      </c>
      <c r="C22" s="149">
        <v>50</v>
      </c>
      <c r="D22" s="20">
        <f>107*C22/1000</f>
        <v>5.35</v>
      </c>
      <c r="E22" s="20">
        <f>45*C22/1000</f>
        <v>2.25</v>
      </c>
      <c r="F22" s="20">
        <f>435*C22/1000</f>
        <v>21.75</v>
      </c>
      <c r="G22" s="20">
        <f>2740*C22/1000</f>
        <v>137</v>
      </c>
      <c r="H22" s="20">
        <f>0</f>
        <v>0</v>
      </c>
      <c r="I22" s="20">
        <f>4.1*C22/1000</f>
        <v>0.20499999999999996</v>
      </c>
      <c r="J22" s="20">
        <f>2*C22/1000</f>
        <v>0.1</v>
      </c>
      <c r="K22" s="20">
        <f>1250*C22/1000</f>
        <v>62.5</v>
      </c>
      <c r="L22" s="20">
        <f>1290*C22/1000</f>
        <v>64.5</v>
      </c>
      <c r="M22" s="20">
        <f>36*C22/1000</f>
        <v>1.8</v>
      </c>
    </row>
    <row r="23" spans="1:13" x14ac:dyDescent="0.25">
      <c r="A23" s="153" t="s">
        <v>70</v>
      </c>
      <c r="B23" s="148" t="s">
        <v>3</v>
      </c>
      <c r="C23" s="149">
        <v>30</v>
      </c>
      <c r="D23" s="150">
        <f>85*C23/1000</f>
        <v>2.5499999999999998</v>
      </c>
      <c r="E23" s="150">
        <f>33*C23/1000</f>
        <v>0.99</v>
      </c>
      <c r="F23" s="150">
        <f>425*C23/1000</f>
        <v>12.75</v>
      </c>
      <c r="G23" s="150">
        <f>2590*C23/1000</f>
        <v>77.7</v>
      </c>
      <c r="H23" s="154">
        <f>0</f>
        <v>0</v>
      </c>
      <c r="I23" s="150">
        <f>4.3*C23/1000</f>
        <v>0.129</v>
      </c>
      <c r="J23" s="150">
        <f>4*C23/1000</f>
        <v>0.12</v>
      </c>
      <c r="K23" s="150">
        <f>730*C23/1000</f>
        <v>21.9</v>
      </c>
      <c r="L23" s="150">
        <f>1250*C23/1000</f>
        <v>37.5</v>
      </c>
      <c r="M23" s="150">
        <f>28.3*C23/1000</f>
        <v>0.84899999999999998</v>
      </c>
    </row>
    <row r="24" spans="1:13" x14ac:dyDescent="0.25">
      <c r="A24" s="165"/>
      <c r="B24" s="155" t="s">
        <v>67</v>
      </c>
      <c r="C24" s="164">
        <f t="shared" ref="C24:M24" si="10">SUM(C18:C23)</f>
        <v>780</v>
      </c>
      <c r="D24" s="157">
        <f t="shared" si="10"/>
        <v>24.74</v>
      </c>
      <c r="E24" s="157">
        <f t="shared" si="10"/>
        <v>44.379999999999995</v>
      </c>
      <c r="F24" s="157">
        <f t="shared" si="10"/>
        <v>94.64</v>
      </c>
      <c r="G24" s="157">
        <f t="shared" si="10"/>
        <v>900.50000000000011</v>
      </c>
      <c r="H24" s="157">
        <f t="shared" si="10"/>
        <v>0</v>
      </c>
      <c r="I24" s="157">
        <f t="shared" si="10"/>
        <v>1.4039999999999999</v>
      </c>
      <c r="J24" s="157">
        <f t="shared" si="10"/>
        <v>34.860000000000007</v>
      </c>
      <c r="K24" s="157">
        <f t="shared" si="10"/>
        <v>198.4</v>
      </c>
      <c r="L24" s="157">
        <f t="shared" si="10"/>
        <v>377.17999999999995</v>
      </c>
      <c r="M24" s="157">
        <f t="shared" si="10"/>
        <v>8.488999999999999</v>
      </c>
    </row>
    <row r="25" spans="1:13" ht="18.75" x14ac:dyDescent="0.25">
      <c r="A25" s="165"/>
      <c r="B25" s="159" t="s">
        <v>71</v>
      </c>
      <c r="C25" s="166">
        <f t="shared" ref="C25:M25" si="11">C16+C24</f>
        <v>1480</v>
      </c>
      <c r="D25" s="161">
        <f t="shared" si="11"/>
        <v>51.847999999999999</v>
      </c>
      <c r="E25" s="161">
        <f t="shared" si="11"/>
        <v>60.771999999999991</v>
      </c>
      <c r="F25" s="161">
        <f t="shared" si="11"/>
        <v>184.452</v>
      </c>
      <c r="G25" s="161">
        <f t="shared" si="11"/>
        <v>1539.94</v>
      </c>
      <c r="H25" s="161">
        <f t="shared" si="11"/>
        <v>8.1479999999999997</v>
      </c>
      <c r="I25" s="161">
        <f t="shared" si="11"/>
        <v>1.8319999999999999</v>
      </c>
      <c r="J25" s="161">
        <f t="shared" si="11"/>
        <v>52.904000000000003</v>
      </c>
      <c r="K25" s="161">
        <f t="shared" si="11"/>
        <v>363.23599999999999</v>
      </c>
      <c r="L25" s="161">
        <f t="shared" si="11"/>
        <v>750.31399999999996</v>
      </c>
      <c r="M25" s="161">
        <f t="shared" si="11"/>
        <v>15.760999999999999</v>
      </c>
    </row>
    <row r="26" spans="1:13" ht="17.25" customHeight="1" x14ac:dyDescent="0.25">
      <c r="A26" s="162"/>
      <c r="B26" s="19" t="s">
        <v>170</v>
      </c>
      <c r="C26" s="20">
        <v>1200</v>
      </c>
      <c r="D26" s="21">
        <v>45</v>
      </c>
      <c r="E26" s="21">
        <v>46</v>
      </c>
      <c r="F26" s="21">
        <v>192</v>
      </c>
      <c r="G26" s="21">
        <v>1360</v>
      </c>
      <c r="H26" s="21">
        <v>450</v>
      </c>
      <c r="I26" s="21">
        <v>0.7</v>
      </c>
      <c r="J26" s="21">
        <v>35</v>
      </c>
      <c r="K26" s="21">
        <v>600</v>
      </c>
      <c r="L26" s="21">
        <v>600</v>
      </c>
      <c r="M26" s="21">
        <v>9</v>
      </c>
    </row>
    <row r="27" spans="1:13" ht="17.25" customHeight="1" x14ac:dyDescent="0.25">
      <c r="A27" s="163"/>
      <c r="B27" s="23"/>
      <c r="C27" s="24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17.25" customHeight="1" x14ac:dyDescent="0.25">
      <c r="A28" s="163"/>
      <c r="B28" s="23"/>
      <c r="C28" s="24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ht="13.9" customHeight="1" x14ac:dyDescent="0.25">
      <c r="A29" s="163"/>
      <c r="B29" s="23"/>
      <c r="C29" s="24"/>
      <c r="D29" s="26"/>
      <c r="E29" s="26"/>
      <c r="F29" s="26"/>
      <c r="G29" s="26"/>
      <c r="H29" s="26"/>
      <c r="I29" s="26"/>
      <c r="J29" s="26"/>
      <c r="K29" s="26"/>
      <c r="L29" s="26"/>
      <c r="M29" s="26"/>
    </row>
  </sheetData>
  <mergeCells count="11">
    <mergeCell ref="H5:J6"/>
    <mergeCell ref="K5:M6"/>
    <mergeCell ref="D6:F6"/>
    <mergeCell ref="A2:B2"/>
    <mergeCell ref="A3:B3"/>
    <mergeCell ref="A4:B4"/>
    <mergeCell ref="A5:A7"/>
    <mergeCell ref="B5:B7"/>
    <mergeCell ref="C5:C7"/>
    <mergeCell ref="D5:F5"/>
    <mergeCell ref="G5:G7"/>
  </mergeCells>
  <pageMargins left="0.7" right="0.7" top="0.75" bottom="0.75" header="0.3" footer="0.3"/>
  <pageSetup paperSize="9" scale="87" fitToWidth="0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showWhiteSpace="0" view="pageBreakPreview" zoomScale="80" zoomScaleNormal="70" zoomScaleSheetLayoutView="80" zoomScalePageLayoutView="70" workbookViewId="0">
      <selection activeCell="N24" sqref="N24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4" ht="15.95" customHeight="1" x14ac:dyDescent="0.25">
      <c r="A1" s="163"/>
      <c r="B1" s="23"/>
      <c r="C1" s="24"/>
      <c r="D1" s="25"/>
      <c r="E1" s="25"/>
      <c r="F1" s="25"/>
      <c r="G1" s="25"/>
      <c r="H1" s="25"/>
      <c r="I1" s="26"/>
      <c r="J1" s="25"/>
      <c r="K1" s="25"/>
      <c r="L1" s="25"/>
      <c r="M1" s="25"/>
    </row>
    <row r="2" spans="1:14" ht="15" customHeight="1" x14ac:dyDescent="0.25">
      <c r="A2" s="163"/>
      <c r="B2" s="23"/>
      <c r="C2" s="24"/>
      <c r="D2" s="25"/>
      <c r="E2" s="25"/>
      <c r="F2" s="25"/>
      <c r="G2" s="25"/>
      <c r="H2" s="25"/>
      <c r="I2" s="26"/>
      <c r="J2" s="25"/>
      <c r="K2" s="25"/>
      <c r="L2" s="25"/>
      <c r="M2" s="25"/>
    </row>
    <row r="3" spans="1:14" ht="408.6" hidden="1" customHeight="1" x14ac:dyDescent="0.25">
      <c r="A3" s="163"/>
      <c r="B3" s="23"/>
      <c r="C3" s="24"/>
      <c r="D3" s="25"/>
      <c r="E3" s="25"/>
      <c r="F3" s="182"/>
      <c r="G3" s="25"/>
      <c r="H3" s="25"/>
      <c r="I3" s="26"/>
      <c r="J3" s="25"/>
      <c r="K3" s="25"/>
      <c r="L3" s="25"/>
      <c r="M3" s="25"/>
    </row>
    <row r="4" spans="1:14" ht="1.1499999999999999" hidden="1" customHeight="1" x14ac:dyDescent="0.25"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4" x14ac:dyDescent="0.25">
      <c r="A5" s="237" t="s">
        <v>154</v>
      </c>
      <c r="B5" s="238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4" x14ac:dyDescent="0.25">
      <c r="A6" s="237" t="s">
        <v>48</v>
      </c>
      <c r="B6" s="238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4" ht="15.75" thickBot="1" x14ac:dyDescent="0.3">
      <c r="A7" s="239" t="s">
        <v>168</v>
      </c>
      <c r="B7" s="240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4" x14ac:dyDescent="0.25">
      <c r="A8" s="192" t="s">
        <v>49</v>
      </c>
      <c r="B8" s="192" t="s">
        <v>50</v>
      </c>
      <c r="C8" s="192" t="s">
        <v>51</v>
      </c>
      <c r="D8" s="207" t="s">
        <v>52</v>
      </c>
      <c r="E8" s="208"/>
      <c r="F8" s="209"/>
      <c r="G8" s="204" t="s">
        <v>53</v>
      </c>
      <c r="H8" s="207" t="s">
        <v>54</v>
      </c>
      <c r="I8" s="208"/>
      <c r="J8" s="209"/>
      <c r="K8" s="207" t="s">
        <v>55</v>
      </c>
      <c r="L8" s="208"/>
      <c r="M8" s="209"/>
      <c r="N8" s="144"/>
    </row>
    <row r="9" spans="1:14" ht="15.75" thickBot="1" x14ac:dyDescent="0.3">
      <c r="A9" s="202"/>
      <c r="B9" s="193"/>
      <c r="C9" s="193"/>
      <c r="D9" s="210" t="s">
        <v>56</v>
      </c>
      <c r="E9" s="211"/>
      <c r="F9" s="212"/>
      <c r="G9" s="205"/>
      <c r="H9" s="210"/>
      <c r="I9" s="211"/>
      <c r="J9" s="212"/>
      <c r="K9" s="210"/>
      <c r="L9" s="211"/>
      <c r="M9" s="212"/>
    </row>
    <row r="10" spans="1:14" ht="17.25" thickBot="1" x14ac:dyDescent="0.3">
      <c r="A10" s="203"/>
      <c r="B10" s="194"/>
      <c r="C10" s="194"/>
      <c r="D10" s="33" t="s">
        <v>57</v>
      </c>
      <c r="E10" s="33" t="s">
        <v>58</v>
      </c>
      <c r="F10" s="33" t="s">
        <v>59</v>
      </c>
      <c r="G10" s="206"/>
      <c r="H10" s="33" t="s">
        <v>60</v>
      </c>
      <c r="I10" s="33" t="s">
        <v>84</v>
      </c>
      <c r="J10" s="33" t="s">
        <v>62</v>
      </c>
      <c r="K10" s="33" t="s">
        <v>63</v>
      </c>
      <c r="L10" s="33" t="s">
        <v>81</v>
      </c>
      <c r="M10" s="33" t="s">
        <v>64</v>
      </c>
    </row>
    <row r="11" spans="1:14" ht="18.75" x14ac:dyDescent="0.25">
      <c r="A11" s="6"/>
      <c r="B11" s="151" t="s">
        <v>65</v>
      </c>
      <c r="C11" s="8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4" ht="30" x14ac:dyDescent="0.25">
      <c r="A12" s="27">
        <v>218</v>
      </c>
      <c r="B12" s="145" t="s">
        <v>177</v>
      </c>
      <c r="C12" s="49">
        <v>120</v>
      </c>
      <c r="D12" s="20">
        <f>148.3*C12/1000</f>
        <v>17.795999999999999</v>
      </c>
      <c r="E12" s="20">
        <f>70.4*C12/1000</f>
        <v>8.4480000000000004</v>
      </c>
      <c r="F12" s="20">
        <f>237.4*C12/1000</f>
        <v>28.488</v>
      </c>
      <c r="G12" s="20">
        <f>2180*C12/1000</f>
        <v>261.60000000000002</v>
      </c>
      <c r="H12" s="20">
        <f>501*C12/1000</f>
        <v>60.12</v>
      </c>
      <c r="I12" s="20">
        <f>0.4*C12/1000</f>
        <v>4.8000000000000001E-2</v>
      </c>
      <c r="J12" s="20">
        <f>1.9*C12/1000</f>
        <v>0.22800000000000001</v>
      </c>
      <c r="K12" s="20">
        <f>974.1*C12/1000</f>
        <v>116.892</v>
      </c>
      <c r="L12" s="20">
        <f>1400*C12/1000</f>
        <v>168</v>
      </c>
      <c r="M12" s="20">
        <f>4*C12/1000</f>
        <v>0.48</v>
      </c>
    </row>
    <row r="13" spans="1:14" x14ac:dyDescent="0.25">
      <c r="A13" s="152">
        <v>338</v>
      </c>
      <c r="B13" s="148" t="s">
        <v>131</v>
      </c>
      <c r="C13" s="149">
        <v>100</v>
      </c>
      <c r="D13" s="20">
        <f>4*C13/1000</f>
        <v>0.4</v>
      </c>
      <c r="E13" s="20">
        <f>4*C13/1000</f>
        <v>0.4</v>
      </c>
      <c r="F13" s="20">
        <f>98*C13/1000</f>
        <v>9.8000000000000007</v>
      </c>
      <c r="G13" s="20">
        <f>470*C13/1000</f>
        <v>47</v>
      </c>
      <c r="H13" s="20">
        <f>0</f>
        <v>0</v>
      </c>
      <c r="I13" s="20">
        <f>0.3*C13/1000</f>
        <v>0.03</v>
      </c>
      <c r="J13" s="20">
        <f>100*C13/1000</f>
        <v>10</v>
      </c>
      <c r="K13" s="20">
        <f>160*C13/1000</f>
        <v>16</v>
      </c>
      <c r="L13" s="20">
        <f>110*C13/1000</f>
        <v>11</v>
      </c>
      <c r="M13" s="20">
        <f>22*C13/1000</f>
        <v>2.2000000000000002</v>
      </c>
    </row>
    <row r="14" spans="1:14" x14ac:dyDescent="0.25">
      <c r="A14" s="20">
        <v>376</v>
      </c>
      <c r="B14" s="148" t="s">
        <v>38</v>
      </c>
      <c r="C14" s="149">
        <v>200</v>
      </c>
      <c r="D14" s="20">
        <f>5*C14/1000</f>
        <v>1</v>
      </c>
      <c r="E14" s="20">
        <f>0</f>
        <v>0</v>
      </c>
      <c r="F14" s="20">
        <f>101*C14/1000</f>
        <v>20.2</v>
      </c>
      <c r="G14" s="20">
        <f>424*C14/1000</f>
        <v>84.8</v>
      </c>
      <c r="H14" s="20">
        <f>0</f>
        <v>0</v>
      </c>
      <c r="I14" s="20">
        <f>0.1*C14/1000</f>
        <v>0.02</v>
      </c>
      <c r="J14" s="20">
        <f>20*C14/1000</f>
        <v>4</v>
      </c>
      <c r="K14" s="20">
        <f>70*C14/1000</f>
        <v>14</v>
      </c>
      <c r="L14" s="20">
        <f>70*C14/1000</f>
        <v>14</v>
      </c>
      <c r="M14" s="20">
        <f>14*C14/1000</f>
        <v>2.8</v>
      </c>
    </row>
    <row r="15" spans="1:14" x14ac:dyDescent="0.25">
      <c r="A15" s="20" t="s">
        <v>66</v>
      </c>
      <c r="B15" s="148" t="s">
        <v>33</v>
      </c>
      <c r="C15" s="149">
        <v>40</v>
      </c>
      <c r="D15" s="20">
        <f>107*C15/1000</f>
        <v>4.28</v>
      </c>
      <c r="E15" s="20">
        <f>45*C15/1000</f>
        <v>1.8</v>
      </c>
      <c r="F15" s="20">
        <f>435*C15/1000</f>
        <v>17.399999999999999</v>
      </c>
      <c r="G15" s="20">
        <f>2740*C15/1000</f>
        <v>109.6</v>
      </c>
      <c r="H15" s="20">
        <f>0</f>
        <v>0</v>
      </c>
      <c r="I15" s="20">
        <f>4.1*C15/1000</f>
        <v>0.16400000000000001</v>
      </c>
      <c r="J15" s="20">
        <f>2*C15/1000</f>
        <v>0.08</v>
      </c>
      <c r="K15" s="20">
        <f>1250*C15/1000</f>
        <v>50</v>
      </c>
      <c r="L15" s="20">
        <f>1290*C15/1000</f>
        <v>51.6</v>
      </c>
      <c r="M15" s="20">
        <f>36*C15/1000</f>
        <v>1.44</v>
      </c>
    </row>
    <row r="16" spans="1:14" x14ac:dyDescent="0.25">
      <c r="A16" s="153" t="s">
        <v>70</v>
      </c>
      <c r="B16" s="148" t="s">
        <v>3</v>
      </c>
      <c r="C16" s="149">
        <v>20</v>
      </c>
      <c r="D16" s="150">
        <f>85*C16/1000</f>
        <v>1.7</v>
      </c>
      <c r="E16" s="150">
        <f>33*C16/1000</f>
        <v>0.66</v>
      </c>
      <c r="F16" s="150">
        <f>425*C16/1000</f>
        <v>8.5</v>
      </c>
      <c r="G16" s="150">
        <f>2590*C16/1000</f>
        <v>51.8</v>
      </c>
      <c r="H16" s="154">
        <f>0</f>
        <v>0</v>
      </c>
      <c r="I16" s="150">
        <f>4.3*C16/1000</f>
        <v>8.5999999999999993E-2</v>
      </c>
      <c r="J16" s="150">
        <f>4*C16/1000</f>
        <v>0.08</v>
      </c>
      <c r="K16" s="150">
        <f>730*C16/1000</f>
        <v>14.6</v>
      </c>
      <c r="L16" s="150">
        <f>1250*C16/1000</f>
        <v>25</v>
      </c>
      <c r="M16" s="150">
        <f>28.3*C16/1000</f>
        <v>0.56599999999999995</v>
      </c>
    </row>
    <row r="17" spans="1:13" x14ac:dyDescent="0.25">
      <c r="A17" s="20"/>
      <c r="B17" s="155" t="s">
        <v>67</v>
      </c>
      <c r="C17" s="164">
        <f>SUM(C12:C16)</f>
        <v>480</v>
      </c>
      <c r="D17" s="157">
        <f t="shared" ref="D17:M17" si="0">SUM(D12:D16)</f>
        <v>25.175999999999998</v>
      </c>
      <c r="E17" s="157">
        <f t="shared" si="0"/>
        <v>11.308000000000002</v>
      </c>
      <c r="F17" s="157">
        <f t="shared" si="0"/>
        <v>84.388000000000005</v>
      </c>
      <c r="G17" s="157">
        <f t="shared" si="0"/>
        <v>554.79999999999995</v>
      </c>
      <c r="H17" s="157">
        <f t="shared" si="0"/>
        <v>60.12</v>
      </c>
      <c r="I17" s="157">
        <f t="shared" si="0"/>
        <v>0.34799999999999998</v>
      </c>
      <c r="J17" s="157">
        <f t="shared" si="0"/>
        <v>14.388</v>
      </c>
      <c r="K17" s="157">
        <f t="shared" si="0"/>
        <v>211.49199999999999</v>
      </c>
      <c r="L17" s="157">
        <f t="shared" si="0"/>
        <v>269.60000000000002</v>
      </c>
      <c r="M17" s="157">
        <f t="shared" si="0"/>
        <v>7.4859999999999998</v>
      </c>
    </row>
    <row r="18" spans="1:13" ht="18.75" x14ac:dyDescent="0.25">
      <c r="A18" s="20"/>
      <c r="B18" s="158" t="s">
        <v>68</v>
      </c>
      <c r="C18" s="11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x14ac:dyDescent="0.25">
      <c r="A19" s="152">
        <v>67</v>
      </c>
      <c r="B19" s="148" t="s">
        <v>159</v>
      </c>
      <c r="C19" s="149">
        <v>60</v>
      </c>
      <c r="D19" s="20">
        <f>6.4*C19/1000</f>
        <v>0.38400000000000001</v>
      </c>
      <c r="E19" s="20">
        <f>19.4*C19/1000</f>
        <v>1.1639999999999999</v>
      </c>
      <c r="F19" s="20">
        <f>34.3*C19/1000</f>
        <v>2.0579999999999998</v>
      </c>
      <c r="G19" s="20">
        <f>365*C19/1000</f>
        <v>21.9</v>
      </c>
      <c r="H19" s="20">
        <f>0</f>
        <v>0</v>
      </c>
      <c r="I19" s="20">
        <f>0.1*C19/1000</f>
        <v>6.0000000000000001E-3</v>
      </c>
      <c r="J19" s="20">
        <f>43.7*C19/1000</f>
        <v>2.6219999999999999</v>
      </c>
      <c r="K19" s="20">
        <f>210.1*C19/1000</f>
        <v>12.606</v>
      </c>
      <c r="L19" s="20">
        <f>184.4*C19/1000</f>
        <v>11.064</v>
      </c>
      <c r="M19" s="20">
        <f>4.4*C19/1000</f>
        <v>0.26400000000000001</v>
      </c>
    </row>
    <row r="20" spans="1:13" x14ac:dyDescent="0.25">
      <c r="A20" s="20">
        <v>96</v>
      </c>
      <c r="B20" s="148" t="s">
        <v>41</v>
      </c>
      <c r="C20" s="149">
        <v>200</v>
      </c>
      <c r="D20" s="20">
        <f>8.1*C20/1000</f>
        <v>1.62</v>
      </c>
      <c r="E20" s="20">
        <f>20.4*C20/1000</f>
        <v>4.0799999999999992</v>
      </c>
      <c r="F20" s="20">
        <f>47.9*C20/1000</f>
        <v>9.58</v>
      </c>
      <c r="G20" s="20">
        <f>429*C20/1000</f>
        <v>85.8</v>
      </c>
      <c r="H20" s="20">
        <f>0</f>
        <v>0</v>
      </c>
      <c r="I20" s="20">
        <f>0.4*C20/1000</f>
        <v>0.08</v>
      </c>
      <c r="J20" s="20">
        <f>33.5*C20/1000</f>
        <v>6.7</v>
      </c>
      <c r="K20" s="20">
        <f>116.6*C20/1000</f>
        <v>23.32</v>
      </c>
      <c r="L20" s="20">
        <f>226.9*C20/1000</f>
        <v>45.38</v>
      </c>
      <c r="M20" s="20">
        <f>3.7*C20/1000</f>
        <v>0.74</v>
      </c>
    </row>
    <row r="21" spans="1:13" x14ac:dyDescent="0.25">
      <c r="A21" s="20">
        <v>171</v>
      </c>
      <c r="B21" s="148" t="s">
        <v>180</v>
      </c>
      <c r="C21" s="149">
        <v>150</v>
      </c>
      <c r="D21" s="20">
        <v>8.9</v>
      </c>
      <c r="E21" s="20">
        <v>9.6</v>
      </c>
      <c r="F21" s="20">
        <v>39.9</v>
      </c>
      <c r="G21" s="20">
        <v>280</v>
      </c>
      <c r="H21" s="20">
        <v>0.2</v>
      </c>
      <c r="I21" s="20">
        <v>0.1</v>
      </c>
      <c r="J21" s="20">
        <v>0</v>
      </c>
      <c r="K21" s="20">
        <v>26.4</v>
      </c>
      <c r="L21" s="20">
        <v>140.5</v>
      </c>
      <c r="M21" s="20">
        <v>4.7</v>
      </c>
    </row>
    <row r="22" spans="1:13" x14ac:dyDescent="0.25">
      <c r="A22" s="20">
        <v>260</v>
      </c>
      <c r="B22" s="148" t="s">
        <v>182</v>
      </c>
      <c r="C22" s="149">
        <v>100</v>
      </c>
      <c r="D22" s="20">
        <v>8.3000000000000007</v>
      </c>
      <c r="E22" s="20">
        <v>12.1</v>
      </c>
      <c r="F22" s="20">
        <v>7.2</v>
      </c>
      <c r="G22" s="20">
        <v>172</v>
      </c>
      <c r="H22" s="20">
        <v>27.9</v>
      </c>
      <c r="I22" s="20">
        <v>1.4</v>
      </c>
      <c r="J22" s="20">
        <v>0</v>
      </c>
      <c r="K22" s="20">
        <v>0.1</v>
      </c>
      <c r="L22" s="20">
        <v>0.2</v>
      </c>
      <c r="M22" s="20">
        <v>0</v>
      </c>
    </row>
    <row r="23" spans="1:13" x14ac:dyDescent="0.25">
      <c r="A23" s="152" t="s">
        <v>66</v>
      </c>
      <c r="B23" s="148" t="s">
        <v>33</v>
      </c>
      <c r="C23" s="149">
        <v>40</v>
      </c>
      <c r="D23" s="20">
        <f>107*C23/1000</f>
        <v>4.28</v>
      </c>
      <c r="E23" s="20">
        <f>45*C23/1000</f>
        <v>1.8</v>
      </c>
      <c r="F23" s="20">
        <f>435*C23/1000</f>
        <v>17.399999999999999</v>
      </c>
      <c r="G23" s="20">
        <f>2740*C23/1000</f>
        <v>109.6</v>
      </c>
      <c r="H23" s="20">
        <f>0</f>
        <v>0</v>
      </c>
      <c r="I23" s="20">
        <f>4.1*C23/1000</f>
        <v>0.16400000000000001</v>
      </c>
      <c r="J23" s="20">
        <f>2*C23/1000</f>
        <v>0.08</v>
      </c>
      <c r="K23" s="20">
        <f>1250*C23/1000</f>
        <v>50</v>
      </c>
      <c r="L23" s="20">
        <f>1290*C23/1000</f>
        <v>51.6</v>
      </c>
      <c r="M23" s="20">
        <f>36*C23/1000</f>
        <v>1.44</v>
      </c>
    </row>
    <row r="24" spans="1:13" x14ac:dyDescent="0.25">
      <c r="A24" s="153" t="s">
        <v>70</v>
      </c>
      <c r="B24" s="148" t="s">
        <v>3</v>
      </c>
      <c r="C24" s="149">
        <v>20</v>
      </c>
      <c r="D24" s="150">
        <f>85*C24/1000</f>
        <v>1.7</v>
      </c>
      <c r="E24" s="150">
        <f>33*C24/1000</f>
        <v>0.66</v>
      </c>
      <c r="F24" s="150">
        <f>425*C24/1000</f>
        <v>8.5</v>
      </c>
      <c r="G24" s="150">
        <f>2590*C24/1000</f>
        <v>51.8</v>
      </c>
      <c r="H24" s="154">
        <f>0</f>
        <v>0</v>
      </c>
      <c r="I24" s="150">
        <f>4.3*C24/1000</f>
        <v>8.5999999999999993E-2</v>
      </c>
      <c r="J24" s="150">
        <f>4*C24/1000</f>
        <v>0.08</v>
      </c>
      <c r="K24" s="150">
        <f>730*C24/1000</f>
        <v>14.6</v>
      </c>
      <c r="L24" s="150">
        <f>1250*C24/1000</f>
        <v>25</v>
      </c>
      <c r="M24" s="150">
        <f>28.3*C24/1000</f>
        <v>0.56599999999999995</v>
      </c>
    </row>
    <row r="25" spans="1:13" x14ac:dyDescent="0.25">
      <c r="A25" s="152">
        <v>338</v>
      </c>
      <c r="B25" s="148" t="s">
        <v>131</v>
      </c>
      <c r="C25" s="149">
        <v>100</v>
      </c>
      <c r="D25" s="20">
        <f>4*C25/1000</f>
        <v>0.4</v>
      </c>
      <c r="E25" s="20">
        <f>4*C25/1000</f>
        <v>0.4</v>
      </c>
      <c r="F25" s="20">
        <f>98*C25/1000</f>
        <v>9.8000000000000007</v>
      </c>
      <c r="G25" s="20">
        <f>470*C25/1000</f>
        <v>47</v>
      </c>
      <c r="H25" s="20">
        <f>0</f>
        <v>0</v>
      </c>
      <c r="I25" s="20">
        <f>0.3*C25/1000</f>
        <v>0.03</v>
      </c>
      <c r="J25" s="20">
        <f>100*C25/1000</f>
        <v>10</v>
      </c>
      <c r="K25" s="20">
        <f>160*C25/1000</f>
        <v>16</v>
      </c>
      <c r="L25" s="20">
        <f>110*C25/1000</f>
        <v>11</v>
      </c>
      <c r="M25" s="20">
        <f>22*C25/1000</f>
        <v>2.2000000000000002</v>
      </c>
    </row>
    <row r="26" spans="1:13" x14ac:dyDescent="0.25">
      <c r="A26" s="20">
        <v>359</v>
      </c>
      <c r="B26" s="148" t="s">
        <v>146</v>
      </c>
      <c r="C26" s="149">
        <v>200</v>
      </c>
      <c r="D26" s="20">
        <f>1.6*C26/1000</f>
        <v>0.32</v>
      </c>
      <c r="E26" s="20">
        <f>0</f>
        <v>0</v>
      </c>
      <c r="F26" s="20">
        <f>197*C26/1000</f>
        <v>39.4</v>
      </c>
      <c r="G26" s="20">
        <f>800*C26/1000</f>
        <v>160</v>
      </c>
      <c r="H26" s="20">
        <f>0</f>
        <v>0</v>
      </c>
      <c r="I26" s="20">
        <f>0.1*C26/1000</f>
        <v>0.02</v>
      </c>
      <c r="J26" s="20">
        <f>12*C26/1000</f>
        <v>2.4</v>
      </c>
      <c r="K26" s="20">
        <f>112.3*C26/1000</f>
        <v>22.46</v>
      </c>
      <c r="L26" s="20">
        <f>92.5*C26/1000</f>
        <v>18.5</v>
      </c>
      <c r="M26" s="20">
        <f>0.96*C26/1000</f>
        <v>0.192</v>
      </c>
    </row>
    <row r="27" spans="1:13" ht="18.75" x14ac:dyDescent="0.25">
      <c r="A27" s="165"/>
      <c r="B27" s="159" t="s">
        <v>71</v>
      </c>
      <c r="C27" s="166">
        <v>1320</v>
      </c>
      <c r="D27" s="161">
        <f t="shared" ref="D27:M27" si="1">D17+D26</f>
        <v>25.495999999999999</v>
      </c>
      <c r="E27" s="161">
        <f t="shared" si="1"/>
        <v>11.308000000000002</v>
      </c>
      <c r="F27" s="161">
        <f t="shared" si="1"/>
        <v>123.78800000000001</v>
      </c>
      <c r="G27" s="161">
        <f t="shared" si="1"/>
        <v>714.8</v>
      </c>
      <c r="H27" s="161">
        <f t="shared" si="1"/>
        <v>60.12</v>
      </c>
      <c r="I27" s="161">
        <f t="shared" si="1"/>
        <v>0.36799999999999999</v>
      </c>
      <c r="J27" s="161">
        <f t="shared" si="1"/>
        <v>16.788</v>
      </c>
      <c r="K27" s="161">
        <f t="shared" si="1"/>
        <v>233.952</v>
      </c>
      <c r="L27" s="161">
        <f t="shared" si="1"/>
        <v>288.10000000000002</v>
      </c>
      <c r="M27" s="161">
        <f t="shared" si="1"/>
        <v>7.6779999999999999</v>
      </c>
    </row>
    <row r="28" spans="1:13" ht="48" customHeight="1" x14ac:dyDescent="0.25">
      <c r="A28" s="162"/>
      <c r="B28" s="19" t="s">
        <v>170</v>
      </c>
      <c r="C28" s="20">
        <v>1200</v>
      </c>
      <c r="D28" s="21">
        <v>45</v>
      </c>
      <c r="E28" s="21">
        <v>46</v>
      </c>
      <c r="F28" s="21">
        <v>192</v>
      </c>
      <c r="G28" s="21">
        <v>1360</v>
      </c>
      <c r="H28" s="21">
        <v>450</v>
      </c>
      <c r="I28" s="21">
        <v>0.7</v>
      </c>
      <c r="J28" s="21">
        <v>35</v>
      </c>
      <c r="K28" s="21">
        <v>600</v>
      </c>
      <c r="L28" s="21">
        <v>600</v>
      </c>
      <c r="M28" s="21">
        <v>9</v>
      </c>
    </row>
  </sheetData>
  <mergeCells count="11">
    <mergeCell ref="A5:B5"/>
    <mergeCell ref="G8:G10"/>
    <mergeCell ref="H8:J9"/>
    <mergeCell ref="K8:M9"/>
    <mergeCell ref="D9:F9"/>
    <mergeCell ref="A6:B6"/>
    <mergeCell ref="A7:B7"/>
    <mergeCell ref="A8:A10"/>
    <mergeCell ref="B8:B10"/>
    <mergeCell ref="C8:C10"/>
    <mergeCell ref="D8:F8"/>
  </mergeCells>
  <pageMargins left="0.7" right="0.7" top="0.75" bottom="0.75" header="0.3" footer="0.3"/>
  <pageSetup paperSize="9" scale="87" fitToWidth="0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WhiteSpace="0" view="pageBreakPreview" zoomScale="80" zoomScaleNormal="70" zoomScaleSheetLayoutView="80" zoomScalePageLayoutView="70" workbookViewId="0">
      <selection activeCell="R22" sqref="R22"/>
    </sheetView>
  </sheetViews>
  <sheetFormatPr defaultColWidth="9.140625" defaultRowHeight="15" x14ac:dyDescent="0.25"/>
  <cols>
    <col min="1" max="1" width="9.140625" style="4"/>
    <col min="2" max="2" width="28.57031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7" width="9.5703125" style="4" customWidth="1"/>
    <col min="8" max="8" width="8.5703125" style="4" customWidth="1"/>
    <col min="9" max="9" width="8.285156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3" ht="13.15" customHeight="1" x14ac:dyDescent="0.25">
      <c r="A1" s="167"/>
      <c r="B1" s="23"/>
      <c r="C1" s="30"/>
      <c r="D1" s="25"/>
      <c r="E1" s="25"/>
      <c r="F1" s="25"/>
      <c r="G1" s="25"/>
      <c r="H1" s="25"/>
      <c r="I1" s="26"/>
      <c r="J1" s="25"/>
      <c r="K1" s="25"/>
      <c r="L1" s="25"/>
      <c r="M1" s="25"/>
    </row>
    <row r="2" spans="1:13" ht="15.75" hidden="1" x14ac:dyDescent="0.25">
      <c r="A2" s="167"/>
      <c r="B2" s="23"/>
      <c r="C2" s="30"/>
      <c r="D2" s="25"/>
      <c r="E2" s="25"/>
      <c r="F2" s="25"/>
      <c r="G2" s="25"/>
      <c r="H2" s="25"/>
      <c r="I2" s="26"/>
      <c r="J2" s="25"/>
      <c r="K2" s="25"/>
      <c r="L2" s="25"/>
      <c r="M2" s="25"/>
    </row>
    <row r="3" spans="1:13" ht="37.9" hidden="1" customHeight="1" x14ac:dyDescent="0.25">
      <c r="A3" s="167"/>
      <c r="B3" s="23"/>
      <c r="C3" s="30"/>
      <c r="D3" s="25"/>
      <c r="E3" s="25"/>
      <c r="F3" s="25"/>
      <c r="G3" s="25"/>
      <c r="H3" s="25"/>
      <c r="I3" s="26"/>
      <c r="J3" s="25"/>
      <c r="K3" s="25"/>
      <c r="L3" s="25"/>
      <c r="M3" s="25"/>
    </row>
    <row r="4" spans="1:13" x14ac:dyDescent="0.25">
      <c r="A4" s="237" t="s">
        <v>155</v>
      </c>
      <c r="B4" s="238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x14ac:dyDescent="0.25">
      <c r="A5" s="237" t="s">
        <v>48</v>
      </c>
      <c r="B5" s="238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5.75" thickBot="1" x14ac:dyDescent="0.3">
      <c r="A6" s="239" t="s">
        <v>169</v>
      </c>
      <c r="B6" s="240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192" t="s">
        <v>49</v>
      </c>
      <c r="B7" s="192" t="s">
        <v>50</v>
      </c>
      <c r="C7" s="192" t="s">
        <v>51</v>
      </c>
      <c r="D7" s="207" t="s">
        <v>52</v>
      </c>
      <c r="E7" s="208"/>
      <c r="F7" s="209"/>
      <c r="G7" s="204" t="s">
        <v>53</v>
      </c>
      <c r="H7" s="207" t="s">
        <v>54</v>
      </c>
      <c r="I7" s="208"/>
      <c r="J7" s="209"/>
      <c r="K7" s="207" t="s">
        <v>55</v>
      </c>
      <c r="L7" s="208"/>
      <c r="M7" s="209"/>
    </row>
    <row r="8" spans="1:13" ht="15.75" thickBot="1" x14ac:dyDescent="0.3">
      <c r="A8" s="202"/>
      <c r="B8" s="193"/>
      <c r="C8" s="193"/>
      <c r="D8" s="210" t="s">
        <v>56</v>
      </c>
      <c r="E8" s="211"/>
      <c r="F8" s="212"/>
      <c r="G8" s="205"/>
      <c r="H8" s="210"/>
      <c r="I8" s="211"/>
      <c r="J8" s="212"/>
      <c r="K8" s="210"/>
      <c r="L8" s="211"/>
      <c r="M8" s="212"/>
    </row>
    <row r="9" spans="1:13" ht="17.25" thickBot="1" x14ac:dyDescent="0.3">
      <c r="A9" s="203"/>
      <c r="B9" s="194"/>
      <c r="C9" s="194"/>
      <c r="D9" s="33" t="s">
        <v>57</v>
      </c>
      <c r="E9" s="33" t="s">
        <v>58</v>
      </c>
      <c r="F9" s="33" t="s">
        <v>59</v>
      </c>
      <c r="G9" s="206"/>
      <c r="H9" s="33" t="s">
        <v>60</v>
      </c>
      <c r="I9" s="33" t="s">
        <v>84</v>
      </c>
      <c r="J9" s="33" t="s">
        <v>62</v>
      </c>
      <c r="K9" s="33" t="s">
        <v>63</v>
      </c>
      <c r="L9" s="33" t="s">
        <v>81</v>
      </c>
      <c r="M9" s="33" t="s">
        <v>64</v>
      </c>
    </row>
    <row r="10" spans="1:13" ht="18.75" x14ac:dyDescent="0.25">
      <c r="A10" s="6"/>
      <c r="B10" s="151" t="s">
        <v>65</v>
      </c>
      <c r="C10" s="8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x14ac:dyDescent="0.25">
      <c r="A11" s="20">
        <v>312</v>
      </c>
      <c r="B11" s="148" t="s">
        <v>42</v>
      </c>
      <c r="C11" s="149">
        <v>180</v>
      </c>
      <c r="D11" s="20">
        <f>20.4*C11/1000</f>
        <v>3.6719999999999997</v>
      </c>
      <c r="E11" s="20">
        <f>32*C11/1000</f>
        <v>5.76</v>
      </c>
      <c r="F11" s="20">
        <f>136.3*C11/1000</f>
        <v>24.534000000000002</v>
      </c>
      <c r="G11" s="20">
        <f>915*C11/1000</f>
        <v>164.7</v>
      </c>
      <c r="H11" s="20">
        <f>0</f>
        <v>0</v>
      </c>
      <c r="I11" s="20">
        <f>0.9*C11/1000</f>
        <v>0.16200000000000001</v>
      </c>
      <c r="J11" s="20">
        <f>121.1*C11/1000</f>
        <v>21.797999999999998</v>
      </c>
      <c r="K11" s="20">
        <f>246.5*C11/1000</f>
        <v>44.37</v>
      </c>
      <c r="L11" s="20">
        <f>577.3*C11/1000</f>
        <v>103.91399999999999</v>
      </c>
      <c r="M11" s="20">
        <f>6.7*C11/1000</f>
        <v>1.206</v>
      </c>
    </row>
    <row r="12" spans="1:13" x14ac:dyDescent="0.25">
      <c r="A12" s="20">
        <v>255</v>
      </c>
      <c r="B12" s="148" t="s">
        <v>133</v>
      </c>
      <c r="C12" s="149">
        <v>100</v>
      </c>
      <c r="D12" s="20">
        <f>132.6*C12/1000</f>
        <v>13.26</v>
      </c>
      <c r="E12" s="20">
        <f>112.3*C12/1000</f>
        <v>11.23</v>
      </c>
      <c r="F12" s="20">
        <f>35.2*C12/1000</f>
        <v>3.5200000000000005</v>
      </c>
      <c r="G12" s="20">
        <f>1850*C12/1000</f>
        <v>185</v>
      </c>
      <c r="H12" s="20">
        <f>57820*C12/1000</f>
        <v>5782</v>
      </c>
      <c r="I12" s="20">
        <f>2*C12/1000</f>
        <v>0.2</v>
      </c>
      <c r="J12" s="20">
        <f>84.2*C12/1000</f>
        <v>8.42</v>
      </c>
      <c r="K12" s="20">
        <f>332.4*C12/1000</f>
        <v>33.24</v>
      </c>
      <c r="L12" s="20">
        <f>2393.2*C12/1000</f>
        <v>239.31999999999996</v>
      </c>
      <c r="M12" s="20">
        <f>50*C12/1000</f>
        <v>5</v>
      </c>
    </row>
    <row r="13" spans="1:13" x14ac:dyDescent="0.25">
      <c r="A13" s="20">
        <v>376</v>
      </c>
      <c r="B13" s="148" t="s">
        <v>38</v>
      </c>
      <c r="C13" s="149">
        <v>200</v>
      </c>
      <c r="D13" s="20">
        <f>5*C13/1000</f>
        <v>1</v>
      </c>
      <c r="E13" s="20">
        <f>0</f>
        <v>0</v>
      </c>
      <c r="F13" s="20">
        <f>101*C13/1000</f>
        <v>20.2</v>
      </c>
      <c r="G13" s="20">
        <f>424*C13/1000</f>
        <v>84.8</v>
      </c>
      <c r="H13" s="20">
        <f>0</f>
        <v>0</v>
      </c>
      <c r="I13" s="20">
        <f>0.1*C13/1000</f>
        <v>0.02</v>
      </c>
      <c r="J13" s="20">
        <f>20*C13/1000</f>
        <v>4</v>
      </c>
      <c r="K13" s="20">
        <f>70*C13/1000</f>
        <v>14</v>
      </c>
      <c r="L13" s="20">
        <f>70*C13/1000</f>
        <v>14</v>
      </c>
      <c r="M13" s="20">
        <f>14*C13/1000</f>
        <v>2.8</v>
      </c>
    </row>
    <row r="14" spans="1:13" x14ac:dyDescent="0.25">
      <c r="A14" s="152" t="s">
        <v>66</v>
      </c>
      <c r="B14" s="148" t="s">
        <v>33</v>
      </c>
      <c r="C14" s="149">
        <v>40</v>
      </c>
      <c r="D14" s="20">
        <f>107*C14/1000</f>
        <v>4.28</v>
      </c>
      <c r="E14" s="20">
        <f>45*C14/1000</f>
        <v>1.8</v>
      </c>
      <c r="F14" s="20">
        <f>435*C14/1000</f>
        <v>17.399999999999999</v>
      </c>
      <c r="G14" s="20">
        <f>2740*C14/1000</f>
        <v>109.6</v>
      </c>
      <c r="H14" s="20">
        <f>0</f>
        <v>0</v>
      </c>
      <c r="I14" s="20">
        <f>4.1*C14/1000</f>
        <v>0.16400000000000001</v>
      </c>
      <c r="J14" s="20">
        <f>2*C14/1000</f>
        <v>0.08</v>
      </c>
      <c r="K14" s="20">
        <f>1250*C14/1000</f>
        <v>50</v>
      </c>
      <c r="L14" s="20">
        <f>1290*C14/1000</f>
        <v>51.6</v>
      </c>
      <c r="M14" s="20">
        <f>36*C14/1000</f>
        <v>1.44</v>
      </c>
    </row>
    <row r="15" spans="1:13" x14ac:dyDescent="0.25">
      <c r="A15" s="153" t="s">
        <v>70</v>
      </c>
      <c r="B15" s="148" t="s">
        <v>3</v>
      </c>
      <c r="C15" s="149">
        <v>20</v>
      </c>
      <c r="D15" s="150">
        <f>85*C15/1000</f>
        <v>1.7</v>
      </c>
      <c r="E15" s="150">
        <f>33*C15/1000</f>
        <v>0.66</v>
      </c>
      <c r="F15" s="150">
        <f>425*C15/1000</f>
        <v>8.5</v>
      </c>
      <c r="G15" s="150">
        <f>2590*C15/1000</f>
        <v>51.8</v>
      </c>
      <c r="H15" s="154">
        <f>0</f>
        <v>0</v>
      </c>
      <c r="I15" s="150">
        <f>4.3*C15/1000</f>
        <v>8.5999999999999993E-2</v>
      </c>
      <c r="J15" s="150">
        <f>4*C15/1000</f>
        <v>0.08</v>
      </c>
      <c r="K15" s="150">
        <f>730*C15/1000</f>
        <v>14.6</v>
      </c>
      <c r="L15" s="150">
        <f>1250*C15/1000</f>
        <v>25</v>
      </c>
      <c r="M15" s="150">
        <f>28.3*C15/1000</f>
        <v>0.56599999999999995</v>
      </c>
    </row>
    <row r="16" spans="1:13" x14ac:dyDescent="0.25">
      <c r="A16" s="152">
        <v>67</v>
      </c>
      <c r="B16" s="148" t="s">
        <v>159</v>
      </c>
      <c r="C16" s="149">
        <v>60</v>
      </c>
      <c r="D16" s="20">
        <f>6.4*C16/1000</f>
        <v>0.38400000000000001</v>
      </c>
      <c r="E16" s="20">
        <f>19.4*C16/1000</f>
        <v>1.1639999999999999</v>
      </c>
      <c r="F16" s="20">
        <f>34.3*C16/1000</f>
        <v>2.0579999999999998</v>
      </c>
      <c r="G16" s="20">
        <f>365*C16/1000</f>
        <v>21.9</v>
      </c>
      <c r="H16" s="20">
        <f>0</f>
        <v>0</v>
      </c>
      <c r="I16" s="20">
        <f>0.1*C16/1000</f>
        <v>6.0000000000000001E-3</v>
      </c>
      <c r="J16" s="20">
        <f>43.7*C16/1000</f>
        <v>2.6219999999999999</v>
      </c>
      <c r="K16" s="20">
        <f>210.1*C16/1000</f>
        <v>12.606</v>
      </c>
      <c r="L16" s="20">
        <f>184.4*C16/1000</f>
        <v>11.064</v>
      </c>
      <c r="M16" s="20">
        <f>4.4*C16/1000</f>
        <v>0.26400000000000001</v>
      </c>
    </row>
    <row r="17" spans="1:13" x14ac:dyDescent="0.25">
      <c r="A17" s="20"/>
      <c r="B17" s="155" t="s">
        <v>67</v>
      </c>
      <c r="C17" s="164">
        <f>SUM(C11:C16)</f>
        <v>600</v>
      </c>
      <c r="D17" s="157">
        <f t="shared" ref="D17:M17" si="0">SUM(D11:D16)</f>
        <v>24.295999999999999</v>
      </c>
      <c r="E17" s="157">
        <f t="shared" si="0"/>
        <v>20.614000000000004</v>
      </c>
      <c r="F17" s="157">
        <f t="shared" si="0"/>
        <v>76.211999999999989</v>
      </c>
      <c r="G17" s="157">
        <f t="shared" si="0"/>
        <v>617.79999999999995</v>
      </c>
      <c r="H17" s="157">
        <f t="shared" si="0"/>
        <v>5782</v>
      </c>
      <c r="I17" s="157">
        <f t="shared" si="0"/>
        <v>0.63800000000000001</v>
      </c>
      <c r="J17" s="157">
        <f t="shared" si="0"/>
        <v>36.999999999999993</v>
      </c>
      <c r="K17" s="157">
        <f t="shared" si="0"/>
        <v>168.816</v>
      </c>
      <c r="L17" s="157">
        <f t="shared" si="0"/>
        <v>444.89799999999997</v>
      </c>
      <c r="M17" s="157">
        <f t="shared" si="0"/>
        <v>11.276</v>
      </c>
    </row>
    <row r="18" spans="1:13" ht="18.75" x14ac:dyDescent="0.25">
      <c r="A18" s="20"/>
      <c r="B18" s="158" t="s">
        <v>68</v>
      </c>
      <c r="C18" s="11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x14ac:dyDescent="0.25">
      <c r="A19" s="20">
        <v>62</v>
      </c>
      <c r="B19" s="148" t="s">
        <v>108</v>
      </c>
      <c r="C19" s="149">
        <v>60</v>
      </c>
      <c r="D19" s="20">
        <f>12.3*C19/1000</f>
        <v>0.73799999999999999</v>
      </c>
      <c r="E19" s="20">
        <f>0.9*C19/1000</f>
        <v>5.3999999999999999E-2</v>
      </c>
      <c r="F19" s="20">
        <f>114.8*C19/1000</f>
        <v>6.8879999999999999</v>
      </c>
      <c r="G19" s="20">
        <f>817*C19/1000</f>
        <v>49.02</v>
      </c>
      <c r="H19" s="20">
        <f>0</f>
        <v>0</v>
      </c>
      <c r="I19" s="20">
        <f>0.6*C19/1000</f>
        <v>3.5999999999999997E-2</v>
      </c>
      <c r="J19" s="20">
        <f>33.6*C19/1000</f>
        <v>2.016</v>
      </c>
      <c r="K19" s="20">
        <f>257.6*C19/1000</f>
        <v>15.456000000000001</v>
      </c>
      <c r="L19" s="20">
        <f>527.7*C19/1000</f>
        <v>31.662000000000003</v>
      </c>
      <c r="M19" s="20">
        <f>6.6*C19/1000</f>
        <v>0.39600000000000002</v>
      </c>
    </row>
    <row r="20" spans="1:13" ht="26.45" customHeight="1" x14ac:dyDescent="0.25">
      <c r="A20" s="20">
        <v>95</v>
      </c>
      <c r="B20" s="169" t="s">
        <v>188</v>
      </c>
      <c r="C20" s="149">
        <v>200</v>
      </c>
      <c r="D20" s="20">
        <v>6.9</v>
      </c>
      <c r="E20" s="20">
        <v>6.7</v>
      </c>
      <c r="F20" s="20">
        <v>11.5</v>
      </c>
      <c r="G20" s="20">
        <v>173.8</v>
      </c>
      <c r="H20" s="20">
        <v>12</v>
      </c>
      <c r="I20" s="20">
        <v>0.1</v>
      </c>
      <c r="J20" s="20">
        <v>7.3</v>
      </c>
      <c r="K20" s="20">
        <v>36.200000000000003</v>
      </c>
      <c r="L20" s="20">
        <v>141.19999999999999</v>
      </c>
      <c r="M20" s="20">
        <v>1</v>
      </c>
    </row>
    <row r="21" spans="1:13" x14ac:dyDescent="0.25">
      <c r="A21" s="20">
        <v>171</v>
      </c>
      <c r="B21" s="148" t="s">
        <v>173</v>
      </c>
      <c r="C21" s="149">
        <v>150</v>
      </c>
      <c r="D21" s="20">
        <v>8.9700000000000006</v>
      </c>
      <c r="E21" s="20">
        <v>10.51</v>
      </c>
      <c r="F21" s="20">
        <v>52.5</v>
      </c>
      <c r="G21" s="20">
        <v>341.2</v>
      </c>
      <c r="H21" s="20">
        <v>0.17</v>
      </c>
      <c r="I21" s="20">
        <v>7.0000000000000007E-2</v>
      </c>
      <c r="J21" s="20">
        <v>0</v>
      </c>
      <c r="K21" s="20">
        <v>47.36</v>
      </c>
      <c r="L21" s="20">
        <v>48.1</v>
      </c>
      <c r="M21" s="20">
        <v>3.47</v>
      </c>
    </row>
    <row r="22" spans="1:13" x14ac:dyDescent="0.25">
      <c r="A22" s="20">
        <v>268</v>
      </c>
      <c r="B22" s="148" t="s">
        <v>134</v>
      </c>
      <c r="C22" s="149">
        <v>100</v>
      </c>
      <c r="D22" s="20">
        <f>129*C22/1000</f>
        <v>12.9</v>
      </c>
      <c r="E22" s="20">
        <f>334.2*C22/1000</f>
        <v>33.42</v>
      </c>
      <c r="F22" s="20">
        <f>132.2*C22/1000</f>
        <v>13.219999999999999</v>
      </c>
      <c r="G22" s="20">
        <f>4080*C22/1000</f>
        <v>408</v>
      </c>
      <c r="H22" s="20">
        <f>400*C22/1000</f>
        <v>40</v>
      </c>
      <c r="I22" s="20">
        <f>3.6*C22/1000</f>
        <v>0.36</v>
      </c>
      <c r="J22" s="20">
        <f>42.8*C22/1000</f>
        <v>4.28</v>
      </c>
      <c r="K22" s="20">
        <f>115*C22/1000</f>
        <v>11.5</v>
      </c>
      <c r="L22" s="20">
        <f>1541.6*C22/1000</f>
        <v>154.16</v>
      </c>
      <c r="M22" s="20">
        <f>32*C22/1000</f>
        <v>3.2</v>
      </c>
    </row>
    <row r="23" spans="1:13" x14ac:dyDescent="0.25">
      <c r="A23" s="20">
        <v>382</v>
      </c>
      <c r="B23" s="148" t="s">
        <v>98</v>
      </c>
      <c r="C23" s="149">
        <v>200</v>
      </c>
      <c r="D23" s="150">
        <f>20.4*C23/1000</f>
        <v>4.0799999999999992</v>
      </c>
      <c r="E23" s="150">
        <f>17.7*C23/1000</f>
        <v>3.54</v>
      </c>
      <c r="F23" s="150">
        <f>87.9*C23/1000</f>
        <v>17.579999999999998</v>
      </c>
      <c r="G23" s="150">
        <f>593*C23/1000</f>
        <v>118.6</v>
      </c>
      <c r="H23" s="150">
        <f>122*C23/1000</f>
        <v>24.4</v>
      </c>
      <c r="I23" s="150">
        <f>0.28*C23/1000</f>
        <v>5.6000000000000008E-2</v>
      </c>
      <c r="J23" s="150">
        <f>7.9*C23/1000</f>
        <v>1.58</v>
      </c>
      <c r="K23" s="150">
        <f>761.1*C23/1000</f>
        <v>152.22</v>
      </c>
      <c r="L23" s="150">
        <f>622.8*C23/1000</f>
        <v>124.55999999999999</v>
      </c>
      <c r="M23" s="150">
        <f>2.4*C23/1000</f>
        <v>0.48</v>
      </c>
    </row>
    <row r="24" spans="1:13" x14ac:dyDescent="0.25">
      <c r="A24" s="152" t="s">
        <v>66</v>
      </c>
      <c r="B24" s="148" t="s">
        <v>33</v>
      </c>
      <c r="C24" s="149">
        <v>40</v>
      </c>
      <c r="D24" s="20">
        <f>107*C24/1000</f>
        <v>4.28</v>
      </c>
      <c r="E24" s="20">
        <f>45*C24/1000</f>
        <v>1.8</v>
      </c>
      <c r="F24" s="20">
        <f>435*C24/1000</f>
        <v>17.399999999999999</v>
      </c>
      <c r="G24" s="20">
        <f>2740*C24/1000</f>
        <v>109.6</v>
      </c>
      <c r="H24" s="20">
        <f>0</f>
        <v>0</v>
      </c>
      <c r="I24" s="20">
        <f>4.1*C24/1000</f>
        <v>0.16400000000000001</v>
      </c>
      <c r="J24" s="20">
        <f>2*C24/1000</f>
        <v>0.08</v>
      </c>
      <c r="K24" s="20">
        <f>1250*C24/1000</f>
        <v>50</v>
      </c>
      <c r="L24" s="20">
        <f>1290*C24/1000</f>
        <v>51.6</v>
      </c>
      <c r="M24" s="20">
        <f>36*C24/1000</f>
        <v>1.44</v>
      </c>
    </row>
    <row r="25" spans="1:13" x14ac:dyDescent="0.25">
      <c r="A25" s="153" t="s">
        <v>70</v>
      </c>
      <c r="B25" s="148" t="s">
        <v>3</v>
      </c>
      <c r="C25" s="149">
        <v>20</v>
      </c>
      <c r="D25" s="150">
        <f>85*C25/1000</f>
        <v>1.7</v>
      </c>
      <c r="E25" s="150">
        <f>33*C25/1000</f>
        <v>0.66</v>
      </c>
      <c r="F25" s="150">
        <f>425*C25/1000</f>
        <v>8.5</v>
      </c>
      <c r="G25" s="150">
        <f>2590*C25/1000</f>
        <v>51.8</v>
      </c>
      <c r="H25" s="154">
        <f>0</f>
        <v>0</v>
      </c>
      <c r="I25" s="150">
        <f>4.3*C25/1000</f>
        <v>8.5999999999999993E-2</v>
      </c>
      <c r="J25" s="150">
        <f>4*C25/1000</f>
        <v>0.08</v>
      </c>
      <c r="K25" s="150">
        <f>730*C25/1000</f>
        <v>14.6</v>
      </c>
      <c r="L25" s="150">
        <f>1250*C25/1000</f>
        <v>25</v>
      </c>
      <c r="M25" s="150">
        <f>28.3*C25/1000</f>
        <v>0.56599999999999995</v>
      </c>
    </row>
    <row r="26" spans="1:13" x14ac:dyDescent="0.25">
      <c r="A26" s="152">
        <v>338</v>
      </c>
      <c r="B26" s="148" t="s">
        <v>131</v>
      </c>
      <c r="C26" s="149">
        <v>100</v>
      </c>
      <c r="D26" s="20">
        <f>4*C26/1000</f>
        <v>0.4</v>
      </c>
      <c r="E26" s="20">
        <f>4*C26/1000</f>
        <v>0.4</v>
      </c>
      <c r="F26" s="20">
        <f>98*C26/1000</f>
        <v>9.8000000000000007</v>
      </c>
      <c r="G26" s="20">
        <f>470*C26/1000</f>
        <v>47</v>
      </c>
      <c r="H26" s="20">
        <f>0</f>
        <v>0</v>
      </c>
      <c r="I26" s="20">
        <f>0.3*C26/1000</f>
        <v>0.03</v>
      </c>
      <c r="J26" s="20">
        <f>100*C26/1000</f>
        <v>10</v>
      </c>
      <c r="K26" s="20">
        <f>160*C26/1000</f>
        <v>16</v>
      </c>
      <c r="L26" s="20">
        <f>110*C26/1000</f>
        <v>11</v>
      </c>
      <c r="M26" s="20">
        <f>22*C26/1000</f>
        <v>2.2000000000000002</v>
      </c>
    </row>
    <row r="27" spans="1:13" x14ac:dyDescent="0.25">
      <c r="A27" s="165"/>
      <c r="B27" s="155" t="s">
        <v>67</v>
      </c>
      <c r="C27" s="164">
        <f>SUM(C19:C25)</f>
        <v>770</v>
      </c>
      <c r="D27" s="157">
        <f t="shared" ref="D27:M27" si="1">SUM(D19:D25)</f>
        <v>39.568000000000005</v>
      </c>
      <c r="E27" s="157">
        <f t="shared" si="1"/>
        <v>56.68399999999999</v>
      </c>
      <c r="F27" s="157">
        <f t="shared" si="1"/>
        <v>127.58799999999999</v>
      </c>
      <c r="G27" s="157">
        <f t="shared" si="1"/>
        <v>1252.0199999999998</v>
      </c>
      <c r="H27" s="157">
        <f t="shared" si="1"/>
        <v>76.569999999999993</v>
      </c>
      <c r="I27" s="157">
        <f t="shared" si="1"/>
        <v>0.87200000000000011</v>
      </c>
      <c r="J27" s="157">
        <f t="shared" si="1"/>
        <v>15.336</v>
      </c>
      <c r="K27" s="157">
        <f t="shared" si="1"/>
        <v>327.33600000000001</v>
      </c>
      <c r="L27" s="157">
        <f t="shared" si="1"/>
        <v>576.28199999999993</v>
      </c>
      <c r="M27" s="157">
        <f t="shared" si="1"/>
        <v>10.552</v>
      </c>
    </row>
    <row r="28" spans="1:13" ht="18.75" x14ac:dyDescent="0.25">
      <c r="A28" s="165"/>
      <c r="B28" s="159" t="s">
        <v>71</v>
      </c>
      <c r="C28" s="166">
        <f t="shared" ref="C28:M28" si="2">C17+C27</f>
        <v>1370</v>
      </c>
      <c r="D28" s="161">
        <f t="shared" si="2"/>
        <v>63.864000000000004</v>
      </c>
      <c r="E28" s="161">
        <f t="shared" si="2"/>
        <v>77.298000000000002</v>
      </c>
      <c r="F28" s="161">
        <f t="shared" si="2"/>
        <v>203.79999999999998</v>
      </c>
      <c r="G28" s="161">
        <f t="shared" si="2"/>
        <v>1869.8199999999997</v>
      </c>
      <c r="H28" s="161">
        <f t="shared" si="2"/>
        <v>5858.57</v>
      </c>
      <c r="I28" s="161">
        <f t="shared" si="2"/>
        <v>1.5100000000000002</v>
      </c>
      <c r="J28" s="161">
        <f t="shared" si="2"/>
        <v>52.335999999999991</v>
      </c>
      <c r="K28" s="161">
        <f t="shared" si="2"/>
        <v>496.15200000000004</v>
      </c>
      <c r="L28" s="161">
        <f t="shared" si="2"/>
        <v>1021.1799999999998</v>
      </c>
      <c r="M28" s="161">
        <f t="shared" si="2"/>
        <v>21.827999999999999</v>
      </c>
    </row>
    <row r="29" spans="1:13" ht="17.25" customHeight="1" x14ac:dyDescent="0.25">
      <c r="A29" s="162"/>
      <c r="B29" s="19" t="s">
        <v>170</v>
      </c>
      <c r="C29" s="20">
        <v>1200</v>
      </c>
      <c r="D29" s="21">
        <v>45</v>
      </c>
      <c r="E29" s="21">
        <v>46</v>
      </c>
      <c r="F29" s="21">
        <v>192</v>
      </c>
      <c r="G29" s="21">
        <v>1360</v>
      </c>
      <c r="H29" s="21">
        <v>450</v>
      </c>
      <c r="I29" s="21">
        <v>0.7</v>
      </c>
      <c r="J29" s="21">
        <v>35</v>
      </c>
      <c r="K29" s="21">
        <v>600</v>
      </c>
      <c r="L29" s="21">
        <v>600</v>
      </c>
      <c r="M29" s="21">
        <v>9</v>
      </c>
    </row>
    <row r="30" spans="1:13" ht="15.75" x14ac:dyDescent="0.25">
      <c r="A30" s="167"/>
      <c r="B30" s="23"/>
      <c r="C30" s="30"/>
      <c r="D30" s="25"/>
      <c r="E30" s="25"/>
      <c r="F30" s="25"/>
      <c r="G30" s="25"/>
      <c r="H30" s="25"/>
      <c r="I30" s="26"/>
      <c r="J30" s="25"/>
      <c r="K30" s="25"/>
      <c r="L30" s="25"/>
      <c r="M30" s="25"/>
    </row>
    <row r="31" spans="1:13" ht="15.75" x14ac:dyDescent="0.25">
      <c r="A31" s="167"/>
      <c r="B31" s="23"/>
      <c r="C31" s="30"/>
      <c r="D31" s="25"/>
      <c r="E31" s="25"/>
      <c r="F31" s="25"/>
      <c r="G31" s="25"/>
      <c r="H31" s="25"/>
      <c r="I31" s="26"/>
      <c r="J31" s="25"/>
      <c r="K31" s="25"/>
      <c r="L31" s="25"/>
      <c r="M31" s="25"/>
    </row>
    <row r="32" spans="1:13" ht="15.75" x14ac:dyDescent="0.25">
      <c r="A32" s="167"/>
      <c r="B32" s="23"/>
      <c r="C32" s="30"/>
      <c r="D32" s="25"/>
      <c r="E32" s="25"/>
      <c r="F32" s="25"/>
      <c r="G32" s="25"/>
      <c r="H32" s="25"/>
      <c r="I32" s="26"/>
      <c r="J32" s="25"/>
      <c r="K32" s="25"/>
      <c r="L32" s="25"/>
      <c r="M32" s="25"/>
    </row>
    <row r="33" spans="1:13" ht="15.75" x14ac:dyDescent="0.25">
      <c r="A33" s="167"/>
      <c r="B33" s="23"/>
      <c r="C33" s="30"/>
      <c r="D33" s="25"/>
      <c r="E33" s="25"/>
      <c r="F33" s="25"/>
      <c r="G33" s="25"/>
      <c r="H33" s="25"/>
      <c r="I33" s="26"/>
      <c r="J33" s="25"/>
      <c r="K33" s="25"/>
      <c r="L33" s="25"/>
      <c r="M33" s="25"/>
    </row>
    <row r="34" spans="1:13" ht="0.6" customHeight="1" x14ac:dyDescent="0.25">
      <c r="A34" s="167"/>
      <c r="B34" s="23"/>
      <c r="C34" s="30"/>
      <c r="D34" s="25"/>
      <c r="E34" s="25"/>
      <c r="F34" s="25"/>
      <c r="G34" s="25"/>
      <c r="H34" s="25"/>
      <c r="I34" s="26"/>
      <c r="J34" s="25"/>
      <c r="K34" s="25"/>
      <c r="L34" s="25"/>
      <c r="M34" s="25"/>
    </row>
  </sheetData>
  <mergeCells count="11">
    <mergeCell ref="A4:B4"/>
    <mergeCell ref="A5:B5"/>
    <mergeCell ref="A6:B6"/>
    <mergeCell ref="K7:M8"/>
    <mergeCell ref="D8:F8"/>
    <mergeCell ref="A7:A9"/>
    <mergeCell ref="B7:B9"/>
    <mergeCell ref="C7:C9"/>
    <mergeCell ref="D7:F7"/>
    <mergeCell ref="G7:G9"/>
    <mergeCell ref="H7:J8"/>
  </mergeCells>
  <pageMargins left="0.7" right="0.7" top="0.75" bottom="0.75" header="0.3" footer="0.3"/>
  <pageSetup paperSize="9" scale="87" fitToWidth="0" orientation="landscape" r:id="rId1"/>
  <rowBreaks count="1" manualBreakCount="1">
    <brk id="33" max="12" man="1"/>
  </rowBreaks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WhiteSpace="0" view="pageBreakPreview" zoomScale="80" zoomScaleNormal="70" zoomScaleSheetLayoutView="80" zoomScalePageLayoutView="70" workbookViewId="0">
      <selection activeCell="U30" sqref="U30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3" x14ac:dyDescent="0.25">
      <c r="A1" s="237" t="s">
        <v>164</v>
      </c>
      <c r="B1" s="238"/>
    </row>
    <row r="2" spans="1:13" x14ac:dyDescent="0.25">
      <c r="A2" s="237" t="s">
        <v>48</v>
      </c>
      <c r="B2" s="238"/>
    </row>
    <row r="3" spans="1:13" ht="15.75" thickBot="1" x14ac:dyDescent="0.3">
      <c r="A3" s="239" t="s">
        <v>171</v>
      </c>
      <c r="B3" s="240"/>
    </row>
    <row r="4" spans="1:13" ht="15.75" x14ac:dyDescent="0.25">
      <c r="A4" s="244" t="s">
        <v>49</v>
      </c>
      <c r="B4" s="244" t="s">
        <v>50</v>
      </c>
      <c r="C4" s="244" t="s">
        <v>51</v>
      </c>
      <c r="D4" s="241" t="s">
        <v>52</v>
      </c>
      <c r="E4" s="242"/>
      <c r="F4" s="243"/>
      <c r="G4" s="244" t="s">
        <v>53</v>
      </c>
      <c r="H4" s="241" t="s">
        <v>54</v>
      </c>
      <c r="I4" s="242"/>
      <c r="J4" s="243"/>
      <c r="K4" s="241" t="s">
        <v>55</v>
      </c>
      <c r="L4" s="242"/>
      <c r="M4" s="243"/>
    </row>
    <row r="5" spans="1:13" ht="16.5" thickBot="1" x14ac:dyDescent="0.3">
      <c r="A5" s="202"/>
      <c r="B5" s="245"/>
      <c r="C5" s="245"/>
      <c r="D5" s="247" t="s">
        <v>56</v>
      </c>
      <c r="E5" s="248"/>
      <c r="F5" s="249"/>
      <c r="G5" s="245"/>
      <c r="H5" s="247"/>
      <c r="I5" s="248"/>
      <c r="J5" s="249"/>
      <c r="K5" s="247"/>
      <c r="L5" s="248"/>
      <c r="M5" s="249"/>
    </row>
    <row r="6" spans="1:13" ht="18" customHeight="1" thickBot="1" x14ac:dyDescent="0.3">
      <c r="A6" s="203"/>
      <c r="B6" s="246"/>
      <c r="C6" s="246"/>
      <c r="D6" s="174" t="s">
        <v>57</v>
      </c>
      <c r="E6" s="174" t="s">
        <v>58</v>
      </c>
      <c r="F6" s="174" t="s">
        <v>59</v>
      </c>
      <c r="G6" s="246"/>
      <c r="H6" s="174" t="s">
        <v>60</v>
      </c>
      <c r="I6" s="174" t="s">
        <v>61</v>
      </c>
      <c r="J6" s="174" t="s">
        <v>62</v>
      </c>
      <c r="K6" s="174" t="s">
        <v>63</v>
      </c>
      <c r="L6" s="174" t="s">
        <v>81</v>
      </c>
      <c r="M6" s="174" t="s">
        <v>64</v>
      </c>
    </row>
    <row r="7" spans="1:13" ht="15.95" customHeight="1" x14ac:dyDescent="0.25">
      <c r="A7" s="175"/>
      <c r="B7" s="176" t="s">
        <v>65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1:13" ht="22.15" customHeight="1" x14ac:dyDescent="0.25">
      <c r="A8" s="20">
        <v>309</v>
      </c>
      <c r="B8" s="148" t="s">
        <v>130</v>
      </c>
      <c r="C8" s="149">
        <v>150</v>
      </c>
      <c r="D8" s="20">
        <f>36.8*C8/1000</f>
        <v>5.52</v>
      </c>
      <c r="E8" s="20">
        <f>30.1*C8/1000</f>
        <v>4.5149999999999997</v>
      </c>
      <c r="F8" s="20">
        <f>176.3*C8/1000</f>
        <v>26.445</v>
      </c>
      <c r="G8" s="20">
        <f>1123*C8/1000</f>
        <v>168.45</v>
      </c>
      <c r="H8" s="20">
        <f>0</f>
        <v>0</v>
      </c>
      <c r="I8" s="20">
        <f>0.4*C8/1000</f>
        <v>0.06</v>
      </c>
      <c r="J8" s="20">
        <f>0</f>
        <v>0</v>
      </c>
      <c r="K8" s="20">
        <f>32.4*C8/1000</f>
        <v>4.8600000000000003</v>
      </c>
      <c r="L8" s="20">
        <f>247.8*C8/1000</f>
        <v>37.17</v>
      </c>
      <c r="M8" s="20">
        <f>7.4*C8/1000</f>
        <v>1.1100000000000001</v>
      </c>
    </row>
    <row r="9" spans="1:13" ht="19.149999999999999" customHeight="1" x14ac:dyDescent="0.25">
      <c r="A9" s="20">
        <v>268</v>
      </c>
      <c r="B9" s="148" t="s">
        <v>134</v>
      </c>
      <c r="C9" s="149">
        <v>100</v>
      </c>
      <c r="D9" s="20">
        <f>129*C9/1000</f>
        <v>12.9</v>
      </c>
      <c r="E9" s="20">
        <f>334.2*C9/1000</f>
        <v>33.42</v>
      </c>
      <c r="F9" s="20">
        <f>132.2*C9/1000</f>
        <v>13.219999999999999</v>
      </c>
      <c r="G9" s="20">
        <f>4080*C9/1000</f>
        <v>408</v>
      </c>
      <c r="H9" s="20">
        <f>400*C9/1000</f>
        <v>40</v>
      </c>
      <c r="I9" s="20">
        <f>3.6*C9/1000</f>
        <v>0.36</v>
      </c>
      <c r="J9" s="20">
        <f>42.8*C9/1000</f>
        <v>4.28</v>
      </c>
      <c r="K9" s="20">
        <f>115*C9/1000</f>
        <v>11.5</v>
      </c>
      <c r="L9" s="20">
        <f>1541.6*C9/1000</f>
        <v>154.16</v>
      </c>
      <c r="M9" s="20">
        <f>32*C9/1000</f>
        <v>3.2</v>
      </c>
    </row>
    <row r="10" spans="1:13" ht="18" customHeight="1" x14ac:dyDescent="0.25">
      <c r="A10" s="20">
        <v>382</v>
      </c>
      <c r="B10" s="148" t="s">
        <v>98</v>
      </c>
      <c r="C10" s="149">
        <v>200</v>
      </c>
      <c r="D10" s="150">
        <f>20.4*C10/1000</f>
        <v>4.0799999999999992</v>
      </c>
      <c r="E10" s="150">
        <f>17.7*C10/1000</f>
        <v>3.54</v>
      </c>
      <c r="F10" s="150">
        <f>87.9*C10/1000</f>
        <v>17.579999999999998</v>
      </c>
      <c r="G10" s="150">
        <f>593*C10/1000</f>
        <v>118.6</v>
      </c>
      <c r="H10" s="150">
        <f>122*C10/1000</f>
        <v>24.4</v>
      </c>
      <c r="I10" s="150">
        <f>0.28*C10/1000</f>
        <v>5.6000000000000008E-2</v>
      </c>
      <c r="J10" s="150">
        <f>7.9*C10/1000</f>
        <v>1.58</v>
      </c>
      <c r="K10" s="150">
        <f>761.1*C10/1000</f>
        <v>152.22</v>
      </c>
      <c r="L10" s="150">
        <f>622.8*C10/1000</f>
        <v>124.55999999999999</v>
      </c>
      <c r="M10" s="150">
        <f>2.4*C10/1000</f>
        <v>0.48</v>
      </c>
    </row>
    <row r="11" spans="1:13" ht="15" customHeight="1" x14ac:dyDescent="0.25">
      <c r="A11" s="180" t="s">
        <v>66</v>
      </c>
      <c r="B11" s="148" t="s">
        <v>33</v>
      </c>
      <c r="C11" s="149">
        <v>40</v>
      </c>
      <c r="D11" s="178">
        <f>107*C11/1000</f>
        <v>4.28</v>
      </c>
      <c r="E11" s="178">
        <f>45*C11/1000</f>
        <v>1.8</v>
      </c>
      <c r="F11" s="178">
        <f>435*C11/1000</f>
        <v>17.399999999999999</v>
      </c>
      <c r="G11" s="178">
        <f>2740*C11/1000</f>
        <v>109.6</v>
      </c>
      <c r="H11" s="178">
        <f>0</f>
        <v>0</v>
      </c>
      <c r="I11" s="178">
        <f>4.1*C11/1000</f>
        <v>0.16400000000000001</v>
      </c>
      <c r="J11" s="178">
        <f>2*C11/1000</f>
        <v>0.08</v>
      </c>
      <c r="K11" s="178">
        <f>1250*C11/1000</f>
        <v>50</v>
      </c>
      <c r="L11" s="178">
        <f>1290*C11/1000</f>
        <v>51.6</v>
      </c>
      <c r="M11" s="178">
        <f>36*C11/1000</f>
        <v>1.44</v>
      </c>
    </row>
    <row r="12" spans="1:13" ht="19.149999999999999" customHeight="1" x14ac:dyDescent="0.25">
      <c r="A12" s="181" t="s">
        <v>70</v>
      </c>
      <c r="B12" s="148" t="s">
        <v>3</v>
      </c>
      <c r="C12" s="149">
        <v>20</v>
      </c>
      <c r="D12" s="179">
        <f>85*C12/1000</f>
        <v>1.7</v>
      </c>
      <c r="E12" s="179">
        <f>33*C12/1000</f>
        <v>0.66</v>
      </c>
      <c r="F12" s="179">
        <f>425*C12/1000</f>
        <v>8.5</v>
      </c>
      <c r="G12" s="179">
        <f>2590*C12/1000</f>
        <v>51.8</v>
      </c>
      <c r="H12" s="173">
        <f>0</f>
        <v>0</v>
      </c>
      <c r="I12" s="179">
        <f>4.3*C12/1000</f>
        <v>8.5999999999999993E-2</v>
      </c>
      <c r="J12" s="179">
        <f>4*C12/1000</f>
        <v>0.08</v>
      </c>
      <c r="K12" s="179">
        <f>730*C12/1000</f>
        <v>14.6</v>
      </c>
      <c r="L12" s="179">
        <f>1250*C12/1000</f>
        <v>25</v>
      </c>
      <c r="M12" s="179">
        <f>28.3*C12/1000</f>
        <v>0.56599999999999995</v>
      </c>
    </row>
    <row r="13" spans="1:13" ht="15.95" customHeight="1" x14ac:dyDescent="0.25">
      <c r="A13" s="152">
        <v>54</v>
      </c>
      <c r="B13" s="148" t="s">
        <v>185</v>
      </c>
      <c r="C13" s="149">
        <v>60</v>
      </c>
      <c r="D13" s="20">
        <v>0.7</v>
      </c>
      <c r="E13" s="20">
        <v>3.6</v>
      </c>
      <c r="F13" s="20">
        <v>6.7</v>
      </c>
      <c r="G13" s="20">
        <v>62.3</v>
      </c>
      <c r="H13" s="20">
        <v>0</v>
      </c>
      <c r="I13" s="20">
        <v>0</v>
      </c>
      <c r="J13" s="20">
        <v>3.9</v>
      </c>
      <c r="K13" s="20">
        <v>17.600000000000001</v>
      </c>
      <c r="L13" s="20">
        <v>19.100000000000001</v>
      </c>
      <c r="M13" s="20">
        <v>0.9</v>
      </c>
    </row>
    <row r="14" spans="1:13" ht="15.95" customHeight="1" x14ac:dyDescent="0.25">
      <c r="A14" s="188"/>
      <c r="B14" s="148" t="s">
        <v>13</v>
      </c>
      <c r="C14" s="148">
        <v>30</v>
      </c>
      <c r="D14" s="150">
        <v>3.35</v>
      </c>
      <c r="E14" s="150">
        <v>3.7749999999999999</v>
      </c>
      <c r="F14" s="150">
        <v>36.03</v>
      </c>
      <c r="G14" s="150">
        <v>191.5</v>
      </c>
      <c r="H14" s="150">
        <v>20</v>
      </c>
      <c r="I14" s="150">
        <v>0.08</v>
      </c>
      <c r="J14" s="150">
        <v>0</v>
      </c>
      <c r="K14" s="150">
        <v>9.875</v>
      </c>
      <c r="L14" s="150">
        <v>37.484999999999999</v>
      </c>
      <c r="M14" s="150">
        <v>0.71499999999999997</v>
      </c>
    </row>
    <row r="15" spans="1:13" ht="15.95" customHeight="1" x14ac:dyDescent="0.25">
      <c r="A15" s="152"/>
      <c r="B15" s="155" t="s">
        <v>67</v>
      </c>
      <c r="C15" s="156">
        <f>SUM(C8:C14)</f>
        <v>600</v>
      </c>
      <c r="D15" s="157">
        <f t="shared" ref="D15:M15" si="0">SUM(D8:D13)</f>
        <v>29.18</v>
      </c>
      <c r="E15" s="157">
        <f t="shared" si="0"/>
        <v>47.534999999999997</v>
      </c>
      <c r="F15" s="157">
        <f t="shared" si="0"/>
        <v>89.844999999999999</v>
      </c>
      <c r="G15" s="157">
        <f t="shared" si="0"/>
        <v>918.75</v>
      </c>
      <c r="H15" s="157">
        <f t="shared" si="0"/>
        <v>64.400000000000006</v>
      </c>
      <c r="I15" s="157">
        <f t="shared" si="0"/>
        <v>0.72599999999999998</v>
      </c>
      <c r="J15" s="157">
        <f t="shared" si="0"/>
        <v>9.92</v>
      </c>
      <c r="K15" s="157">
        <f t="shared" si="0"/>
        <v>250.77999999999997</v>
      </c>
      <c r="L15" s="157">
        <f t="shared" si="0"/>
        <v>411.59000000000003</v>
      </c>
      <c r="M15" s="157">
        <f t="shared" si="0"/>
        <v>7.6960000000000006</v>
      </c>
    </row>
    <row r="16" spans="1:13" ht="15.95" customHeight="1" x14ac:dyDescent="0.25">
      <c r="A16" s="152"/>
      <c r="B16" s="158" t="s">
        <v>68</v>
      </c>
      <c r="C16" s="11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19.899999999999999" customHeight="1" x14ac:dyDescent="0.25">
      <c r="A17" s="20">
        <v>82</v>
      </c>
      <c r="B17" s="148" t="s">
        <v>72</v>
      </c>
      <c r="C17" s="149">
        <v>200</v>
      </c>
      <c r="D17" s="20">
        <f>6.4*C17/1000</f>
        <v>1.28</v>
      </c>
      <c r="E17" s="20">
        <f>19.4*C17/1000</f>
        <v>3.8799999999999994</v>
      </c>
      <c r="F17" s="20">
        <f>34.3*C17/1000</f>
        <v>6.8599999999999994</v>
      </c>
      <c r="G17" s="20">
        <f>365*C17/1000</f>
        <v>73</v>
      </c>
      <c r="H17" s="20">
        <f>0</f>
        <v>0</v>
      </c>
      <c r="I17" s="20">
        <f>0.1*C17/1000</f>
        <v>0.02</v>
      </c>
      <c r="J17" s="20">
        <f>43.7*C17/1000</f>
        <v>8.74</v>
      </c>
      <c r="K17" s="20">
        <f>210.1*C17/1000</f>
        <v>42.02</v>
      </c>
      <c r="L17" s="20">
        <f>184.4*C17/1000</f>
        <v>36.880000000000003</v>
      </c>
      <c r="M17" s="20">
        <f>4.4*C17/1000</f>
        <v>0.88000000000000012</v>
      </c>
    </row>
    <row r="18" spans="1:13" ht="24" customHeight="1" x14ac:dyDescent="0.25">
      <c r="A18" s="20">
        <v>304</v>
      </c>
      <c r="B18" s="148" t="s">
        <v>39</v>
      </c>
      <c r="C18" s="149">
        <v>200</v>
      </c>
      <c r="D18" s="20">
        <f>24.3*C18/1000</f>
        <v>4.8600000000000003</v>
      </c>
      <c r="E18" s="20">
        <f>35.8*C18/1000</f>
        <v>7.1599999999999993</v>
      </c>
      <c r="F18" s="20">
        <f>244.6*C18/1000</f>
        <v>48.92</v>
      </c>
      <c r="G18" s="20">
        <f>1398*C18/1000</f>
        <v>279.60000000000002</v>
      </c>
      <c r="H18" s="20">
        <f>0</f>
        <v>0</v>
      </c>
      <c r="I18" s="20">
        <f>0.2*C18/1000</f>
        <v>0.04</v>
      </c>
      <c r="J18" s="20">
        <f>0</f>
        <v>0</v>
      </c>
      <c r="K18" s="20">
        <f>9.1*C18/1000</f>
        <v>1.82</v>
      </c>
      <c r="L18" s="20">
        <f>406.3*C18/1000</f>
        <v>81.260000000000005</v>
      </c>
      <c r="M18" s="20">
        <f>3.5*C18/1000</f>
        <v>0.7</v>
      </c>
    </row>
    <row r="19" spans="1:13" ht="21.6" customHeight="1" x14ac:dyDescent="0.25">
      <c r="A19" s="20">
        <v>260</v>
      </c>
      <c r="B19" s="148" t="s">
        <v>182</v>
      </c>
      <c r="C19" s="149">
        <v>100</v>
      </c>
      <c r="D19" s="20">
        <v>8.3000000000000007</v>
      </c>
      <c r="E19" s="20">
        <v>12.1</v>
      </c>
      <c r="F19" s="20">
        <v>7.2</v>
      </c>
      <c r="G19" s="20">
        <v>172</v>
      </c>
      <c r="H19" s="20">
        <v>27.9</v>
      </c>
      <c r="I19" s="20">
        <v>1.4</v>
      </c>
      <c r="J19" s="20">
        <v>0</v>
      </c>
      <c r="K19" s="20">
        <v>0.1</v>
      </c>
      <c r="L19" s="20">
        <v>0.2</v>
      </c>
      <c r="M19" s="20">
        <v>0</v>
      </c>
    </row>
    <row r="20" spans="1:13" ht="18.600000000000001" customHeight="1" x14ac:dyDescent="0.25">
      <c r="A20" s="20">
        <v>342</v>
      </c>
      <c r="B20" s="148" t="s">
        <v>74</v>
      </c>
      <c r="C20" s="149">
        <v>200</v>
      </c>
      <c r="D20" s="20">
        <f>0.8*C20/1000</f>
        <v>0.16</v>
      </c>
      <c r="E20" s="20">
        <f>0.8*C20/1000</f>
        <v>0.16</v>
      </c>
      <c r="F20" s="20">
        <f>139.4*C20/1000</f>
        <v>27.88</v>
      </c>
      <c r="G20" s="20">
        <f>573*C20/1000</f>
        <v>114.6</v>
      </c>
      <c r="H20" s="20">
        <f>0</f>
        <v>0</v>
      </c>
      <c r="I20" s="20">
        <f>0.1*C19/1000</f>
        <v>0.01</v>
      </c>
      <c r="J20" s="20">
        <f>5.5*C20/1000</f>
        <v>1.1000000000000001</v>
      </c>
      <c r="K20" s="20">
        <f>70.9*C20/1000</f>
        <v>14.180000000000001</v>
      </c>
      <c r="L20" s="20">
        <f>22*C20/1000</f>
        <v>4.4000000000000004</v>
      </c>
      <c r="M20" s="20">
        <f>4.8*C20/1000</f>
        <v>0.96</v>
      </c>
    </row>
    <row r="21" spans="1:13" ht="21.6" customHeight="1" x14ac:dyDescent="0.25">
      <c r="A21" s="152" t="s">
        <v>66</v>
      </c>
      <c r="B21" s="148" t="s">
        <v>33</v>
      </c>
      <c r="C21" s="149">
        <v>40</v>
      </c>
      <c r="D21" s="20">
        <f>107*C21/1000</f>
        <v>4.28</v>
      </c>
      <c r="E21" s="20">
        <f>45*C21/1000</f>
        <v>1.8</v>
      </c>
      <c r="F21" s="20">
        <f>435*C21/1000</f>
        <v>17.399999999999999</v>
      </c>
      <c r="G21" s="20">
        <f>2740*C21/1000</f>
        <v>109.6</v>
      </c>
      <c r="H21" s="20">
        <f>0</f>
        <v>0</v>
      </c>
      <c r="I21" s="20">
        <f>4.1*C21/1000</f>
        <v>0.16400000000000001</v>
      </c>
      <c r="J21" s="20">
        <f>2*C21/1000</f>
        <v>0.08</v>
      </c>
      <c r="K21" s="20">
        <f>1250*C21/1000</f>
        <v>50</v>
      </c>
      <c r="L21" s="20">
        <f>1290*C21/1000</f>
        <v>51.6</v>
      </c>
      <c r="M21" s="20">
        <f>36*C21/1000</f>
        <v>1.44</v>
      </c>
    </row>
    <row r="22" spans="1:13" ht="22.15" customHeight="1" x14ac:dyDescent="0.25">
      <c r="A22" s="153" t="s">
        <v>70</v>
      </c>
      <c r="B22" s="148" t="s">
        <v>3</v>
      </c>
      <c r="C22" s="149">
        <v>20</v>
      </c>
      <c r="D22" s="150">
        <f>85*C22/1000</f>
        <v>1.7</v>
      </c>
      <c r="E22" s="150">
        <f>33*C22/1000</f>
        <v>0.66</v>
      </c>
      <c r="F22" s="150">
        <f>425*C22/1000</f>
        <v>8.5</v>
      </c>
      <c r="G22" s="150">
        <f>2590*C22/1000</f>
        <v>51.8</v>
      </c>
      <c r="H22" s="154">
        <f>0</f>
        <v>0</v>
      </c>
      <c r="I22" s="150">
        <f>4.3*C22/1000</f>
        <v>8.5999999999999993E-2</v>
      </c>
      <c r="J22" s="150">
        <f>4*C22/1000</f>
        <v>0.08</v>
      </c>
      <c r="K22" s="150">
        <f>730*C22/1000</f>
        <v>14.6</v>
      </c>
      <c r="L22" s="150">
        <f>1250*C22/1000</f>
        <v>25</v>
      </c>
      <c r="M22" s="150">
        <f>28.3*C22/1000</f>
        <v>0.56599999999999995</v>
      </c>
    </row>
    <row r="23" spans="1:13" ht="15.95" customHeight="1" x14ac:dyDescent="0.25">
      <c r="A23" s="152"/>
      <c r="B23" s="148"/>
      <c r="C23" s="149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ht="15.95" customHeight="1" x14ac:dyDescent="0.25">
      <c r="A24" s="153"/>
      <c r="B24" s="155" t="s">
        <v>67</v>
      </c>
      <c r="C24" s="156">
        <f>SUM(C17:C23)</f>
        <v>760</v>
      </c>
      <c r="D24" s="157">
        <f t="shared" ref="D24:M24" si="1">SUM(D17:D23)</f>
        <v>20.580000000000002</v>
      </c>
      <c r="E24" s="157">
        <f t="shared" si="1"/>
        <v>25.76</v>
      </c>
      <c r="F24" s="157">
        <f t="shared" si="1"/>
        <v>116.75999999999999</v>
      </c>
      <c r="G24" s="157">
        <f t="shared" si="1"/>
        <v>800.6</v>
      </c>
      <c r="H24" s="157">
        <f t="shared" si="1"/>
        <v>27.9</v>
      </c>
      <c r="I24" s="157">
        <f t="shared" si="1"/>
        <v>1.72</v>
      </c>
      <c r="J24" s="157">
        <f t="shared" si="1"/>
        <v>10</v>
      </c>
      <c r="K24" s="157">
        <f t="shared" si="1"/>
        <v>122.72</v>
      </c>
      <c r="L24" s="157">
        <f t="shared" si="1"/>
        <v>199.34000000000003</v>
      </c>
      <c r="M24" s="157">
        <f t="shared" si="1"/>
        <v>4.5460000000000003</v>
      </c>
    </row>
    <row r="25" spans="1:13" ht="15.95" customHeight="1" x14ac:dyDescent="0.25">
      <c r="A25" s="153"/>
      <c r="B25" s="159" t="s">
        <v>71</v>
      </c>
      <c r="C25" s="160">
        <f>C24+C15</f>
        <v>1360</v>
      </c>
      <c r="D25" s="161">
        <f t="shared" ref="D25:M25" si="2">D15+D24</f>
        <v>49.760000000000005</v>
      </c>
      <c r="E25" s="161">
        <f t="shared" si="2"/>
        <v>73.295000000000002</v>
      </c>
      <c r="F25" s="161">
        <f t="shared" si="2"/>
        <v>206.60499999999999</v>
      </c>
      <c r="G25" s="161">
        <f t="shared" si="2"/>
        <v>1719.35</v>
      </c>
      <c r="H25" s="161">
        <f t="shared" si="2"/>
        <v>92.300000000000011</v>
      </c>
      <c r="I25" s="161">
        <f t="shared" si="2"/>
        <v>2.4459999999999997</v>
      </c>
      <c r="J25" s="161">
        <f t="shared" si="2"/>
        <v>19.920000000000002</v>
      </c>
      <c r="K25" s="161">
        <f t="shared" si="2"/>
        <v>373.5</v>
      </c>
      <c r="L25" s="161">
        <f t="shared" si="2"/>
        <v>610.93000000000006</v>
      </c>
      <c r="M25" s="161">
        <f t="shared" si="2"/>
        <v>12.242000000000001</v>
      </c>
    </row>
    <row r="26" spans="1:13" ht="15.95" customHeight="1" x14ac:dyDescent="0.25">
      <c r="A26" s="162"/>
      <c r="B26" s="19" t="s">
        <v>170</v>
      </c>
      <c r="C26" s="126">
        <v>1200</v>
      </c>
      <c r="D26" s="21">
        <v>45</v>
      </c>
      <c r="E26" s="21">
        <v>46</v>
      </c>
      <c r="F26" s="21">
        <v>192</v>
      </c>
      <c r="G26" s="21">
        <v>1360</v>
      </c>
      <c r="H26" s="21">
        <v>450</v>
      </c>
      <c r="I26" s="21">
        <v>0.7</v>
      </c>
      <c r="J26" s="21">
        <v>35</v>
      </c>
      <c r="K26" s="21">
        <v>600</v>
      </c>
      <c r="L26" s="21">
        <v>600</v>
      </c>
      <c r="M26" s="21">
        <v>9</v>
      </c>
    </row>
  </sheetData>
  <mergeCells count="11">
    <mergeCell ref="C4:C6"/>
    <mergeCell ref="A1:B1"/>
    <mergeCell ref="A2:B2"/>
    <mergeCell ref="A3:B3"/>
    <mergeCell ref="A4:A6"/>
    <mergeCell ref="B4:B6"/>
    <mergeCell ref="D4:F4"/>
    <mergeCell ref="G4:G6"/>
    <mergeCell ref="H4:J5"/>
    <mergeCell ref="K4:M5"/>
    <mergeCell ref="D5:F5"/>
  </mergeCells>
  <pageMargins left="0.7" right="0.7" top="0.75" bottom="0.75" header="0.3" footer="0.3"/>
  <pageSetup paperSize="9" scale="87" fitToWidth="0" orientation="landscape" r:id="rId1"/>
  <colBreaks count="1" manualBreakCount="1">
    <brk id="1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WhiteSpace="0" view="pageBreakPreview" zoomScale="80" zoomScaleNormal="70" zoomScaleSheetLayoutView="80" zoomScalePageLayoutView="70" workbookViewId="0">
      <selection activeCell="S14" sqref="S14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3" ht="14.45" customHeight="1" x14ac:dyDescent="0.25">
      <c r="A1" s="167"/>
      <c r="B1" s="23"/>
      <c r="C1" s="30"/>
      <c r="D1" s="25"/>
      <c r="E1" s="25"/>
      <c r="F1" s="25"/>
      <c r="G1" s="25"/>
      <c r="H1" s="25"/>
      <c r="I1" s="26"/>
      <c r="J1" s="25"/>
      <c r="K1" s="25"/>
      <c r="L1" s="25"/>
      <c r="M1" s="25"/>
    </row>
    <row r="2" spans="1:13" ht="15.75" hidden="1" x14ac:dyDescent="0.25">
      <c r="A2" s="167"/>
      <c r="B2" s="23"/>
      <c r="C2" s="30"/>
      <c r="D2" s="25"/>
      <c r="E2" s="25"/>
      <c r="F2" s="25"/>
      <c r="G2" s="25"/>
      <c r="H2" s="25"/>
      <c r="I2" s="26"/>
      <c r="J2" s="25"/>
      <c r="K2" s="25"/>
      <c r="L2" s="25"/>
      <c r="M2" s="25"/>
    </row>
    <row r="3" spans="1:13" ht="15.75" hidden="1" x14ac:dyDescent="0.25">
      <c r="A3" s="167"/>
      <c r="B3" s="23"/>
      <c r="C3" s="30"/>
      <c r="D3" s="25"/>
      <c r="E3" s="25"/>
      <c r="F3" s="25"/>
      <c r="G3" s="25"/>
      <c r="H3" s="25"/>
      <c r="I3" s="26"/>
      <c r="J3" s="25"/>
      <c r="K3" s="25"/>
      <c r="L3" s="25"/>
      <c r="M3" s="25"/>
    </row>
    <row r="4" spans="1:13" ht="15.75" hidden="1" x14ac:dyDescent="0.25">
      <c r="A4" s="167"/>
      <c r="B4" s="23"/>
      <c r="C4" s="30"/>
      <c r="D4" s="25"/>
      <c r="E4" s="25"/>
      <c r="F4" s="25"/>
      <c r="G4" s="25"/>
      <c r="H4" s="25"/>
      <c r="I4" s="26"/>
      <c r="J4" s="25"/>
      <c r="K4" s="25"/>
      <c r="L4" s="25"/>
      <c r="M4" s="25"/>
    </row>
    <row r="5" spans="1:13" ht="61.9" hidden="1" customHeight="1" x14ac:dyDescent="0.25">
      <c r="A5" s="167"/>
      <c r="B5" s="23"/>
      <c r="C5" s="30"/>
      <c r="D5" s="25"/>
      <c r="E5" s="25"/>
      <c r="F5" s="25"/>
      <c r="G5" s="25"/>
      <c r="H5" s="25"/>
      <c r="I5" s="26"/>
      <c r="J5" s="25"/>
      <c r="K5" s="25"/>
      <c r="L5" s="25"/>
      <c r="M5" s="25"/>
    </row>
    <row r="6" spans="1:13" x14ac:dyDescent="0.25">
      <c r="A6" s="237" t="s">
        <v>156</v>
      </c>
      <c r="B6" s="238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237" t="s">
        <v>48</v>
      </c>
      <c r="B7" s="238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ht="15.75" thickBot="1" x14ac:dyDescent="0.3">
      <c r="A8" s="239" t="s">
        <v>168</v>
      </c>
      <c r="B8" s="240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x14ac:dyDescent="0.25">
      <c r="A9" s="192" t="s">
        <v>49</v>
      </c>
      <c r="B9" s="192" t="s">
        <v>50</v>
      </c>
      <c r="C9" s="192" t="s">
        <v>51</v>
      </c>
      <c r="D9" s="207" t="s">
        <v>52</v>
      </c>
      <c r="E9" s="208"/>
      <c r="F9" s="209"/>
      <c r="G9" s="204" t="s">
        <v>53</v>
      </c>
      <c r="H9" s="207" t="s">
        <v>54</v>
      </c>
      <c r="I9" s="208"/>
      <c r="J9" s="209"/>
      <c r="K9" s="207" t="s">
        <v>55</v>
      </c>
      <c r="L9" s="208"/>
      <c r="M9" s="209"/>
    </row>
    <row r="10" spans="1:13" ht="15.75" thickBot="1" x14ac:dyDescent="0.3">
      <c r="A10" s="202"/>
      <c r="B10" s="193"/>
      <c r="C10" s="193"/>
      <c r="D10" s="210" t="s">
        <v>56</v>
      </c>
      <c r="E10" s="211"/>
      <c r="F10" s="212"/>
      <c r="G10" s="205"/>
      <c r="H10" s="210"/>
      <c r="I10" s="211"/>
      <c r="J10" s="212"/>
      <c r="K10" s="210"/>
      <c r="L10" s="211"/>
      <c r="M10" s="212"/>
    </row>
    <row r="11" spans="1:13" ht="17.25" thickBot="1" x14ac:dyDescent="0.3">
      <c r="A11" s="203"/>
      <c r="B11" s="194"/>
      <c r="C11" s="194"/>
      <c r="D11" s="33" t="s">
        <v>57</v>
      </c>
      <c r="E11" s="33" t="s">
        <v>58</v>
      </c>
      <c r="F11" s="33" t="s">
        <v>59</v>
      </c>
      <c r="G11" s="206"/>
      <c r="H11" s="33" t="s">
        <v>60</v>
      </c>
      <c r="I11" s="33" t="s">
        <v>84</v>
      </c>
      <c r="J11" s="33" t="s">
        <v>62</v>
      </c>
      <c r="K11" s="33" t="s">
        <v>63</v>
      </c>
      <c r="L11" s="33" t="s">
        <v>81</v>
      </c>
      <c r="M11" s="33" t="s">
        <v>64</v>
      </c>
    </row>
    <row r="12" spans="1:13" ht="18.75" x14ac:dyDescent="0.25">
      <c r="A12" s="6"/>
      <c r="B12" s="151" t="s">
        <v>65</v>
      </c>
      <c r="C12" s="8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x14ac:dyDescent="0.25">
      <c r="A13" s="20">
        <v>291</v>
      </c>
      <c r="B13" s="148" t="s">
        <v>158</v>
      </c>
      <c r="C13" s="149">
        <v>200</v>
      </c>
      <c r="D13" s="20">
        <f>20.7*C13/1000</f>
        <v>4.1399999999999997</v>
      </c>
      <c r="E13" s="20">
        <f>32.4*C13/1000</f>
        <v>6.48</v>
      </c>
      <c r="F13" s="20">
        <f>94.3*C13/1000</f>
        <v>18.86</v>
      </c>
      <c r="G13" s="20">
        <f>751*C13/1000</f>
        <v>150.19999999999999</v>
      </c>
      <c r="H13" s="20">
        <v>0</v>
      </c>
      <c r="I13" s="20">
        <f>0.3*C13/1000</f>
        <v>0.06</v>
      </c>
      <c r="J13" s="20">
        <f>171.6*C13/1000</f>
        <v>34.32</v>
      </c>
      <c r="K13" s="20">
        <f>554.5*C13/1000</f>
        <v>110.9</v>
      </c>
      <c r="L13" s="20">
        <f>401.4*C13/1000</f>
        <v>80.28</v>
      </c>
      <c r="M13" s="20">
        <f>8.1*C13/1000</f>
        <v>1.62</v>
      </c>
    </row>
    <row r="14" spans="1:13" x14ac:dyDescent="0.25">
      <c r="A14" s="152">
        <v>55</v>
      </c>
      <c r="B14" s="148" t="s">
        <v>183</v>
      </c>
      <c r="C14" s="149">
        <v>60</v>
      </c>
      <c r="D14" s="20">
        <v>0.9</v>
      </c>
      <c r="E14" s="20">
        <v>3.6</v>
      </c>
      <c r="F14" s="20">
        <v>3.8</v>
      </c>
      <c r="G14" s="20">
        <v>51</v>
      </c>
      <c r="H14" s="20">
        <v>0</v>
      </c>
      <c r="I14" s="20">
        <v>0</v>
      </c>
      <c r="J14" s="20">
        <v>3.6</v>
      </c>
      <c r="K14" s="20">
        <v>18.399999999999999</v>
      </c>
      <c r="L14" s="20">
        <v>23.7</v>
      </c>
      <c r="M14" s="20">
        <v>0.6</v>
      </c>
    </row>
    <row r="15" spans="1:13" x14ac:dyDescent="0.25">
      <c r="A15" s="20">
        <v>379</v>
      </c>
      <c r="B15" s="148" t="s">
        <v>95</v>
      </c>
      <c r="C15" s="149">
        <v>200</v>
      </c>
      <c r="D15" s="150">
        <f>15.8*C15/1000</f>
        <v>3.16</v>
      </c>
      <c r="E15" s="150">
        <f>13.4*C15/1000</f>
        <v>2.68</v>
      </c>
      <c r="F15" s="150">
        <f>79.7*C15/1000</f>
        <v>15.94</v>
      </c>
      <c r="G15" s="150">
        <f>503*C15/1000</f>
        <v>100.6</v>
      </c>
      <c r="H15" s="150">
        <f>100*C15/1000</f>
        <v>20</v>
      </c>
      <c r="I15" s="150">
        <f>0.22*C15/1000</f>
        <v>4.3999999999999997E-2</v>
      </c>
      <c r="J15" s="150">
        <f>6.5*C15/1000</f>
        <v>1.3</v>
      </c>
      <c r="K15" s="150">
        <f>628.9*C15/1000</f>
        <v>125.78</v>
      </c>
      <c r="L15" s="150">
        <f>450*C15/1000</f>
        <v>90</v>
      </c>
      <c r="M15" s="150">
        <f>0.7*C15/1000</f>
        <v>0.14000000000000001</v>
      </c>
    </row>
    <row r="16" spans="1:13" x14ac:dyDescent="0.25">
      <c r="A16" s="152" t="s">
        <v>66</v>
      </c>
      <c r="B16" s="148" t="s">
        <v>33</v>
      </c>
      <c r="C16" s="149">
        <v>40</v>
      </c>
      <c r="D16" s="20">
        <f>107*C16/1000</f>
        <v>4.28</v>
      </c>
      <c r="E16" s="20">
        <f>45*C16/1000</f>
        <v>1.8</v>
      </c>
      <c r="F16" s="20">
        <f>435*C16/1000</f>
        <v>17.399999999999999</v>
      </c>
      <c r="G16" s="20">
        <f>2740*C16/1000</f>
        <v>109.6</v>
      </c>
      <c r="H16" s="20">
        <f>0</f>
        <v>0</v>
      </c>
      <c r="I16" s="20">
        <f>4.1*C16/1000</f>
        <v>0.16400000000000001</v>
      </c>
      <c r="J16" s="20">
        <f>2*C16/1000</f>
        <v>0.08</v>
      </c>
      <c r="K16" s="20">
        <f>1250*C16/1000</f>
        <v>50</v>
      </c>
      <c r="L16" s="20">
        <f>1290*C16/1000</f>
        <v>51.6</v>
      </c>
      <c r="M16" s="20">
        <f>36*C16/1000</f>
        <v>1.44</v>
      </c>
    </row>
    <row r="17" spans="1:13" x14ac:dyDescent="0.25">
      <c r="A17" s="188"/>
      <c r="B17" s="148" t="s">
        <v>13</v>
      </c>
      <c r="C17" s="148">
        <v>40</v>
      </c>
      <c r="D17" s="150">
        <v>3.35</v>
      </c>
      <c r="E17" s="150">
        <v>3.7749999999999999</v>
      </c>
      <c r="F17" s="150">
        <v>36.03</v>
      </c>
      <c r="G17" s="150">
        <v>191.5</v>
      </c>
      <c r="H17" s="150">
        <v>20</v>
      </c>
      <c r="I17" s="150">
        <v>0.08</v>
      </c>
      <c r="J17" s="150">
        <v>0</v>
      </c>
      <c r="K17" s="150">
        <v>9.875</v>
      </c>
      <c r="L17" s="150">
        <v>37.484999999999999</v>
      </c>
      <c r="M17" s="150">
        <v>0.71499999999999997</v>
      </c>
    </row>
    <row r="18" spans="1:13" x14ac:dyDescent="0.25">
      <c r="A18" s="153" t="s">
        <v>70</v>
      </c>
      <c r="B18" s="148" t="s">
        <v>3</v>
      </c>
      <c r="C18" s="149">
        <v>20</v>
      </c>
      <c r="D18" s="150">
        <f>85*C18/1000</f>
        <v>1.7</v>
      </c>
      <c r="E18" s="150">
        <f>33*C18/1000</f>
        <v>0.66</v>
      </c>
      <c r="F18" s="150">
        <f>425*C18/1000</f>
        <v>8.5</v>
      </c>
      <c r="G18" s="150">
        <f>2590*C18/1000</f>
        <v>51.8</v>
      </c>
      <c r="H18" s="154">
        <f>0</f>
        <v>0</v>
      </c>
      <c r="I18" s="150">
        <f>4.3*C18/1000</f>
        <v>8.5999999999999993E-2</v>
      </c>
      <c r="J18" s="150">
        <f>4*C18/1000</f>
        <v>0.08</v>
      </c>
      <c r="K18" s="150">
        <f>730*C18/1000</f>
        <v>14.6</v>
      </c>
      <c r="L18" s="150">
        <f>1250*C18/1000</f>
        <v>25</v>
      </c>
      <c r="M18" s="150">
        <f>28.3*C18/1000</f>
        <v>0.56599999999999995</v>
      </c>
    </row>
    <row r="19" spans="1:13" x14ac:dyDescent="0.25">
      <c r="A19" s="153"/>
      <c r="B19" s="148"/>
      <c r="C19" s="149"/>
      <c r="D19" s="150"/>
      <c r="E19" s="150"/>
      <c r="F19" s="150"/>
      <c r="G19" s="150"/>
      <c r="H19" s="154"/>
      <c r="I19" s="150"/>
      <c r="J19" s="150"/>
      <c r="K19" s="150"/>
      <c r="L19" s="150"/>
      <c r="M19" s="150"/>
    </row>
    <row r="20" spans="1:13" x14ac:dyDescent="0.25">
      <c r="A20" s="20"/>
      <c r="B20" s="155" t="s">
        <v>67</v>
      </c>
      <c r="C20" s="164">
        <f>SUM(C13:C19)</f>
        <v>560</v>
      </c>
      <c r="D20" s="157">
        <f t="shared" ref="D20:M20" si="0">SUM(D13:D18)</f>
        <v>17.53</v>
      </c>
      <c r="E20" s="157">
        <f t="shared" si="0"/>
        <v>18.995000000000001</v>
      </c>
      <c r="F20" s="157">
        <f t="shared" si="0"/>
        <v>100.53</v>
      </c>
      <c r="G20" s="157">
        <f t="shared" si="0"/>
        <v>654.69999999999993</v>
      </c>
      <c r="H20" s="157">
        <f t="shared" si="0"/>
        <v>40</v>
      </c>
      <c r="I20" s="157">
        <f t="shared" si="0"/>
        <v>0.43400000000000005</v>
      </c>
      <c r="J20" s="157">
        <f t="shared" si="0"/>
        <v>39.379999999999995</v>
      </c>
      <c r="K20" s="157">
        <f t="shared" si="0"/>
        <v>329.55500000000006</v>
      </c>
      <c r="L20" s="157">
        <f t="shared" si="0"/>
        <v>308.065</v>
      </c>
      <c r="M20" s="157">
        <f t="shared" si="0"/>
        <v>5.0810000000000004</v>
      </c>
    </row>
    <row r="21" spans="1:13" ht="18.75" x14ac:dyDescent="0.25">
      <c r="A21" s="20"/>
      <c r="B21" s="158" t="s">
        <v>68</v>
      </c>
      <c r="C21" s="11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x14ac:dyDescent="0.25">
      <c r="A22" s="20">
        <v>102</v>
      </c>
      <c r="B22" s="148" t="s">
        <v>80</v>
      </c>
      <c r="C22" s="149">
        <v>200</v>
      </c>
      <c r="D22" s="20">
        <f>22*C22/1000</f>
        <v>4.4000000000000004</v>
      </c>
      <c r="E22" s="20">
        <f>21.1*C22/1000</f>
        <v>4.22</v>
      </c>
      <c r="F22" s="20">
        <f>66.1*C22/1000</f>
        <v>13.219999999999999</v>
      </c>
      <c r="G22" s="20">
        <f>593*C22/1000</f>
        <v>118.6</v>
      </c>
      <c r="H22" s="20">
        <f>0</f>
        <v>0</v>
      </c>
      <c r="I22" s="20">
        <f>0.9*C22/1000</f>
        <v>0.18</v>
      </c>
      <c r="J22" s="20">
        <f>23.3*C22/1000</f>
        <v>4.66</v>
      </c>
      <c r="K22" s="20">
        <f>170.7*C22/1000</f>
        <v>34.14</v>
      </c>
      <c r="L22" s="20">
        <f>352.4*C22/1000</f>
        <v>70.48</v>
      </c>
      <c r="M22" s="20">
        <f>8.2*C22/1000</f>
        <v>1.6399999999999997</v>
      </c>
    </row>
    <row r="23" spans="1:13" x14ac:dyDescent="0.25">
      <c r="A23" s="165">
        <v>223</v>
      </c>
      <c r="B23" s="148" t="s">
        <v>151</v>
      </c>
      <c r="C23" s="149">
        <v>170</v>
      </c>
      <c r="D23" s="150">
        <f>122.8*C23/1000</f>
        <v>20.876000000000001</v>
      </c>
      <c r="E23" s="150">
        <f>109.6*C23/1000</f>
        <v>18.632000000000001</v>
      </c>
      <c r="F23" s="150">
        <f>97.5*C23/1000</f>
        <v>16.574999999999999</v>
      </c>
      <c r="G23" s="150">
        <f>1862.5*C23/1000</f>
        <v>316.625</v>
      </c>
      <c r="H23" s="150">
        <f>482.5*C23/1000</f>
        <v>82.025000000000006</v>
      </c>
      <c r="I23" s="150">
        <f>0.5*C23/1000</f>
        <v>8.5000000000000006E-2</v>
      </c>
      <c r="J23" s="150">
        <f>1.8*C23/1000</f>
        <v>0.30599999999999999</v>
      </c>
      <c r="K23" s="150">
        <f>1093.6*C23/1000</f>
        <v>185.91199999999998</v>
      </c>
      <c r="L23" s="150">
        <f>1498.8*C23/1000</f>
        <v>254.79599999999999</v>
      </c>
      <c r="M23" s="150">
        <f>5*C23/1000</f>
        <v>0.85</v>
      </c>
    </row>
    <row r="24" spans="1:13" x14ac:dyDescent="0.25">
      <c r="A24" s="20">
        <v>349</v>
      </c>
      <c r="B24" s="148" t="s">
        <v>37</v>
      </c>
      <c r="C24" s="149">
        <v>200</v>
      </c>
      <c r="D24" s="20">
        <f>3.3*C24/1000</f>
        <v>0.66</v>
      </c>
      <c r="E24" s="20">
        <f>0.5*C24/1000</f>
        <v>0.1</v>
      </c>
      <c r="F24" s="20">
        <f>160.1*C24/1000</f>
        <v>32.020000000000003</v>
      </c>
      <c r="G24" s="20">
        <f>664*C24/1000</f>
        <v>132.80000000000001</v>
      </c>
      <c r="H24" s="20">
        <f>0</f>
        <v>0</v>
      </c>
      <c r="I24" s="20">
        <f>0.1*C24/1000</f>
        <v>0.02</v>
      </c>
      <c r="J24" s="20">
        <f>5.6*C24/1000</f>
        <v>1.1200000000000001</v>
      </c>
      <c r="K24" s="20">
        <f>162.4*C24/1000</f>
        <v>32.479999999999997</v>
      </c>
      <c r="L24" s="20">
        <f>117.2*C24/1000</f>
        <v>23.44</v>
      </c>
      <c r="M24" s="20">
        <f>3.5*C24/1000</f>
        <v>0.7</v>
      </c>
    </row>
    <row r="25" spans="1:13" x14ac:dyDescent="0.25">
      <c r="A25" s="152" t="s">
        <v>66</v>
      </c>
      <c r="B25" s="148" t="s">
        <v>33</v>
      </c>
      <c r="C25" s="149">
        <v>40</v>
      </c>
      <c r="D25" s="20">
        <f>107*C25/1000</f>
        <v>4.28</v>
      </c>
      <c r="E25" s="20">
        <f>45*C25/1000</f>
        <v>1.8</v>
      </c>
      <c r="F25" s="20">
        <f>435*C25/1000</f>
        <v>17.399999999999999</v>
      </c>
      <c r="G25" s="20">
        <f>2740*C25/1000</f>
        <v>109.6</v>
      </c>
      <c r="H25" s="20">
        <f>0</f>
        <v>0</v>
      </c>
      <c r="I25" s="20">
        <f>4.1*C25/1000</f>
        <v>0.16400000000000001</v>
      </c>
      <c r="J25" s="20">
        <f>2*C25/1000</f>
        <v>0.08</v>
      </c>
      <c r="K25" s="20">
        <f>1250*C25/1000</f>
        <v>50</v>
      </c>
      <c r="L25" s="20">
        <f>1290*C25/1000</f>
        <v>51.6</v>
      </c>
      <c r="M25" s="20">
        <f>36*C25/1000</f>
        <v>1.44</v>
      </c>
    </row>
    <row r="26" spans="1:13" x14ac:dyDescent="0.25">
      <c r="A26" s="153" t="s">
        <v>70</v>
      </c>
      <c r="B26" s="148" t="s">
        <v>3</v>
      </c>
      <c r="C26" s="149">
        <v>20</v>
      </c>
      <c r="D26" s="150">
        <f>85*C26/1000</f>
        <v>1.7</v>
      </c>
      <c r="E26" s="150">
        <f>33*C26/1000</f>
        <v>0.66</v>
      </c>
      <c r="F26" s="150">
        <f>425*C26/1000</f>
        <v>8.5</v>
      </c>
      <c r="G26" s="150">
        <f>2590*C26/1000</f>
        <v>51.8</v>
      </c>
      <c r="H26" s="154">
        <f>0</f>
        <v>0</v>
      </c>
      <c r="I26" s="150">
        <f>4.3*C26/1000</f>
        <v>8.5999999999999993E-2</v>
      </c>
      <c r="J26" s="150">
        <f>4*C26/1000</f>
        <v>0.08</v>
      </c>
      <c r="K26" s="150">
        <f>730*C26/1000</f>
        <v>14.6</v>
      </c>
      <c r="L26" s="150">
        <f>1250*C26/1000</f>
        <v>25</v>
      </c>
      <c r="M26" s="150">
        <f>28.3*C26/1000</f>
        <v>0.56599999999999995</v>
      </c>
    </row>
    <row r="27" spans="1:13" x14ac:dyDescent="0.25">
      <c r="A27" s="165"/>
      <c r="B27" s="155" t="s">
        <v>67</v>
      </c>
      <c r="C27" s="164">
        <f>SUM(C22:C26)</f>
        <v>630</v>
      </c>
      <c r="D27" s="157">
        <f t="shared" ref="D27:M27" si="1">SUM(D22:D26)</f>
        <v>31.916000000000004</v>
      </c>
      <c r="E27" s="157">
        <f t="shared" si="1"/>
        <v>25.412000000000003</v>
      </c>
      <c r="F27" s="157">
        <f t="shared" si="1"/>
        <v>87.715000000000003</v>
      </c>
      <c r="G27" s="157">
        <f t="shared" si="1"/>
        <v>729.42500000000007</v>
      </c>
      <c r="H27" s="157">
        <f t="shared" si="1"/>
        <v>82.025000000000006</v>
      </c>
      <c r="I27" s="157">
        <f t="shared" si="1"/>
        <v>0.53500000000000003</v>
      </c>
      <c r="J27" s="157">
        <f t="shared" si="1"/>
        <v>6.2460000000000004</v>
      </c>
      <c r="K27" s="157">
        <f t="shared" si="1"/>
        <v>317.13199999999995</v>
      </c>
      <c r="L27" s="157">
        <f t="shared" si="1"/>
        <v>425.31600000000003</v>
      </c>
      <c r="M27" s="157">
        <f t="shared" si="1"/>
        <v>5.1959999999999988</v>
      </c>
    </row>
    <row r="28" spans="1:13" ht="18.75" x14ac:dyDescent="0.25">
      <c r="A28" s="165"/>
      <c r="B28" s="159" t="s">
        <v>71</v>
      </c>
      <c r="C28" s="166">
        <v>1200</v>
      </c>
      <c r="D28" s="161">
        <f t="shared" ref="D28:M28" si="2">D20+D27</f>
        <v>49.446000000000005</v>
      </c>
      <c r="E28" s="161">
        <f t="shared" si="2"/>
        <v>44.407000000000004</v>
      </c>
      <c r="F28" s="161">
        <f t="shared" si="2"/>
        <v>188.245</v>
      </c>
      <c r="G28" s="161">
        <f t="shared" si="2"/>
        <v>1384.125</v>
      </c>
      <c r="H28" s="161">
        <f t="shared" si="2"/>
        <v>122.02500000000001</v>
      </c>
      <c r="I28" s="161">
        <f t="shared" si="2"/>
        <v>0.96900000000000008</v>
      </c>
      <c r="J28" s="161">
        <f t="shared" si="2"/>
        <v>45.625999999999998</v>
      </c>
      <c r="K28" s="161">
        <f t="shared" si="2"/>
        <v>646.68700000000001</v>
      </c>
      <c r="L28" s="161">
        <f t="shared" si="2"/>
        <v>733.38100000000009</v>
      </c>
      <c r="M28" s="161">
        <f t="shared" si="2"/>
        <v>10.276999999999999</v>
      </c>
    </row>
    <row r="29" spans="1:13" ht="18" customHeight="1" x14ac:dyDescent="0.25">
      <c r="A29" s="162"/>
      <c r="B29" s="19" t="s">
        <v>170</v>
      </c>
      <c r="C29" s="20">
        <v>1200</v>
      </c>
      <c r="D29" s="21">
        <v>45</v>
      </c>
      <c r="E29" s="21">
        <v>46</v>
      </c>
      <c r="F29" s="21">
        <v>192</v>
      </c>
      <c r="G29" s="21">
        <v>1360</v>
      </c>
      <c r="H29" s="21">
        <v>450</v>
      </c>
      <c r="I29" s="21">
        <v>0.7</v>
      </c>
      <c r="J29" s="21">
        <v>35</v>
      </c>
      <c r="K29" s="21">
        <v>600</v>
      </c>
      <c r="L29" s="21">
        <v>600</v>
      </c>
      <c r="M29" s="21">
        <v>9</v>
      </c>
    </row>
    <row r="30" spans="1:13" ht="15.75" x14ac:dyDescent="0.25">
      <c r="A30" s="167"/>
      <c r="B30" s="23"/>
      <c r="C30" s="30"/>
      <c r="D30" s="25"/>
      <c r="E30" s="25"/>
      <c r="F30" s="25"/>
      <c r="G30" s="25"/>
      <c r="H30" s="25"/>
      <c r="I30" s="26"/>
      <c r="J30" s="25"/>
      <c r="K30" s="25"/>
      <c r="L30" s="25"/>
      <c r="M30" s="25"/>
    </row>
  </sheetData>
  <mergeCells count="11">
    <mergeCell ref="A6:B6"/>
    <mergeCell ref="A7:B7"/>
    <mergeCell ref="H9:J10"/>
    <mergeCell ref="K9:M10"/>
    <mergeCell ref="D10:F10"/>
    <mergeCell ref="A8:B8"/>
    <mergeCell ref="A9:A11"/>
    <mergeCell ref="B9:B11"/>
    <mergeCell ref="C9:C11"/>
    <mergeCell ref="D9:F9"/>
    <mergeCell ref="G9:G11"/>
  </mergeCells>
  <pageMargins left="0.7" right="0.7" top="0.75" bottom="0.75" header="0.3" footer="0.3"/>
  <pageSetup paperSize="9" scale="87" fitToWidth="0" orientation="landscape" r:id="rId1"/>
  <colBreaks count="1" manualBreakCount="1">
    <brk id="1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WhiteSpace="0" view="pageBreakPreview" zoomScale="80" zoomScaleNormal="70" zoomScaleSheetLayoutView="80" zoomScalePageLayoutView="70" workbookViewId="0">
      <selection activeCell="H25" sqref="H25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3" ht="19.899999999999999" customHeight="1" x14ac:dyDescent="0.25">
      <c r="A1" s="167"/>
      <c r="B1" s="23"/>
      <c r="C1" s="30"/>
      <c r="D1" s="25"/>
      <c r="E1" s="25"/>
      <c r="F1" s="25"/>
      <c r="G1" s="25"/>
      <c r="H1" s="25"/>
      <c r="I1" s="26"/>
      <c r="J1" s="25"/>
      <c r="K1" s="25"/>
      <c r="L1" s="25"/>
      <c r="M1" s="25"/>
    </row>
    <row r="2" spans="1:13" x14ac:dyDescent="0.25">
      <c r="A2" s="237" t="s">
        <v>160</v>
      </c>
      <c r="B2" s="237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x14ac:dyDescent="0.25">
      <c r="A3" s="237" t="s">
        <v>79</v>
      </c>
      <c r="B3" s="237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5.75" thickBot="1" x14ac:dyDescent="0.3">
      <c r="A4" s="239" t="s">
        <v>168</v>
      </c>
      <c r="B4" s="240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x14ac:dyDescent="0.25">
      <c r="A5" s="192" t="s">
        <v>49</v>
      </c>
      <c r="B5" s="192" t="s">
        <v>50</v>
      </c>
      <c r="C5" s="192" t="s">
        <v>51</v>
      </c>
      <c r="D5" s="207" t="s">
        <v>52</v>
      </c>
      <c r="E5" s="208"/>
      <c r="F5" s="209"/>
      <c r="G5" s="204" t="s">
        <v>53</v>
      </c>
      <c r="H5" s="207" t="s">
        <v>54</v>
      </c>
      <c r="I5" s="208"/>
      <c r="J5" s="209"/>
      <c r="K5" s="207" t="s">
        <v>55</v>
      </c>
      <c r="L5" s="208"/>
      <c r="M5" s="209"/>
    </row>
    <row r="6" spans="1:13" ht="15.75" thickBot="1" x14ac:dyDescent="0.3">
      <c r="A6" s="202"/>
      <c r="B6" s="193"/>
      <c r="C6" s="193"/>
      <c r="D6" s="210" t="s">
        <v>56</v>
      </c>
      <c r="E6" s="211"/>
      <c r="F6" s="212"/>
      <c r="G6" s="205"/>
      <c r="H6" s="210"/>
      <c r="I6" s="211"/>
      <c r="J6" s="212"/>
      <c r="K6" s="210"/>
      <c r="L6" s="211"/>
      <c r="M6" s="212"/>
    </row>
    <row r="7" spans="1:13" ht="17.25" thickBot="1" x14ac:dyDescent="0.3">
      <c r="A7" s="203"/>
      <c r="B7" s="194"/>
      <c r="C7" s="194"/>
      <c r="D7" s="33" t="s">
        <v>57</v>
      </c>
      <c r="E7" s="33" t="s">
        <v>58</v>
      </c>
      <c r="F7" s="33" t="s">
        <v>59</v>
      </c>
      <c r="G7" s="206"/>
      <c r="H7" s="33" t="s">
        <v>60</v>
      </c>
      <c r="I7" s="33" t="s">
        <v>84</v>
      </c>
      <c r="J7" s="33" t="s">
        <v>62</v>
      </c>
      <c r="K7" s="33" t="s">
        <v>63</v>
      </c>
      <c r="L7" s="33" t="s">
        <v>81</v>
      </c>
      <c r="M7" s="33" t="s">
        <v>64</v>
      </c>
    </row>
    <row r="8" spans="1:13" ht="18.75" x14ac:dyDescent="0.25">
      <c r="A8" s="6"/>
      <c r="B8" s="151" t="s">
        <v>65</v>
      </c>
      <c r="C8" s="8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x14ac:dyDescent="0.25">
      <c r="A9" s="20">
        <v>174</v>
      </c>
      <c r="B9" s="168" t="s">
        <v>189</v>
      </c>
      <c r="C9" s="149">
        <v>200</v>
      </c>
      <c r="D9" s="20">
        <v>7.5</v>
      </c>
      <c r="E9" s="20">
        <v>13.6</v>
      </c>
      <c r="F9" s="20">
        <v>53.8</v>
      </c>
      <c r="G9" s="20">
        <v>367.5</v>
      </c>
      <c r="H9" s="20">
        <v>68.5</v>
      </c>
      <c r="I9" s="20">
        <v>0.1</v>
      </c>
      <c r="J9" s="20">
        <v>1.2</v>
      </c>
      <c r="K9" s="20">
        <v>163.4</v>
      </c>
      <c r="L9" s="20">
        <v>196.8</v>
      </c>
      <c r="M9" s="20">
        <v>0.8</v>
      </c>
    </row>
    <row r="10" spans="1:13" x14ac:dyDescent="0.25">
      <c r="A10" s="20">
        <v>386</v>
      </c>
      <c r="B10" s="148" t="s">
        <v>172</v>
      </c>
      <c r="C10" s="149">
        <v>180</v>
      </c>
      <c r="D10" s="20">
        <v>5.8</v>
      </c>
      <c r="E10" s="20">
        <v>5</v>
      </c>
      <c r="F10" s="20">
        <v>8</v>
      </c>
      <c r="G10" s="20">
        <v>100</v>
      </c>
      <c r="H10" s="20">
        <v>40</v>
      </c>
      <c r="I10" s="20">
        <v>0.08</v>
      </c>
      <c r="J10" s="20">
        <v>1.4</v>
      </c>
      <c r="K10" s="20">
        <v>240</v>
      </c>
      <c r="L10" s="20">
        <v>180</v>
      </c>
      <c r="M10" s="20">
        <v>0.2</v>
      </c>
    </row>
    <row r="11" spans="1:13" x14ac:dyDescent="0.25">
      <c r="A11" s="152" t="s">
        <v>66</v>
      </c>
      <c r="B11" s="148" t="s">
        <v>33</v>
      </c>
      <c r="C11" s="149">
        <v>40</v>
      </c>
      <c r="D11" s="20">
        <f>107*C11/1000</f>
        <v>4.28</v>
      </c>
      <c r="E11" s="20">
        <f>45*C11/1000</f>
        <v>1.8</v>
      </c>
      <c r="F11" s="20">
        <f>435*C11/1000</f>
        <v>17.399999999999999</v>
      </c>
      <c r="G11" s="20">
        <f>2740*C11/1000</f>
        <v>109.6</v>
      </c>
      <c r="H11" s="20">
        <f>0</f>
        <v>0</v>
      </c>
      <c r="I11" s="20">
        <f>4.1*C11/1000</f>
        <v>0.16400000000000001</v>
      </c>
      <c r="J11" s="20">
        <f>2*C11/1000</f>
        <v>0.08</v>
      </c>
      <c r="K11" s="20">
        <f>1250*C11/1000</f>
        <v>50</v>
      </c>
      <c r="L11" s="20">
        <f>1290*C11/1000</f>
        <v>51.6</v>
      </c>
      <c r="M11" s="20">
        <f>36*C11/1000</f>
        <v>1.44</v>
      </c>
    </row>
    <row r="12" spans="1:13" x14ac:dyDescent="0.25">
      <c r="A12" s="153" t="s">
        <v>70</v>
      </c>
      <c r="B12" s="148" t="s">
        <v>3</v>
      </c>
      <c r="C12" s="149">
        <v>20</v>
      </c>
      <c r="D12" s="150">
        <f>85*C12/1000</f>
        <v>1.7</v>
      </c>
      <c r="E12" s="150">
        <f>33*C12/1000</f>
        <v>0.66</v>
      </c>
      <c r="F12" s="150">
        <f>425*C12/1000</f>
        <v>8.5</v>
      </c>
      <c r="G12" s="150">
        <f>2590*C12/1000</f>
        <v>51.8</v>
      </c>
      <c r="H12" s="154">
        <f>0</f>
        <v>0</v>
      </c>
      <c r="I12" s="150">
        <f>4.3*C12/1000</f>
        <v>8.5999999999999993E-2</v>
      </c>
      <c r="J12" s="150">
        <f>4*C12/1000</f>
        <v>0.08</v>
      </c>
      <c r="K12" s="150">
        <f>730*C12/1000</f>
        <v>14.6</v>
      </c>
      <c r="L12" s="150">
        <f>1250*C12/1000</f>
        <v>25</v>
      </c>
      <c r="M12" s="150">
        <f>28.3*C12/1000</f>
        <v>0.56599999999999995</v>
      </c>
    </row>
    <row r="13" spans="1:13" x14ac:dyDescent="0.25">
      <c r="A13" s="20">
        <v>209</v>
      </c>
      <c r="B13" s="148" t="s">
        <v>148</v>
      </c>
      <c r="C13" s="149">
        <v>45</v>
      </c>
      <c r="D13" s="20">
        <f>126*C13/1000</f>
        <v>5.67</v>
      </c>
      <c r="E13" s="20">
        <f>106*C13/1000</f>
        <v>4.7699999999999996</v>
      </c>
      <c r="F13" s="20">
        <f>11*C13/1000</f>
        <v>0.495</v>
      </c>
      <c r="G13" s="20">
        <f>1550*C13/1000</f>
        <v>69.75</v>
      </c>
      <c r="H13" s="20">
        <f>1490*C13/1000</f>
        <v>67.05</v>
      </c>
      <c r="I13" s="20">
        <f>0.6*C13/1000</f>
        <v>2.7E-2</v>
      </c>
      <c r="J13" s="20">
        <f>0*C13/1000</f>
        <v>0</v>
      </c>
      <c r="K13" s="20">
        <f>500*C13/1000</f>
        <v>22.5</v>
      </c>
      <c r="L13" s="20">
        <f>1720*C13/1000</f>
        <v>77.400000000000006</v>
      </c>
      <c r="M13" s="20">
        <f>11.9*C13/1000</f>
        <v>0.53549999999999998</v>
      </c>
    </row>
    <row r="14" spans="1:13" x14ac:dyDescent="0.25">
      <c r="A14" s="20">
        <v>15</v>
      </c>
      <c r="B14" s="148" t="s">
        <v>9</v>
      </c>
      <c r="C14" s="149">
        <v>15</v>
      </c>
      <c r="D14" s="20">
        <f>232*C14/1000</f>
        <v>3.48</v>
      </c>
      <c r="E14" s="20">
        <f>295*C14/1000</f>
        <v>4.4249999999999998</v>
      </c>
      <c r="F14" s="20">
        <f>0</f>
        <v>0</v>
      </c>
      <c r="G14" s="20">
        <f>3600*C14/1000</f>
        <v>54</v>
      </c>
      <c r="H14" s="20">
        <f>2600*C14/1000</f>
        <v>39</v>
      </c>
      <c r="I14" s="20">
        <f>0.3*C14/1000</f>
        <v>4.4999999999999997E-3</v>
      </c>
      <c r="J14" s="20">
        <f>7*C14/1000</f>
        <v>0.105</v>
      </c>
      <c r="K14" s="20">
        <f>8800*C14/1000</f>
        <v>132</v>
      </c>
      <c r="L14" s="20">
        <f>5000*C14/1000</f>
        <v>75</v>
      </c>
      <c r="M14" s="20">
        <f>10*C14/1000</f>
        <v>0.15</v>
      </c>
    </row>
    <row r="15" spans="1:13" x14ac:dyDescent="0.25">
      <c r="A15" s="152">
        <v>338</v>
      </c>
      <c r="B15" s="148" t="s">
        <v>131</v>
      </c>
      <c r="C15" s="149">
        <v>100</v>
      </c>
      <c r="D15" s="20">
        <f>4*C15/1000</f>
        <v>0.4</v>
      </c>
      <c r="E15" s="20">
        <f>4*C15/1000</f>
        <v>0.4</v>
      </c>
      <c r="F15" s="20">
        <f>98*C15/1000</f>
        <v>9.8000000000000007</v>
      </c>
      <c r="G15" s="20">
        <f>470*C15/1000</f>
        <v>47</v>
      </c>
      <c r="H15" s="20">
        <f>0</f>
        <v>0</v>
      </c>
      <c r="I15" s="20">
        <f>0.3*C15/1000</f>
        <v>0.03</v>
      </c>
      <c r="J15" s="20">
        <f>100*C15/1000</f>
        <v>10</v>
      </c>
      <c r="K15" s="20">
        <f>160*C15/1000</f>
        <v>16</v>
      </c>
      <c r="L15" s="20">
        <f>110*C15/1000</f>
        <v>11</v>
      </c>
      <c r="M15" s="20">
        <f>22*C15/1000</f>
        <v>2.2000000000000002</v>
      </c>
    </row>
    <row r="16" spans="1:13" x14ac:dyDescent="0.25">
      <c r="A16" s="20"/>
      <c r="B16" s="155" t="s">
        <v>67</v>
      </c>
      <c r="C16" s="164">
        <f>SUM(C9:C15)</f>
        <v>600</v>
      </c>
      <c r="D16" s="157">
        <f t="shared" ref="D16:M16" si="0">SUM(D9:D14)</f>
        <v>28.430000000000003</v>
      </c>
      <c r="E16" s="157">
        <f t="shared" si="0"/>
        <v>30.255000000000003</v>
      </c>
      <c r="F16" s="157">
        <f t="shared" si="0"/>
        <v>88.194999999999993</v>
      </c>
      <c r="G16" s="157">
        <f t="shared" si="0"/>
        <v>752.65</v>
      </c>
      <c r="H16" s="157">
        <f t="shared" si="0"/>
        <v>214.55</v>
      </c>
      <c r="I16" s="157">
        <f t="shared" si="0"/>
        <v>0.46149999999999997</v>
      </c>
      <c r="J16" s="157">
        <f t="shared" si="0"/>
        <v>2.8649999999999998</v>
      </c>
      <c r="K16" s="157">
        <f t="shared" si="0"/>
        <v>622.5</v>
      </c>
      <c r="L16" s="157">
        <f t="shared" si="0"/>
        <v>605.80000000000007</v>
      </c>
      <c r="M16" s="157">
        <f t="shared" si="0"/>
        <v>3.6914999999999996</v>
      </c>
    </row>
    <row r="17" spans="1:13" ht="18.75" x14ac:dyDescent="0.25">
      <c r="A17" s="20"/>
      <c r="B17" s="158" t="s">
        <v>68</v>
      </c>
      <c r="C17" s="11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x14ac:dyDescent="0.25">
      <c r="A18" s="152">
        <v>57</v>
      </c>
      <c r="B18" s="148" t="s">
        <v>181</v>
      </c>
      <c r="C18" s="149">
        <v>60</v>
      </c>
      <c r="D18" s="20">
        <f t="shared" ref="D18" si="1">6.4*C18/1000</f>
        <v>0.38400000000000001</v>
      </c>
      <c r="E18" s="20">
        <f t="shared" ref="E18" si="2">19.4*C18/1000</f>
        <v>1.1639999999999999</v>
      </c>
      <c r="F18" s="20">
        <f t="shared" ref="F18" si="3">34.3*C18/1000</f>
        <v>2.0579999999999998</v>
      </c>
      <c r="G18" s="20">
        <f t="shared" ref="G18" si="4">365*C18/1000</f>
        <v>21.9</v>
      </c>
      <c r="H18" s="20">
        <f>0</f>
        <v>0</v>
      </c>
      <c r="I18" s="20">
        <f t="shared" ref="I18" si="5">0.1*C18/1000</f>
        <v>6.0000000000000001E-3</v>
      </c>
      <c r="J18" s="20">
        <f t="shared" ref="J18" si="6">43.7*C18/1000</f>
        <v>2.6219999999999999</v>
      </c>
      <c r="K18" s="20">
        <f t="shared" ref="K18" si="7">210.1*C18/1000</f>
        <v>12.606</v>
      </c>
      <c r="L18" s="20">
        <f t="shared" ref="L18" si="8">184.4*C18/1000</f>
        <v>11.064</v>
      </c>
      <c r="M18" s="20">
        <f t="shared" ref="M18" si="9">4.4*C18/1000</f>
        <v>0.26400000000000001</v>
      </c>
    </row>
    <row r="19" spans="1:13" x14ac:dyDescent="0.25">
      <c r="A19" s="20">
        <v>96</v>
      </c>
      <c r="B19" s="148" t="s">
        <v>41</v>
      </c>
      <c r="C19" s="149">
        <v>200</v>
      </c>
      <c r="D19" s="20">
        <f>8.1*C19/1000</f>
        <v>1.62</v>
      </c>
      <c r="E19" s="20">
        <f>20.4*C19/1000</f>
        <v>4.0799999999999992</v>
      </c>
      <c r="F19" s="20">
        <f>47.9*C19/1000</f>
        <v>9.58</v>
      </c>
      <c r="G19" s="20">
        <f>429*C19/1000</f>
        <v>85.8</v>
      </c>
      <c r="H19" s="20">
        <f>0</f>
        <v>0</v>
      </c>
      <c r="I19" s="20">
        <f>0.4*C19/1000</f>
        <v>0.08</v>
      </c>
      <c r="J19" s="20">
        <f>33.5*C19/1000</f>
        <v>6.7</v>
      </c>
      <c r="K19" s="20">
        <f>116.6*C19/1000</f>
        <v>23.32</v>
      </c>
      <c r="L19" s="20">
        <f>226.9*C19/1000</f>
        <v>45.38</v>
      </c>
      <c r="M19" s="20">
        <f>3.7*C19/1000</f>
        <v>0.74</v>
      </c>
    </row>
    <row r="20" spans="1:13" x14ac:dyDescent="0.25">
      <c r="A20" s="20">
        <v>321</v>
      </c>
      <c r="B20" s="148" t="s">
        <v>130</v>
      </c>
      <c r="C20" s="149">
        <v>180</v>
      </c>
      <c r="D20" s="20">
        <f>20.7*C20/1000</f>
        <v>3.726</v>
      </c>
      <c r="E20" s="20">
        <f>32.4*C20/1000</f>
        <v>5.8319999999999999</v>
      </c>
      <c r="F20" s="20">
        <f>94.3*C20/1000</f>
        <v>16.974</v>
      </c>
      <c r="G20" s="20">
        <f>751*C20/1000</f>
        <v>135.18</v>
      </c>
      <c r="H20" s="20">
        <v>0</v>
      </c>
      <c r="I20" s="20">
        <f>0.3*C20/1000</f>
        <v>5.3999999999999999E-2</v>
      </c>
      <c r="J20" s="20">
        <f>171.6*C20/1000</f>
        <v>30.888000000000002</v>
      </c>
      <c r="K20" s="20">
        <f>554.5*C20/1000</f>
        <v>99.81</v>
      </c>
      <c r="L20" s="20">
        <f>401.4*C20/1000</f>
        <v>72.251999999999995</v>
      </c>
      <c r="M20" s="20">
        <f>8.1*C20/1000</f>
        <v>1.458</v>
      </c>
    </row>
    <row r="21" spans="1:13" x14ac:dyDescent="0.25">
      <c r="A21" s="20">
        <v>268</v>
      </c>
      <c r="B21" s="148" t="s">
        <v>134</v>
      </c>
      <c r="C21" s="149">
        <v>100</v>
      </c>
      <c r="D21" s="20">
        <f>129*C21/1000</f>
        <v>12.9</v>
      </c>
      <c r="E21" s="20">
        <f>334.2*C21/1000</f>
        <v>33.42</v>
      </c>
      <c r="F21" s="20">
        <f>132.2*C21/1000</f>
        <v>13.219999999999999</v>
      </c>
      <c r="G21" s="20">
        <f>4080*C21/1000</f>
        <v>408</v>
      </c>
      <c r="H21" s="20">
        <f>400*C21/1000</f>
        <v>40</v>
      </c>
      <c r="I21" s="20">
        <f>3.6*C21/1000</f>
        <v>0.36</v>
      </c>
      <c r="J21" s="20">
        <f>42.8*C21/1000</f>
        <v>4.28</v>
      </c>
      <c r="K21" s="20">
        <f>115*C21/1000</f>
        <v>11.5</v>
      </c>
      <c r="L21" s="20">
        <f>1541.6*C21/1000</f>
        <v>154.16</v>
      </c>
      <c r="M21" s="20">
        <f>32*C21/1000</f>
        <v>3.2</v>
      </c>
    </row>
    <row r="22" spans="1:13" x14ac:dyDescent="0.25">
      <c r="A22" s="20">
        <v>359</v>
      </c>
      <c r="B22" s="148" t="s">
        <v>146</v>
      </c>
      <c r="C22" s="149">
        <v>200</v>
      </c>
      <c r="D22" s="20">
        <f>1.6*C22/1000</f>
        <v>0.32</v>
      </c>
      <c r="E22" s="20">
        <f>0</f>
        <v>0</v>
      </c>
      <c r="F22" s="20">
        <f>197*C22/1000</f>
        <v>39.4</v>
      </c>
      <c r="G22" s="20">
        <f>800*C22/1000</f>
        <v>160</v>
      </c>
      <c r="H22" s="20">
        <f>0</f>
        <v>0</v>
      </c>
      <c r="I22" s="20">
        <f>0.1*C22/1000</f>
        <v>0.02</v>
      </c>
      <c r="J22" s="20">
        <f>12*C22/1000</f>
        <v>2.4</v>
      </c>
      <c r="K22" s="20">
        <f>112.3*C22/1000</f>
        <v>22.46</v>
      </c>
      <c r="L22" s="20">
        <f>92.5*C22/1000</f>
        <v>18.5</v>
      </c>
      <c r="M22" s="20">
        <f>0.96*C22/1000</f>
        <v>0.192</v>
      </c>
    </row>
    <row r="23" spans="1:13" x14ac:dyDescent="0.25">
      <c r="A23" s="152" t="s">
        <v>66</v>
      </c>
      <c r="B23" s="148" t="s">
        <v>33</v>
      </c>
      <c r="C23" s="149">
        <v>40</v>
      </c>
      <c r="D23" s="20">
        <f>107*C23/1000</f>
        <v>4.28</v>
      </c>
      <c r="E23" s="20">
        <f>45*C23/1000</f>
        <v>1.8</v>
      </c>
      <c r="F23" s="20">
        <f>435*C23/1000</f>
        <v>17.399999999999999</v>
      </c>
      <c r="G23" s="20">
        <f>2740*C23/1000</f>
        <v>109.6</v>
      </c>
      <c r="H23" s="20">
        <f>0</f>
        <v>0</v>
      </c>
      <c r="I23" s="20">
        <f>4.1*C23/1000</f>
        <v>0.16400000000000001</v>
      </c>
      <c r="J23" s="20">
        <f>2*C23/1000</f>
        <v>0.08</v>
      </c>
      <c r="K23" s="20">
        <f>1250*C23/1000</f>
        <v>50</v>
      </c>
      <c r="L23" s="20">
        <f>1290*C23/1000</f>
        <v>51.6</v>
      </c>
      <c r="M23" s="20">
        <f>36*C23/1000</f>
        <v>1.44</v>
      </c>
    </row>
    <row r="24" spans="1:13" x14ac:dyDescent="0.25">
      <c r="A24" s="153" t="s">
        <v>70</v>
      </c>
      <c r="B24" s="148" t="s">
        <v>3</v>
      </c>
      <c r="C24" s="149">
        <v>20</v>
      </c>
      <c r="D24" s="150">
        <f>85*C24/1000</f>
        <v>1.7</v>
      </c>
      <c r="E24" s="150">
        <f>33*C24/1000</f>
        <v>0.66</v>
      </c>
      <c r="F24" s="150">
        <f>425*C24/1000</f>
        <v>8.5</v>
      </c>
      <c r="G24" s="150">
        <f>2590*C24/1000</f>
        <v>51.8</v>
      </c>
      <c r="H24" s="154">
        <f>0</f>
        <v>0</v>
      </c>
      <c r="I24" s="150">
        <f>4.3*C24/1000</f>
        <v>8.5999999999999993E-2</v>
      </c>
      <c r="J24" s="150">
        <f>4*C24/1000</f>
        <v>0.08</v>
      </c>
      <c r="K24" s="150">
        <f>730*C24/1000</f>
        <v>14.6</v>
      </c>
      <c r="L24" s="150">
        <f>1250*C24/1000</f>
        <v>25</v>
      </c>
      <c r="M24" s="150">
        <f>28.3*C24/1000</f>
        <v>0.56599999999999995</v>
      </c>
    </row>
    <row r="25" spans="1:13" x14ac:dyDescent="0.25">
      <c r="A25" s="181"/>
      <c r="B25" s="148"/>
      <c r="C25" s="149">
        <f>SUM(C18:C24)</f>
        <v>800</v>
      </c>
      <c r="D25" s="179"/>
      <c r="E25" s="179"/>
      <c r="F25" s="179"/>
      <c r="G25" s="179"/>
      <c r="H25" s="173"/>
      <c r="I25" s="179"/>
      <c r="J25" s="179"/>
      <c r="K25" s="179"/>
      <c r="L25" s="179"/>
      <c r="M25" s="179"/>
    </row>
    <row r="26" spans="1:13" ht="18.75" x14ac:dyDescent="0.25">
      <c r="A26" s="165"/>
      <c r="B26" s="159" t="s">
        <v>71</v>
      </c>
      <c r="C26" s="166">
        <f>C25+C16</f>
        <v>1400</v>
      </c>
      <c r="D26" s="161">
        <f t="shared" ref="D26:M26" si="10">D16+D25</f>
        <v>28.430000000000003</v>
      </c>
      <c r="E26" s="161">
        <f t="shared" si="10"/>
        <v>30.255000000000003</v>
      </c>
      <c r="F26" s="161">
        <f t="shared" si="10"/>
        <v>88.194999999999993</v>
      </c>
      <c r="G26" s="161">
        <f t="shared" si="10"/>
        <v>752.65</v>
      </c>
      <c r="H26" s="161">
        <f t="shared" si="10"/>
        <v>214.55</v>
      </c>
      <c r="I26" s="161">
        <f t="shared" si="10"/>
        <v>0.46149999999999997</v>
      </c>
      <c r="J26" s="161">
        <f t="shared" si="10"/>
        <v>2.8649999999999998</v>
      </c>
      <c r="K26" s="161">
        <f t="shared" si="10"/>
        <v>622.5</v>
      </c>
      <c r="L26" s="161">
        <f t="shared" si="10"/>
        <v>605.80000000000007</v>
      </c>
      <c r="M26" s="161">
        <f t="shared" si="10"/>
        <v>3.6914999999999996</v>
      </c>
    </row>
    <row r="27" spans="1:13" ht="18" customHeight="1" x14ac:dyDescent="0.25">
      <c r="A27" s="162"/>
      <c r="B27" s="19" t="s">
        <v>170</v>
      </c>
      <c r="C27" s="20">
        <v>1200</v>
      </c>
      <c r="D27" s="21">
        <v>45</v>
      </c>
      <c r="E27" s="21">
        <v>46</v>
      </c>
      <c r="F27" s="21">
        <v>192</v>
      </c>
      <c r="G27" s="21">
        <v>1360</v>
      </c>
      <c r="H27" s="21">
        <v>450</v>
      </c>
      <c r="I27" s="21">
        <v>0.7</v>
      </c>
      <c r="J27" s="21">
        <v>35</v>
      </c>
      <c r="K27" s="21">
        <v>600</v>
      </c>
      <c r="L27" s="21">
        <v>600</v>
      </c>
      <c r="M27" s="21">
        <v>9</v>
      </c>
    </row>
    <row r="28" spans="1:13" ht="18" customHeight="1" x14ac:dyDescent="0.25">
      <c r="A28" s="163"/>
      <c r="B28" s="23"/>
      <c r="C28" s="24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ht="11.45" customHeight="1" x14ac:dyDescent="0.25">
      <c r="A29" s="163"/>
      <c r="B29" s="23"/>
      <c r="C29" s="24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18" hidden="1" customHeight="1" x14ac:dyDescent="0.25">
      <c r="A30" s="163"/>
      <c r="B30" s="23"/>
      <c r="C30" s="24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ht="18" hidden="1" customHeight="1" x14ac:dyDescent="0.25">
      <c r="A31" s="163"/>
      <c r="B31" s="23"/>
      <c r="C31" s="24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ht="22.15" hidden="1" customHeight="1" x14ac:dyDescent="0.25">
      <c r="D32" s="32"/>
      <c r="E32" s="32"/>
      <c r="F32" s="32"/>
      <c r="G32" s="32"/>
      <c r="H32" s="32"/>
      <c r="I32" s="32"/>
      <c r="J32" s="32"/>
      <c r="K32" s="32"/>
      <c r="L32" s="32"/>
      <c r="M32" s="32"/>
    </row>
  </sheetData>
  <mergeCells count="11">
    <mergeCell ref="A2:B2"/>
    <mergeCell ref="A3:B3"/>
    <mergeCell ref="A4:B4"/>
    <mergeCell ref="K5:M6"/>
    <mergeCell ref="D6:F6"/>
    <mergeCell ref="A5:A7"/>
    <mergeCell ref="B5:B7"/>
    <mergeCell ref="C5:C7"/>
    <mergeCell ref="D5:F5"/>
    <mergeCell ref="G5:G7"/>
    <mergeCell ref="H5:J6"/>
  </mergeCells>
  <pageMargins left="0.7" right="0.7" top="0.75" bottom="0.75" header="0.3" footer="0.3"/>
  <pageSetup paperSize="9" scale="87" fitToWidth="0" orientation="landscape" r:id="rId1"/>
  <rowBreaks count="1" manualBreakCount="1">
    <brk id="29" max="12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10</vt:i4>
      </vt:variant>
    </vt:vector>
  </HeadingPairs>
  <TitlesOfParts>
    <vt:vector size="23" baseType="lpstr">
      <vt:lpstr>Цикличное меню 1-4кл зо</vt:lpstr>
      <vt:lpstr>Распределение по нормам</vt:lpstr>
      <vt:lpstr>Ведомость 12-18 лет</vt:lpstr>
      <vt:lpstr>1 пон</vt:lpstr>
      <vt:lpstr>1 вт</vt:lpstr>
      <vt:lpstr>1 ср</vt:lpstr>
      <vt:lpstr>1 чет</vt:lpstr>
      <vt:lpstr>1 пят</vt:lpstr>
      <vt:lpstr>2 пон</vt:lpstr>
      <vt:lpstr>2 втор</vt:lpstr>
      <vt:lpstr>2 сред</vt:lpstr>
      <vt:lpstr>2 четв</vt:lpstr>
      <vt:lpstr>2 пят</vt:lpstr>
      <vt:lpstr>'1 вт'!Область_печати</vt:lpstr>
      <vt:lpstr>'1 пон'!Область_печати</vt:lpstr>
      <vt:lpstr>'1 пят'!Область_печати</vt:lpstr>
      <vt:lpstr>'1 ср'!Область_печати</vt:lpstr>
      <vt:lpstr>'1 чет'!Область_печати</vt:lpstr>
      <vt:lpstr>'2 втор'!Область_печати</vt:lpstr>
      <vt:lpstr>'2 пон'!Область_печати</vt:lpstr>
      <vt:lpstr>'2 пят'!Область_печати</vt:lpstr>
      <vt:lpstr>'2 сред'!Область_печати</vt:lpstr>
      <vt:lpstr>'2 четв'!Область_печати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2025-09-05T10:43:24Z</dcterms:modified>
</cp:coreProperties>
</file>