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384" firstSheet="1" activeTab="1"/>
  </bookViews>
  <sheets>
    <sheet name="Завтрак началка" sheetId="2" r:id="rId1"/>
    <sheet name="обед началка" sheetId="5" r:id="rId2"/>
    <sheet name="Льготники" sheetId="4" r:id="rId3"/>
  </sheets>
  <definedNames>
    <definedName name="_xlnm.Print_Area" localSheetId="0">'Завтрак началка'!$A$1:$I$136</definedName>
    <definedName name="_xlnm.Print_Area" localSheetId="2">Льготники!$A$1:$I$239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4" i="5" l="1"/>
  <c r="G124" i="5"/>
  <c r="F124" i="5"/>
  <c r="E124" i="5"/>
  <c r="H129" i="4" l="1"/>
  <c r="G129" i="4"/>
  <c r="F129" i="4"/>
  <c r="E129" i="4"/>
  <c r="H66" i="4"/>
  <c r="G66" i="4"/>
  <c r="F66" i="4"/>
  <c r="E66" i="4"/>
  <c r="H61" i="4"/>
  <c r="G61" i="4"/>
  <c r="F61" i="4"/>
  <c r="E61" i="4"/>
  <c r="H38" i="4"/>
  <c r="G38" i="4"/>
  <c r="F38" i="4"/>
  <c r="E38" i="4"/>
  <c r="H110" i="5"/>
  <c r="G110" i="5"/>
  <c r="F110" i="5"/>
  <c r="E110" i="5"/>
  <c r="H98" i="5"/>
  <c r="G98" i="5"/>
  <c r="F98" i="5"/>
  <c r="E98" i="5"/>
  <c r="H95" i="5"/>
  <c r="G95" i="5"/>
  <c r="F95" i="5"/>
  <c r="E95" i="5"/>
  <c r="H79" i="5"/>
  <c r="G79" i="5"/>
  <c r="F79" i="5"/>
  <c r="E79" i="5"/>
  <c r="H41" i="5"/>
  <c r="G41" i="5"/>
  <c r="F41" i="5"/>
  <c r="E41" i="5"/>
  <c r="H7" i="5"/>
  <c r="G7" i="5"/>
  <c r="F7" i="5"/>
  <c r="E7" i="5"/>
  <c r="H178" i="4" l="1"/>
  <c r="G178" i="4"/>
  <c r="F178" i="4"/>
  <c r="E178" i="4"/>
  <c r="H154" i="4"/>
  <c r="G154" i="4"/>
  <c r="F154" i="4"/>
  <c r="E154" i="4"/>
  <c r="H99" i="5" l="1"/>
  <c r="G99" i="5"/>
  <c r="F99" i="5"/>
  <c r="E99" i="5"/>
  <c r="D101" i="5"/>
  <c r="E101" i="5" l="1"/>
  <c r="F101" i="5"/>
  <c r="G101" i="5"/>
  <c r="H101" i="5"/>
  <c r="D145" i="5"/>
  <c r="H140" i="5"/>
  <c r="G140" i="5"/>
  <c r="F140" i="5"/>
  <c r="E140" i="5"/>
  <c r="H138" i="5"/>
  <c r="G138" i="5"/>
  <c r="F138" i="5"/>
  <c r="E138" i="5"/>
  <c r="H137" i="5"/>
  <c r="G137" i="5"/>
  <c r="F137" i="5"/>
  <c r="E137" i="5"/>
  <c r="D130" i="5"/>
  <c r="H127" i="5"/>
  <c r="G127" i="5"/>
  <c r="G130" i="5" s="1"/>
  <c r="F127" i="5"/>
  <c r="E127" i="5"/>
  <c r="H126" i="5"/>
  <c r="F126" i="5"/>
  <c r="E126" i="5"/>
  <c r="D116" i="5"/>
  <c r="H113" i="5"/>
  <c r="G113" i="5"/>
  <c r="F113" i="5"/>
  <c r="E113" i="5"/>
  <c r="H112" i="5"/>
  <c r="G112" i="5"/>
  <c r="F112" i="5"/>
  <c r="E112" i="5"/>
  <c r="H109" i="5"/>
  <c r="G109" i="5"/>
  <c r="F109" i="5"/>
  <c r="E109" i="5"/>
  <c r="D86" i="5"/>
  <c r="H85" i="5"/>
  <c r="G85" i="5"/>
  <c r="F85" i="5"/>
  <c r="E84" i="5"/>
  <c r="H82" i="5"/>
  <c r="G82" i="5"/>
  <c r="F82" i="5"/>
  <c r="E82" i="5"/>
  <c r="H81" i="5"/>
  <c r="G81" i="5"/>
  <c r="F81" i="5"/>
  <c r="E81" i="5"/>
  <c r="D71" i="5"/>
  <c r="H70" i="5"/>
  <c r="G70" i="5"/>
  <c r="F70" i="5"/>
  <c r="E70" i="5"/>
  <c r="H64" i="5"/>
  <c r="G64" i="5"/>
  <c r="F64" i="5"/>
  <c r="E64" i="5"/>
  <c r="D56" i="5"/>
  <c r="H55" i="5"/>
  <c r="G55" i="5"/>
  <c r="F55" i="5"/>
  <c r="E55" i="5"/>
  <c r="H52" i="5"/>
  <c r="G52" i="5"/>
  <c r="F52" i="5"/>
  <c r="E52" i="5"/>
  <c r="D42" i="5"/>
  <c r="H36" i="5"/>
  <c r="G36" i="5"/>
  <c r="F36" i="5"/>
  <c r="E36" i="5"/>
  <c r="D28" i="5"/>
  <c r="H27" i="5"/>
  <c r="G27" i="5"/>
  <c r="F27" i="5"/>
  <c r="E27" i="5"/>
  <c r="H24" i="5"/>
  <c r="G24" i="5"/>
  <c r="F24" i="5"/>
  <c r="E24" i="5"/>
  <c r="H23" i="5"/>
  <c r="G23" i="5"/>
  <c r="F23" i="5"/>
  <c r="E23" i="5"/>
  <c r="H21" i="5"/>
  <c r="G21" i="5"/>
  <c r="F21" i="5"/>
  <c r="E21" i="5"/>
  <c r="D13" i="5"/>
  <c r="H12" i="5"/>
  <c r="G12" i="5"/>
  <c r="F12" i="5"/>
  <c r="E12" i="5"/>
  <c r="H8" i="5"/>
  <c r="G8" i="5"/>
  <c r="F8" i="5"/>
  <c r="E8" i="5"/>
  <c r="H198" i="4"/>
  <c r="G198" i="4"/>
  <c r="F198" i="4"/>
  <c r="D198" i="4"/>
  <c r="H194" i="4"/>
  <c r="G194" i="4"/>
  <c r="F194" i="4"/>
  <c r="E194" i="4"/>
  <c r="E198" i="4" s="1"/>
  <c r="G193" i="4"/>
  <c r="F130" i="5" l="1"/>
  <c r="H130" i="5"/>
  <c r="E13" i="5"/>
  <c r="F71" i="5"/>
  <c r="F13" i="5"/>
  <c r="G13" i="5"/>
  <c r="H13" i="5"/>
  <c r="G116" i="5"/>
  <c r="H56" i="5"/>
  <c r="H116" i="5"/>
  <c r="E28" i="5"/>
  <c r="E56" i="5"/>
  <c r="E145" i="5"/>
  <c r="F28" i="5"/>
  <c r="F56" i="5"/>
  <c r="E71" i="5"/>
  <c r="G28" i="5"/>
  <c r="E130" i="5"/>
  <c r="H71" i="5"/>
  <c r="H145" i="5"/>
  <c r="E86" i="5"/>
  <c r="G86" i="5"/>
  <c r="G42" i="5"/>
  <c r="H42" i="5"/>
  <c r="H28" i="5"/>
  <c r="G71" i="5"/>
  <c r="F145" i="5"/>
  <c r="G145" i="5"/>
  <c r="H86" i="5"/>
  <c r="F86" i="5"/>
  <c r="F42" i="5"/>
  <c r="E42" i="5"/>
  <c r="E116" i="5"/>
  <c r="G56" i="5"/>
  <c r="F116" i="5"/>
  <c r="D127" i="4" l="1"/>
  <c r="H99" i="4"/>
  <c r="F99" i="4"/>
  <c r="E99" i="4"/>
  <c r="D13" i="4"/>
  <c r="D21" i="4"/>
  <c r="H77" i="4"/>
  <c r="G77" i="4"/>
  <c r="F77" i="4"/>
  <c r="E77" i="4"/>
  <c r="G76" i="4"/>
  <c r="D59" i="4"/>
  <c r="D80" i="2" l="1"/>
  <c r="H79" i="2"/>
  <c r="G79" i="2"/>
  <c r="F79" i="2"/>
  <c r="E79" i="2"/>
  <c r="D120" i="2"/>
  <c r="H116" i="2"/>
  <c r="H120" i="2" s="1"/>
  <c r="G116" i="2"/>
  <c r="F116" i="2"/>
  <c r="F120" i="2" s="1"/>
  <c r="E116" i="2"/>
  <c r="E120" i="2" s="1"/>
  <c r="G115" i="2"/>
  <c r="G120" i="2" s="1"/>
  <c r="H14" i="2"/>
  <c r="G14" i="2"/>
  <c r="F14" i="2"/>
  <c r="E14" i="2"/>
  <c r="D14" i="2"/>
  <c r="D41" i="2"/>
  <c r="E85" i="4" l="1"/>
  <c r="H224" i="4" l="1"/>
  <c r="G224" i="4"/>
  <c r="F224" i="4"/>
  <c r="E224" i="4"/>
  <c r="D229" i="4" l="1"/>
  <c r="H222" i="4"/>
  <c r="G222" i="4"/>
  <c r="F222" i="4"/>
  <c r="E222" i="4"/>
  <c r="H221" i="4"/>
  <c r="G221" i="4"/>
  <c r="F221" i="4"/>
  <c r="E221" i="4"/>
  <c r="D219" i="4"/>
  <c r="H218" i="4"/>
  <c r="H219" i="4" s="1"/>
  <c r="G218" i="4"/>
  <c r="G219" i="4" s="1"/>
  <c r="F218" i="4"/>
  <c r="F219" i="4" s="1"/>
  <c r="E218" i="4"/>
  <c r="E219" i="4" s="1"/>
  <c r="D206" i="4"/>
  <c r="H203" i="4"/>
  <c r="G203" i="4"/>
  <c r="F203" i="4"/>
  <c r="E203" i="4"/>
  <c r="H202" i="4"/>
  <c r="F202" i="4"/>
  <c r="E202" i="4"/>
  <c r="D184" i="4"/>
  <c r="H181" i="4"/>
  <c r="G181" i="4"/>
  <c r="F181" i="4"/>
  <c r="E181" i="4"/>
  <c r="H180" i="4"/>
  <c r="G180" i="4"/>
  <c r="F180" i="4"/>
  <c r="E180" i="4"/>
  <c r="H177" i="4"/>
  <c r="G177" i="4"/>
  <c r="F177" i="4"/>
  <c r="E177" i="4"/>
  <c r="D175" i="4"/>
  <c r="H171" i="4"/>
  <c r="G171" i="4"/>
  <c r="F171" i="4"/>
  <c r="E171" i="4"/>
  <c r="H169" i="4"/>
  <c r="G169" i="4"/>
  <c r="F169" i="4"/>
  <c r="E169" i="4"/>
  <c r="D160" i="4"/>
  <c r="H158" i="4"/>
  <c r="G158" i="4"/>
  <c r="F158" i="4"/>
  <c r="E158" i="4"/>
  <c r="G151" i="4"/>
  <c r="D151" i="4"/>
  <c r="E150" i="4"/>
  <c r="H146" i="4"/>
  <c r="H151" i="4" s="1"/>
  <c r="F146" i="4"/>
  <c r="F151" i="4" s="1"/>
  <c r="E146" i="4"/>
  <c r="D136" i="4"/>
  <c r="H135" i="4"/>
  <c r="G135" i="4"/>
  <c r="F135" i="4"/>
  <c r="E134" i="4"/>
  <c r="H132" i="4"/>
  <c r="G132" i="4"/>
  <c r="F132" i="4"/>
  <c r="E132" i="4"/>
  <c r="H131" i="4"/>
  <c r="G131" i="4"/>
  <c r="F131" i="4"/>
  <c r="E131" i="4"/>
  <c r="H126" i="4"/>
  <c r="G126" i="4"/>
  <c r="F126" i="4"/>
  <c r="E126" i="4"/>
  <c r="H122" i="4"/>
  <c r="G122" i="4"/>
  <c r="F122" i="4"/>
  <c r="E122" i="4"/>
  <c r="H121" i="4"/>
  <c r="G121" i="4"/>
  <c r="F121" i="4"/>
  <c r="E121" i="4"/>
  <c r="D112" i="4"/>
  <c r="H111" i="4"/>
  <c r="G111" i="4"/>
  <c r="F111" i="4"/>
  <c r="E111" i="4"/>
  <c r="D103" i="4"/>
  <c r="H102" i="4"/>
  <c r="G102" i="4"/>
  <c r="G103" i="4" s="1"/>
  <c r="F102" i="4"/>
  <c r="E102" i="4"/>
  <c r="H103" i="4"/>
  <c r="D90" i="4"/>
  <c r="H89" i="4"/>
  <c r="G89" i="4"/>
  <c r="F89" i="4"/>
  <c r="E89" i="4"/>
  <c r="E90" i="4" s="1"/>
  <c r="H85" i="4"/>
  <c r="G85" i="4"/>
  <c r="F85" i="4"/>
  <c r="D81" i="4"/>
  <c r="H81" i="4"/>
  <c r="D67" i="4"/>
  <c r="D45" i="4"/>
  <c r="H44" i="4"/>
  <c r="G44" i="4"/>
  <c r="F44" i="4"/>
  <c r="E44" i="4"/>
  <c r="H41" i="4"/>
  <c r="G41" i="4"/>
  <c r="F41" i="4"/>
  <c r="E41" i="4"/>
  <c r="H40" i="4"/>
  <c r="G40" i="4"/>
  <c r="F40" i="4"/>
  <c r="E40" i="4"/>
  <c r="D36" i="4"/>
  <c r="H32" i="4"/>
  <c r="H36" i="4" s="1"/>
  <c r="G32" i="4"/>
  <c r="G36" i="4" s="1"/>
  <c r="F32" i="4"/>
  <c r="F36" i="4" s="1"/>
  <c r="E32" i="4"/>
  <c r="E36" i="4" s="1"/>
  <c r="H20" i="4"/>
  <c r="G20" i="4"/>
  <c r="F20" i="4"/>
  <c r="E20" i="4"/>
  <c r="H16" i="4"/>
  <c r="G16" i="4"/>
  <c r="F16" i="4"/>
  <c r="E16" i="4"/>
  <c r="H56" i="4"/>
  <c r="F56" i="4"/>
  <c r="E56" i="4"/>
  <c r="H54" i="4"/>
  <c r="G54" i="4"/>
  <c r="G59" i="4" s="1"/>
  <c r="F54" i="4"/>
  <c r="E54" i="4"/>
  <c r="D131" i="2"/>
  <c r="H130" i="2"/>
  <c r="H131" i="2" s="1"/>
  <c r="G130" i="2"/>
  <c r="G131" i="2" s="1"/>
  <c r="F130" i="2"/>
  <c r="F131" i="2" s="1"/>
  <c r="E130" i="2"/>
  <c r="E131" i="2" s="1"/>
  <c r="D107" i="2"/>
  <c r="H103" i="2"/>
  <c r="G103" i="2"/>
  <c r="F103" i="2"/>
  <c r="E103" i="2"/>
  <c r="H101" i="2"/>
  <c r="G101" i="2"/>
  <c r="F101" i="2"/>
  <c r="E101" i="2"/>
  <c r="G93" i="2"/>
  <c r="D93" i="2"/>
  <c r="E92" i="2"/>
  <c r="H89" i="2"/>
  <c r="H93" i="2" s="1"/>
  <c r="F89" i="2"/>
  <c r="F93" i="2" s="1"/>
  <c r="E89" i="2"/>
  <c r="H75" i="2"/>
  <c r="G75" i="2"/>
  <c r="F75" i="2"/>
  <c r="E75" i="2"/>
  <c r="H74" i="2"/>
  <c r="D66" i="2"/>
  <c r="H65" i="2"/>
  <c r="G65" i="2"/>
  <c r="G66" i="2" s="1"/>
  <c r="F65" i="2"/>
  <c r="E65" i="2"/>
  <c r="H62" i="2"/>
  <c r="F62" i="2"/>
  <c r="E62" i="2"/>
  <c r="D54" i="2"/>
  <c r="H50" i="2"/>
  <c r="G50" i="2"/>
  <c r="F50" i="2"/>
  <c r="E50" i="2"/>
  <c r="G49" i="2"/>
  <c r="D28" i="2"/>
  <c r="H24" i="2"/>
  <c r="H28" i="2" s="1"/>
  <c r="G24" i="2"/>
  <c r="G28" i="2" s="1"/>
  <c r="F24" i="2"/>
  <c r="F28" i="2" s="1"/>
  <c r="E24" i="2"/>
  <c r="E28" i="2" s="1"/>
  <c r="H38" i="2"/>
  <c r="F38" i="2"/>
  <c r="E38" i="2"/>
  <c r="H36" i="2"/>
  <c r="G36" i="2"/>
  <c r="G41" i="2" s="1"/>
  <c r="F36" i="2"/>
  <c r="E36" i="2"/>
  <c r="E229" i="4" l="1"/>
  <c r="E230" i="4" s="1"/>
  <c r="F229" i="4"/>
  <c r="F230" i="4" s="1"/>
  <c r="H229" i="4"/>
  <c r="H230" i="4" s="1"/>
  <c r="F136" i="4"/>
  <c r="F175" i="4"/>
  <c r="E175" i="4"/>
  <c r="E103" i="4"/>
  <c r="G136" i="4"/>
  <c r="H175" i="4"/>
  <c r="E127" i="4"/>
  <c r="F127" i="4"/>
  <c r="F137" i="4" s="1"/>
  <c r="G67" i="4"/>
  <c r="G68" i="4" s="1"/>
  <c r="H136" i="4"/>
  <c r="G127" i="4"/>
  <c r="G175" i="4"/>
  <c r="H67" i="4"/>
  <c r="H13" i="4"/>
  <c r="H59" i="4"/>
  <c r="E59" i="4"/>
  <c r="F13" i="4"/>
  <c r="F59" i="4"/>
  <c r="H127" i="4"/>
  <c r="E112" i="4"/>
  <c r="G90" i="4"/>
  <c r="G112" i="4"/>
  <c r="G113" i="4" s="1"/>
  <c r="F112" i="4"/>
  <c r="E81" i="4"/>
  <c r="E91" i="4" s="1"/>
  <c r="F81" i="4"/>
  <c r="E41" i="2"/>
  <c r="F41" i="2"/>
  <c r="H41" i="2"/>
  <c r="G160" i="4"/>
  <c r="G161" i="4" s="1"/>
  <c r="F45" i="4"/>
  <c r="F46" i="4" s="1"/>
  <c r="G45" i="4"/>
  <c r="G46" i="4" s="1"/>
  <c r="H45" i="4"/>
  <c r="H46" i="4" s="1"/>
  <c r="H112" i="4"/>
  <c r="H113" i="4" s="1"/>
  <c r="F21" i="4"/>
  <c r="H160" i="4"/>
  <c r="H161" i="4" s="1"/>
  <c r="E45" i="4"/>
  <c r="E46" i="4" s="1"/>
  <c r="H21" i="4"/>
  <c r="E136" i="4"/>
  <c r="G13" i="4"/>
  <c r="G184" i="4"/>
  <c r="G21" i="4"/>
  <c r="H184" i="4"/>
  <c r="G229" i="4"/>
  <c r="G230" i="4" s="1"/>
  <c r="E13" i="4"/>
  <c r="E206" i="4"/>
  <c r="E207" i="4" s="1"/>
  <c r="E21" i="4"/>
  <c r="E67" i="4"/>
  <c r="H90" i="4"/>
  <c r="H91" i="4" s="1"/>
  <c r="F103" i="4"/>
  <c r="E151" i="4"/>
  <c r="E160" i="4"/>
  <c r="F206" i="4"/>
  <c r="F207" i="4" s="1"/>
  <c r="G206" i="4"/>
  <c r="G207" i="4" s="1"/>
  <c r="F67" i="4"/>
  <c r="G81" i="4"/>
  <c r="F160" i="4"/>
  <c r="F161" i="4" s="1"/>
  <c r="H206" i="4"/>
  <c r="H207" i="4" s="1"/>
  <c r="F90" i="4"/>
  <c r="F184" i="4"/>
  <c r="E184" i="4"/>
  <c r="F66" i="2"/>
  <c r="H80" i="2"/>
  <c r="F107" i="2"/>
  <c r="H66" i="2"/>
  <c r="H54" i="2"/>
  <c r="G80" i="2"/>
  <c r="E66" i="2"/>
  <c r="F80" i="2"/>
  <c r="E107" i="2"/>
  <c r="G107" i="2"/>
  <c r="E54" i="2"/>
  <c r="H107" i="2"/>
  <c r="G54" i="2"/>
  <c r="E80" i="2"/>
  <c r="F54" i="2"/>
  <c r="E93" i="2"/>
  <c r="E137" i="4" l="1"/>
  <c r="E185" i="4"/>
  <c r="H68" i="4"/>
  <c r="F185" i="4"/>
  <c r="H137" i="4"/>
  <c r="F91" i="4"/>
  <c r="G137" i="4"/>
  <c r="E113" i="4"/>
  <c r="G185" i="4"/>
  <c r="H185" i="4"/>
  <c r="H22" i="4"/>
  <c r="E68" i="4"/>
  <c r="F68" i="4"/>
  <c r="F22" i="4"/>
  <c r="F113" i="4"/>
  <c r="G91" i="4"/>
  <c r="E161" i="4"/>
  <c r="E22" i="4"/>
  <c r="G22" i="4"/>
</calcChain>
</file>

<file path=xl/sharedStrings.xml><?xml version="1.0" encoding="utf-8"?>
<sst xmlns="http://schemas.openxmlformats.org/spreadsheetml/2006/main" count="767" uniqueCount="94">
  <si>
    <t>Неделя:  первая</t>
  </si>
  <si>
    <t>Возрастная категория:  7-11 лет</t>
  </si>
  <si>
    <t>1 день</t>
  </si>
  <si>
    <t>Прием пищи, наименование блюда</t>
  </si>
  <si>
    <t>Масса порции</t>
  </si>
  <si>
    <t>Пищевые вещества 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</si>
  <si>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</si>
  <si>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</si>
  <si>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</si>
  <si>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</si>
  <si>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</si>
  <si>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</si>
  <si>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Кофейный напиток с молоком</t>
  </si>
  <si>
    <t>Сыр порциями</t>
  </si>
  <si>
    <t>Хлеб пшеничный</t>
  </si>
  <si>
    <t>ПП</t>
  </si>
  <si>
    <t>Хлеб ржано — пшеничный</t>
  </si>
  <si>
    <t>Фрукты свежие</t>
  </si>
  <si>
    <t>Итого за завтрак:</t>
  </si>
  <si>
    <t>ОБЕД</t>
  </si>
  <si>
    <t>Макаронные изделия отварные</t>
  </si>
  <si>
    <t>Котлеты мясные с соусом томатным</t>
  </si>
  <si>
    <t>Дополнительный гарнир /овоши по-сезону порционно/</t>
  </si>
  <si>
    <t>Компот из свежих плодов</t>
  </si>
  <si>
    <t>Итого за обед:</t>
  </si>
  <si>
    <t>ИТОГО за весь день:</t>
  </si>
  <si>
    <t>2 день</t>
  </si>
  <si>
    <t>Рыба, тушенная в томате с овощами</t>
  </si>
  <si>
    <t>Картофельное пюре</t>
  </si>
  <si>
    <t>Салат из овощей по — сезону</t>
  </si>
  <si>
    <t>Чай с сахаром и лимоном</t>
  </si>
  <si>
    <t>180/7</t>
  </si>
  <si>
    <t>Борщ с капустой и картофелем</t>
  </si>
  <si>
    <t>Птица тушенная в соусе</t>
  </si>
  <si>
    <t xml:space="preserve">Хлеб пшеничный </t>
  </si>
  <si>
    <t>Компот из смеси сухофруктов</t>
  </si>
  <si>
    <t>ИТОГО за весь день</t>
  </si>
  <si>
    <t>3 день</t>
  </si>
  <si>
    <t>Салат из овощей по- сезону</t>
  </si>
  <si>
    <t>Плов из птицы</t>
  </si>
  <si>
    <t xml:space="preserve">Чай с сахаром </t>
  </si>
  <si>
    <t xml:space="preserve">Кондитерское изделие </t>
  </si>
  <si>
    <t>Птица, тушенная в соусе с овощами</t>
  </si>
  <si>
    <t>4 день</t>
  </si>
  <si>
    <t>Суп из овощей</t>
  </si>
  <si>
    <t>Рыба, запеченная с морковью</t>
  </si>
  <si>
    <t>5 день</t>
  </si>
  <si>
    <t>Чай с сахаром</t>
  </si>
  <si>
    <t>Суп картофельный с крупой</t>
  </si>
  <si>
    <t>Котлеты рубленные из птицы с соусом томатным</t>
  </si>
  <si>
    <t>ИТОГО за день:</t>
  </si>
  <si>
    <t>Неделя:  вторая</t>
  </si>
  <si>
    <t>6 день</t>
  </si>
  <si>
    <t>Икра кабачковая</t>
  </si>
  <si>
    <t>Омлет натуральный</t>
  </si>
  <si>
    <t>7 день</t>
  </si>
  <si>
    <t>Суп картофельный с макаронными изделиями</t>
  </si>
  <si>
    <t>8 день</t>
  </si>
  <si>
    <t>Рассольник ленинградский</t>
  </si>
  <si>
    <t>9 день</t>
  </si>
  <si>
    <t>Суп с бобовыми</t>
  </si>
  <si>
    <t>Дополнительный гарнир</t>
  </si>
  <si>
    <t>10 день</t>
  </si>
  <si>
    <t>Макаронные изделия отварные с сыром</t>
  </si>
  <si>
    <t>Тефтели I вариант</t>
  </si>
  <si>
    <t>Какао с молоком</t>
  </si>
  <si>
    <t>Москва ДеЛи плюс 2014 год. Под редакцией М.П.Могильного и В.А. Тутельяна  "Для дошкольных образовательных учреждений"</t>
  </si>
  <si>
    <t>Москва ДеЛи принт 2011 год. Под редакцией М.П.Могильного и В.А. Тутельяна " Для общеобразовательных учреждений"</t>
  </si>
  <si>
    <t xml:space="preserve">При разработке основного(организованного) меню были использованы сборники рецептур: </t>
  </si>
  <si>
    <t>Шницель рыбный с соусом томатным</t>
  </si>
  <si>
    <t>Шницель рыбный с  соусом томатным</t>
  </si>
  <si>
    <t>Запеканка из творога с яблочным соусом</t>
  </si>
  <si>
    <t>Каша гречневая</t>
  </si>
  <si>
    <t xml:space="preserve">Меню разработано Индивидуальным предпринимателем  из расчета выделенных средств на услугу  по </t>
  </si>
  <si>
    <t>организации горячего питания в школах (завртак) 78.05 руб. на 1 чел. (семьдесят восемь руб. 05 коп.)</t>
  </si>
  <si>
    <t xml:space="preserve">При разработке примерного десяти дневного  меню были использованы сборники рецептур: </t>
  </si>
  <si>
    <t>Котлета (говяжья) с соусом</t>
  </si>
  <si>
    <t>Каша рисовая молочная</t>
  </si>
  <si>
    <t>Каша овсянная молочная</t>
  </si>
  <si>
    <t>Биточки (говяжьи) с соусом</t>
  </si>
  <si>
    <t xml:space="preserve">Каша Артек </t>
  </si>
  <si>
    <t>Каша рисовая</t>
  </si>
  <si>
    <t xml:space="preserve">Каша гречневая </t>
  </si>
  <si>
    <t xml:space="preserve">Котлеты рубленные из птицы с соусом </t>
  </si>
  <si>
    <t>Возрастная категория:  12 лет и старше</t>
  </si>
  <si>
    <t xml:space="preserve">Возрастная категория:  7-11 лет </t>
  </si>
  <si>
    <t>Каша  молочная овсянная</t>
  </si>
  <si>
    <t>Булочка сдобная</t>
  </si>
  <si>
    <t>Каша  молочная рисовая</t>
  </si>
  <si>
    <t>организации горячего питания в школах (обед) 95,00 руб. на 1 чел.</t>
  </si>
  <si>
    <t>Птица тушенная в соусе с овощами</t>
  </si>
  <si>
    <t>организации горячего питания в школах (завртак и обед) 195,00 руб. на 1 чел.</t>
  </si>
  <si>
    <t>Кондитерское изделие (булочка сдобная)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</si>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</sst>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indexed="8"/>
      <name val="Calibri"/>
      <family val="2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name val="Times New Roman"/>
      <family val="1"/>
      <charset val="204"/>
    </font>
    <font>
      <sz val="12"/>
      <color indexed="8"/>
      <name val="Arial Cyr"/>
      <family val="2"/>
      <charset val="204"/>
    </font>
    <font>
      <b/>
      <sz val="10"/>
      <color indexed="63"/>
      <name val="'Times New Roman'"/>
      <family val="1"/>
      <charset val="204"/>
    </font>
    <font>
      <b/>
      <sz val="10"/>
      <color indexed="53"/>
      <name val="'Times New Roman'"/>
      <family val="1"/>
      <charset val="204"/>
    </font>
    <font>
      <sz val="10"/>
      <name val="Arial Cyr"/>
      <family val="2"/>
      <charset val="204"/>
    </font>
    <font>
      <b/>
      <sz val="11"/>
      <color indexed="63"/>
      <name val="'Times New Roman'"/>
      <family val="1"/>
      <charset val="204"/>
    </font>
    <font>
      <sz val="10"/>
      <color indexed="8"/>
      <name val="Arial Cyr"/>
      <family val="2"/>
      <charset val="204"/>
    </font>
    <font>
      <b/>
      <sz val="14"/>
      <color indexed="17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0"/>
      <name val="Arial"/>
      <family val="2"/>
      <charset val="204"/>
    </font>
    <font>
      <sz val="14"/>
      <name val="'Times New Roman'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334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 wrapText="1"/>
    </xf>
    <xf numFmtId="2" fontId="3" fillId="0" borderId="18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2" fontId="3" fillId="0" borderId="19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2" fontId="3" fillId="0" borderId="27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0" xfId="0" applyFont="1" applyBorder="1" applyAlignment="1">
      <alignment horizontal="center" wrapText="1"/>
    </xf>
    <xf numFmtId="2" fontId="8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2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/>
    <xf numFmtId="2" fontId="1" fillId="0" borderId="15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2" fontId="3" fillId="0" borderId="37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2" fontId="3" fillId="0" borderId="41" xfId="0" applyNumberFormat="1" applyFont="1" applyFill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 wrapText="1"/>
    </xf>
    <xf numFmtId="2" fontId="3" fillId="0" borderId="40" xfId="0" applyNumberFormat="1" applyFont="1" applyFill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2" fontId="3" fillId="0" borderId="27" xfId="0" applyNumberFormat="1" applyFont="1" applyFill="1" applyBorder="1" applyAlignment="1">
      <alignment horizontal="center" vertical="center" wrapText="1"/>
    </xf>
    <xf numFmtId="2" fontId="3" fillId="0" borderId="23" xfId="0" applyNumberFormat="1" applyFont="1" applyFill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2" fontId="3" fillId="0" borderId="41" xfId="0" applyNumberFormat="1" applyFont="1" applyBorder="1" applyAlignment="1">
      <alignment horizontal="center" vertical="center" wrapText="1"/>
    </xf>
    <xf numFmtId="2" fontId="3" fillId="0" borderId="37" xfId="0" applyNumberFormat="1" applyFont="1" applyBorder="1" applyAlignment="1">
      <alignment horizontal="center" vertical="center" wrapText="1"/>
    </xf>
    <xf numFmtId="2" fontId="3" fillId="0" borderId="40" xfId="0" applyNumberFormat="1" applyFont="1" applyBorder="1" applyAlignment="1">
      <alignment horizontal="center" vertical="center" wrapText="1"/>
    </xf>
    <xf numFmtId="2" fontId="3" fillId="0" borderId="37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3" fillId="0" borderId="40" xfId="0" applyNumberFormat="1" applyFont="1" applyBorder="1" applyAlignment="1">
      <alignment horizontal="center" vertical="center"/>
    </xf>
    <xf numFmtId="2" fontId="3" fillId="0" borderId="48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" fontId="3" fillId="0" borderId="34" xfId="0" applyNumberFormat="1" applyFont="1" applyBorder="1" applyAlignment="1">
      <alignment horizontal="center" vertical="center"/>
    </xf>
    <xf numFmtId="2" fontId="1" fillId="0" borderId="52" xfId="0" applyNumberFormat="1" applyFont="1" applyBorder="1" applyAlignment="1">
      <alignment horizontal="center" vertical="center" wrapText="1"/>
    </xf>
    <xf numFmtId="0" fontId="16" fillId="0" borderId="0" xfId="2" applyFont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/>
    <xf numFmtId="0" fontId="11" fillId="0" borderId="0" xfId="0" applyFont="1" applyBorder="1"/>
    <xf numFmtId="2" fontId="5" fillId="0" borderId="23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 wrapText="1"/>
    </xf>
    <xf numFmtId="2" fontId="3" fillId="0" borderId="37" xfId="0" applyNumberFormat="1" applyFont="1" applyFill="1" applyBorder="1" applyAlignment="1">
      <alignment horizontal="center" vertical="center" wrapText="1"/>
    </xf>
    <xf numFmtId="2" fontId="3" fillId="0" borderId="41" xfId="0" applyNumberFormat="1" applyFont="1" applyFill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2" fontId="3" fillId="0" borderId="40" xfId="0" applyNumberFormat="1" applyFont="1" applyFill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/>
    </xf>
    <xf numFmtId="2" fontId="3" fillId="0" borderId="8" xfId="1" applyNumberFormat="1" applyFont="1" applyFill="1" applyBorder="1" applyAlignment="1">
      <alignment horizontal="center" vertical="center" wrapText="1"/>
    </xf>
    <xf numFmtId="2" fontId="3" fillId="0" borderId="12" xfId="1" applyNumberFormat="1" applyFont="1" applyFill="1" applyBorder="1" applyAlignment="1">
      <alignment horizontal="center" vertical="center" wrapText="1"/>
    </xf>
    <xf numFmtId="2" fontId="3" fillId="0" borderId="11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18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19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/>
    </xf>
  </cellXfs>
  <cellStyles count="3">
    <cellStyle name="Default 1" xfId="2"/>
    <cellStyle name="Excel Built-in Explanatory Tex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IK137"/>
  <sheetViews>
    <sheetView view="pageBreakPreview" topLeftCell="A115" zoomScaleNormal="100" zoomScaleSheetLayoutView="100" workbookViewId="0">
      <selection activeCell="A8" sqref="A8:H13"/>
    </sheetView>
  </sheetViews>
  <sheetFormatPr defaultColWidth="11" defaultRowHeight="14.4"/>
  <cols>
    <col min="1" max="1" width="8.5546875" style="56" customWidth="1"/>
    <col min="2" max="2" width="5.44140625" style="56" customWidth="1"/>
    <col min="3" max="3" width="33.44140625" style="56" customWidth="1"/>
    <col min="4" max="4" width="12.109375" style="56" customWidth="1"/>
    <col min="5" max="5" width="10.88671875" style="56" customWidth="1"/>
    <col min="6" max="6" width="10.6640625" style="56" customWidth="1"/>
    <col min="7" max="7" width="11.33203125" style="56" customWidth="1"/>
    <col min="8" max="8" width="18.5546875" style="56" customWidth="1"/>
    <col min="9" max="9" width="15.88671875" style="56" customWidth="1"/>
    <col min="10" max="222" width="8.6640625" style="56" customWidth="1"/>
    <col min="223" max="16384" width="11" style="56"/>
  </cols>
  <sheetData>
    <row r="2" spans="1:245" ht="15.6">
      <c r="A2" s="193" t="s">
        <v>0</v>
      </c>
      <c r="B2" s="193"/>
      <c r="C2" s="193"/>
      <c r="D2" s="57"/>
      <c r="E2" s="58"/>
      <c r="F2" s="59"/>
      <c r="G2" s="59"/>
      <c r="H2" s="59"/>
      <c r="I2" s="59"/>
    </row>
    <row r="3" spans="1:245" ht="16.2" thickBot="1">
      <c r="A3" s="193" t="s">
        <v>1</v>
      </c>
      <c r="B3" s="193"/>
      <c r="C3" s="193"/>
      <c r="D3" s="57"/>
      <c r="E3" s="58"/>
      <c r="F3" s="59"/>
      <c r="G3" s="59"/>
      <c r="H3" s="59"/>
      <c r="I3" s="59"/>
    </row>
    <row r="4" spans="1:245" ht="16.5" customHeight="1" thickBot="1">
      <c r="A4" s="212" t="s">
        <v>2</v>
      </c>
      <c r="B4" s="213"/>
      <c r="C4" s="213"/>
      <c r="D4" s="213"/>
      <c r="E4" s="213"/>
      <c r="F4" s="213"/>
      <c r="G4" s="213"/>
      <c r="H4" s="213"/>
      <c r="I4" s="214"/>
    </row>
    <row r="5" spans="1:245" ht="17.25" customHeight="1">
      <c r="A5" s="215" t="s">
        <v>3</v>
      </c>
      <c r="B5" s="216"/>
      <c r="C5" s="217"/>
      <c r="D5" s="203" t="s">
        <v>4</v>
      </c>
      <c r="E5" s="234" t="s">
        <v>5</v>
      </c>
      <c r="F5" s="235"/>
      <c r="G5" s="235"/>
      <c r="H5" s="236" t="s">
        <v>6</v>
      </c>
      <c r="I5" s="203" t="s">
        <v>7</v>
      </c>
    </row>
    <row r="6" spans="1:245" ht="16.5" customHeight="1" thickBot="1">
      <c r="A6" s="218"/>
      <c r="B6" s="219"/>
      <c r="C6" s="220"/>
      <c r="D6" s="233"/>
      <c r="E6" s="74" t="s">
        <v>8</v>
      </c>
      <c r="F6" s="72" t="s">
        <v>9</v>
      </c>
      <c r="G6" s="72" t="s">
        <v>10</v>
      </c>
      <c r="H6" s="208"/>
      <c r="I6" s="204"/>
    </row>
    <row r="7" spans="1:245" ht="16.5" customHeight="1" thickBot="1">
      <c r="A7" s="176" t="s">
        <v>11</v>
      </c>
      <c r="B7" s="177"/>
      <c r="C7" s="177"/>
      <c r="D7" s="177"/>
      <c r="E7" s="177"/>
      <c r="F7" s="177"/>
      <c r="G7" s="177"/>
      <c r="H7" s="177"/>
      <c r="I7" s="178"/>
    </row>
    <row r="8" spans="1:245" ht="17.100000000000001" customHeight="1">
      <c r="A8" s="186" t="s">
        <v>38</v>
      </c>
      <c r="B8" s="187"/>
      <c r="C8" s="188"/>
      <c r="D8" s="143">
        <v>30</v>
      </c>
      <c r="E8" s="98">
        <v>1.0242</v>
      </c>
      <c r="F8" s="97">
        <v>3.0024000000000002</v>
      </c>
      <c r="G8" s="97">
        <v>5.0747999999999998</v>
      </c>
      <c r="H8" s="102">
        <v>51.42</v>
      </c>
      <c r="I8" s="143">
        <v>47</v>
      </c>
    </row>
    <row r="9" spans="1:245" ht="15.75" customHeight="1">
      <c r="A9" s="182" t="s">
        <v>39</v>
      </c>
      <c r="B9" s="183"/>
      <c r="C9" s="189"/>
      <c r="D9" s="3">
        <v>200</v>
      </c>
      <c r="E9" s="11">
        <v>15.204000000000001</v>
      </c>
      <c r="F9" s="32">
        <v>8.8800000000000008</v>
      </c>
      <c r="G9" s="12">
        <v>32.808</v>
      </c>
      <c r="H9" s="13">
        <v>272.39999999999998</v>
      </c>
      <c r="I9" s="7">
        <v>291</v>
      </c>
      <c r="IG9" s="61"/>
      <c r="IH9" s="61"/>
      <c r="II9" s="61"/>
      <c r="IJ9" s="61"/>
      <c r="IK9" s="61"/>
    </row>
    <row r="10" spans="1:245" ht="15.75" customHeight="1">
      <c r="A10" s="182" t="s">
        <v>34</v>
      </c>
      <c r="B10" s="183"/>
      <c r="C10" s="189"/>
      <c r="D10" s="3">
        <v>30</v>
      </c>
      <c r="E10" s="11">
        <v>2.37</v>
      </c>
      <c r="F10" s="12">
        <v>0.30000000000000004</v>
      </c>
      <c r="G10" s="12">
        <v>14.49</v>
      </c>
      <c r="H10" s="6">
        <v>70.5</v>
      </c>
      <c r="I10" s="7" t="s">
        <v>15</v>
      </c>
      <c r="IG10" s="61"/>
      <c r="IH10" s="61"/>
      <c r="II10" s="61"/>
      <c r="IJ10" s="61"/>
      <c r="IK10" s="61"/>
    </row>
    <row r="11" spans="1:245" ht="16.350000000000001" customHeight="1">
      <c r="A11" s="221" t="s">
        <v>16</v>
      </c>
      <c r="B11" s="222"/>
      <c r="C11" s="223"/>
      <c r="D11" s="25">
        <v>30</v>
      </c>
      <c r="E11" s="29">
        <v>1.98</v>
      </c>
      <c r="F11" s="30">
        <v>0.36</v>
      </c>
      <c r="G11" s="30">
        <v>10.02</v>
      </c>
      <c r="H11" s="31">
        <v>52.2</v>
      </c>
      <c r="I11" s="21" t="s">
        <v>15</v>
      </c>
      <c r="IG11" s="61"/>
      <c r="IH11" s="61"/>
      <c r="II11" s="61"/>
      <c r="IJ11" s="61"/>
      <c r="IK11" s="61"/>
    </row>
    <row r="12" spans="1:245" ht="15.75" customHeight="1">
      <c r="A12" s="227" t="s">
        <v>40</v>
      </c>
      <c r="B12" s="228"/>
      <c r="C12" s="229"/>
      <c r="D12" s="99">
        <v>180</v>
      </c>
      <c r="E12" s="8">
        <v>0.12</v>
      </c>
      <c r="F12" s="9">
        <v>0.02</v>
      </c>
      <c r="G12" s="9">
        <v>10.199999999999999</v>
      </c>
      <c r="H12" s="10">
        <v>41</v>
      </c>
      <c r="I12" s="21">
        <v>376</v>
      </c>
      <c r="IG12" s="61"/>
      <c r="IH12" s="61"/>
      <c r="II12" s="61"/>
      <c r="IJ12" s="61"/>
      <c r="IK12" s="61"/>
    </row>
    <row r="13" spans="1:245" ht="16.5" customHeight="1" thickBot="1">
      <c r="A13" s="227" t="s">
        <v>41</v>
      </c>
      <c r="B13" s="228"/>
      <c r="C13" s="229"/>
      <c r="D13" s="99">
        <v>40</v>
      </c>
      <c r="E13" s="8">
        <v>4.71</v>
      </c>
      <c r="F13" s="9">
        <v>7.42</v>
      </c>
      <c r="G13" s="9">
        <v>25.58</v>
      </c>
      <c r="H13" s="10">
        <v>188</v>
      </c>
      <c r="I13" s="21" t="s">
        <v>15</v>
      </c>
    </row>
    <row r="14" spans="1:245" ht="16.2" thickBot="1">
      <c r="A14" s="173" t="s">
        <v>18</v>
      </c>
      <c r="B14" s="174"/>
      <c r="C14" s="175"/>
      <c r="D14" s="85">
        <f>SUM(D8:D13)</f>
        <v>510</v>
      </c>
      <c r="E14" s="49">
        <f>SUM(E8:E13)</f>
        <v>25.408200000000004</v>
      </c>
      <c r="F14" s="50">
        <f>SUM(F8:F13)</f>
        <v>19.982399999999998</v>
      </c>
      <c r="G14" s="50">
        <f>SUM(G8:G13)</f>
        <v>98.172800000000009</v>
      </c>
      <c r="H14" s="51">
        <f>SUM(H8:H13)</f>
        <v>675.52</v>
      </c>
      <c r="I14" s="16"/>
    </row>
    <row r="15" spans="1:245" ht="15.6">
      <c r="A15" s="54"/>
      <c r="B15" s="62"/>
      <c r="C15" s="62"/>
      <c r="D15" s="62"/>
      <c r="E15" s="63"/>
      <c r="F15" s="64"/>
      <c r="G15" s="64"/>
      <c r="H15" s="64"/>
      <c r="I15" s="62"/>
    </row>
    <row r="16" spans="1:245" ht="16.5" customHeight="1">
      <c r="A16" s="193" t="s">
        <v>0</v>
      </c>
      <c r="B16" s="193"/>
      <c r="C16" s="193"/>
      <c r="D16" s="57"/>
      <c r="E16" s="65"/>
      <c r="F16" s="65"/>
      <c r="G16" s="65"/>
      <c r="H16" s="65"/>
      <c r="I16" s="65"/>
    </row>
    <row r="17" spans="1:245" ht="14.25" customHeight="1" thickBot="1">
      <c r="A17" s="193" t="s">
        <v>1</v>
      </c>
      <c r="B17" s="193"/>
      <c r="C17" s="193"/>
      <c r="D17" s="57"/>
      <c r="E17" s="65"/>
      <c r="F17" s="65"/>
      <c r="G17" s="65"/>
      <c r="H17" s="65"/>
      <c r="I17" s="65"/>
    </row>
    <row r="18" spans="1:245" ht="19.5" customHeight="1" thickBot="1">
      <c r="A18" s="264" t="s">
        <v>26</v>
      </c>
      <c r="B18" s="265"/>
      <c r="C18" s="265"/>
      <c r="D18" s="265"/>
      <c r="E18" s="266"/>
      <c r="F18" s="266"/>
      <c r="G18" s="266"/>
      <c r="H18" s="266"/>
      <c r="I18" s="267"/>
    </row>
    <row r="19" spans="1:245" ht="16.5" customHeight="1">
      <c r="A19" s="268" t="s">
        <v>3</v>
      </c>
      <c r="B19" s="269"/>
      <c r="C19" s="270"/>
      <c r="D19" s="258" t="s">
        <v>4</v>
      </c>
      <c r="E19" s="242" t="s">
        <v>5</v>
      </c>
      <c r="F19" s="206"/>
      <c r="G19" s="206"/>
      <c r="H19" s="243" t="s">
        <v>6</v>
      </c>
      <c r="I19" s="260" t="s">
        <v>7</v>
      </c>
    </row>
    <row r="20" spans="1:245" ht="15.6" customHeight="1" thickBot="1">
      <c r="A20" s="271"/>
      <c r="B20" s="272"/>
      <c r="C20" s="273"/>
      <c r="D20" s="274"/>
      <c r="E20" s="87" t="s">
        <v>8</v>
      </c>
      <c r="F20" s="88" t="s">
        <v>9</v>
      </c>
      <c r="G20" s="88" t="s">
        <v>10</v>
      </c>
      <c r="H20" s="275"/>
      <c r="I20" s="276"/>
    </row>
    <row r="21" spans="1:245" ht="17.7" customHeight="1" thickBot="1">
      <c r="A21" s="264" t="s">
        <v>11</v>
      </c>
      <c r="B21" s="265"/>
      <c r="C21" s="265"/>
      <c r="D21" s="265"/>
      <c r="E21" s="265"/>
      <c r="F21" s="265"/>
      <c r="G21" s="265"/>
      <c r="H21" s="265"/>
      <c r="I21" s="267"/>
    </row>
    <row r="22" spans="1:245" ht="16.5" customHeight="1">
      <c r="A22" s="179" t="s">
        <v>27</v>
      </c>
      <c r="B22" s="180"/>
      <c r="C22" s="257"/>
      <c r="D22" s="93">
        <v>100</v>
      </c>
      <c r="E22" s="94">
        <v>10.76</v>
      </c>
      <c r="F22" s="95">
        <v>5.75</v>
      </c>
      <c r="G22" s="95">
        <v>3.8</v>
      </c>
      <c r="H22" s="96">
        <v>116</v>
      </c>
      <c r="I22" s="93">
        <v>229</v>
      </c>
    </row>
    <row r="23" spans="1:245" ht="16.350000000000001" customHeight="1">
      <c r="A23" s="227" t="s">
        <v>28</v>
      </c>
      <c r="B23" s="228"/>
      <c r="C23" s="229"/>
      <c r="D23" s="25">
        <v>150</v>
      </c>
      <c r="E23" s="8">
        <v>3.2</v>
      </c>
      <c r="F23" s="9">
        <v>9.4600000000000009</v>
      </c>
      <c r="G23" s="9">
        <v>18.579999999999998</v>
      </c>
      <c r="H23" s="10">
        <v>178.61</v>
      </c>
      <c r="I23" s="25">
        <v>312</v>
      </c>
      <c r="IG23" s="61"/>
      <c r="IH23" s="61"/>
      <c r="II23" s="61"/>
      <c r="IJ23" s="61"/>
      <c r="IK23" s="61"/>
    </row>
    <row r="24" spans="1:245" ht="15.75" customHeight="1">
      <c r="A24" s="221" t="s">
        <v>29</v>
      </c>
      <c r="B24" s="222"/>
      <c r="C24" s="223"/>
      <c r="D24" s="25">
        <v>30</v>
      </c>
      <c r="E24" s="11">
        <f>11.58/1000*30</f>
        <v>0.34739999999999999</v>
      </c>
      <c r="F24" s="12">
        <f>1.85/1000*30</f>
        <v>5.5500000000000001E-2</v>
      </c>
      <c r="G24" s="12">
        <f>71.99/1000*30</f>
        <v>2.1597</v>
      </c>
      <c r="H24" s="20">
        <f>351/1000*30</f>
        <v>10.53</v>
      </c>
      <c r="I24" s="21">
        <v>53</v>
      </c>
      <c r="IG24" s="61"/>
      <c r="IH24" s="61"/>
      <c r="II24" s="61"/>
      <c r="IJ24" s="61"/>
      <c r="IK24" s="61"/>
    </row>
    <row r="25" spans="1:245" ht="15.75" customHeight="1">
      <c r="A25" s="221" t="s">
        <v>14</v>
      </c>
      <c r="B25" s="222"/>
      <c r="C25" s="223"/>
      <c r="D25" s="25">
        <v>30</v>
      </c>
      <c r="E25" s="29">
        <v>2.37</v>
      </c>
      <c r="F25" s="30">
        <v>0.30000000000000004</v>
      </c>
      <c r="G25" s="30">
        <v>14.49</v>
      </c>
      <c r="H25" s="10">
        <v>70.5</v>
      </c>
      <c r="I25" s="21" t="s">
        <v>15</v>
      </c>
      <c r="IG25" s="61"/>
      <c r="IH25" s="61"/>
      <c r="II25" s="61"/>
      <c r="IJ25" s="61"/>
      <c r="IK25" s="61"/>
    </row>
    <row r="26" spans="1:245" ht="16.5" customHeight="1">
      <c r="A26" s="221" t="s">
        <v>16</v>
      </c>
      <c r="B26" s="222"/>
      <c r="C26" s="223"/>
      <c r="D26" s="25">
        <v>30</v>
      </c>
      <c r="E26" s="29">
        <v>1.98</v>
      </c>
      <c r="F26" s="30">
        <v>0.36</v>
      </c>
      <c r="G26" s="30">
        <v>10.02</v>
      </c>
      <c r="H26" s="31">
        <v>52.2</v>
      </c>
      <c r="I26" s="21" t="s">
        <v>15</v>
      </c>
    </row>
    <row r="27" spans="1:245" ht="15.75" customHeight="1" thickBot="1">
      <c r="A27" s="277" t="s">
        <v>30</v>
      </c>
      <c r="B27" s="278"/>
      <c r="C27" s="279"/>
      <c r="D27" s="101" t="s">
        <v>31</v>
      </c>
      <c r="E27" s="89">
        <v>0.12</v>
      </c>
      <c r="F27" s="90">
        <v>0.02</v>
      </c>
      <c r="G27" s="90">
        <v>10.199999999999999</v>
      </c>
      <c r="H27" s="91">
        <v>41</v>
      </c>
      <c r="I27" s="47">
        <v>393</v>
      </c>
    </row>
    <row r="28" spans="1:245" ht="16.5" customHeight="1" thickBot="1">
      <c r="A28" s="173" t="s">
        <v>18</v>
      </c>
      <c r="B28" s="174"/>
      <c r="C28" s="241"/>
      <c r="D28" s="85">
        <f>SUM(D22:D26)+187</f>
        <v>527</v>
      </c>
      <c r="E28" s="92">
        <f>SUM(E22:E27)</f>
        <v>18.777400000000004</v>
      </c>
      <c r="F28" s="50">
        <f>SUM(F22:F27)</f>
        <v>15.945500000000001</v>
      </c>
      <c r="G28" s="50">
        <f>SUM(G22:G27)</f>
        <v>59.249700000000004</v>
      </c>
      <c r="H28" s="51">
        <f>SUM(H22:H27)</f>
        <v>468.84</v>
      </c>
      <c r="I28" s="16"/>
    </row>
    <row r="29" spans="1:245" ht="16.5" customHeight="1">
      <c r="A29" s="66"/>
      <c r="B29" s="66"/>
      <c r="C29" s="66"/>
      <c r="D29" s="67"/>
      <c r="E29" s="63"/>
      <c r="F29" s="64"/>
      <c r="G29" s="64"/>
      <c r="H29" s="64"/>
      <c r="I29" s="66"/>
    </row>
    <row r="30" spans="1:245" ht="18" customHeight="1">
      <c r="A30" s="193" t="s">
        <v>0</v>
      </c>
      <c r="B30" s="193"/>
      <c r="C30" s="193"/>
      <c r="D30" s="57"/>
      <c r="E30" s="65"/>
      <c r="F30" s="65"/>
      <c r="G30" s="65"/>
      <c r="H30" s="65"/>
      <c r="I30" s="65"/>
    </row>
    <row r="31" spans="1:245" ht="19.5" customHeight="1" thickBot="1">
      <c r="A31" s="193" t="s">
        <v>1</v>
      </c>
      <c r="B31" s="193"/>
      <c r="C31" s="193"/>
      <c r="D31" s="57"/>
      <c r="E31" s="65"/>
      <c r="F31" s="65"/>
      <c r="G31" s="65"/>
      <c r="H31" s="65"/>
      <c r="I31" s="65"/>
    </row>
    <row r="32" spans="1:245" ht="18" customHeight="1" thickBot="1">
      <c r="A32" s="212" t="s">
        <v>37</v>
      </c>
      <c r="B32" s="213"/>
      <c r="C32" s="213"/>
      <c r="D32" s="213"/>
      <c r="E32" s="213"/>
      <c r="F32" s="213"/>
      <c r="G32" s="213"/>
      <c r="H32" s="213"/>
      <c r="I32" s="214"/>
    </row>
    <row r="33" spans="1:245" ht="15.75" customHeight="1">
      <c r="A33" s="215" t="s">
        <v>3</v>
      </c>
      <c r="B33" s="216"/>
      <c r="C33" s="217"/>
      <c r="D33" s="203" t="s">
        <v>4</v>
      </c>
      <c r="E33" s="234" t="s">
        <v>5</v>
      </c>
      <c r="F33" s="235"/>
      <c r="G33" s="235"/>
      <c r="H33" s="236" t="s">
        <v>6</v>
      </c>
      <c r="I33" s="203" t="s">
        <v>7</v>
      </c>
    </row>
    <row r="34" spans="1:245" ht="15.75" customHeight="1" thickBot="1">
      <c r="A34" s="261"/>
      <c r="B34" s="262"/>
      <c r="C34" s="263"/>
      <c r="D34" s="233"/>
      <c r="E34" s="74" t="s">
        <v>8</v>
      </c>
      <c r="F34" s="72" t="s">
        <v>9</v>
      </c>
      <c r="G34" s="72" t="s">
        <v>10</v>
      </c>
      <c r="H34" s="208"/>
      <c r="I34" s="233"/>
    </row>
    <row r="35" spans="1:245" ht="15.75" customHeight="1" thickBot="1">
      <c r="A35" s="212" t="s">
        <v>11</v>
      </c>
      <c r="B35" s="213"/>
      <c r="C35" s="213"/>
      <c r="D35" s="213"/>
      <c r="E35" s="213"/>
      <c r="F35" s="213"/>
      <c r="G35" s="213"/>
      <c r="H35" s="213"/>
      <c r="I35" s="214"/>
    </row>
    <row r="36" spans="1:245" ht="15.75" customHeight="1">
      <c r="A36" s="179" t="s">
        <v>78</v>
      </c>
      <c r="B36" s="180"/>
      <c r="C36" s="181"/>
      <c r="D36" s="1">
        <v>250</v>
      </c>
      <c r="E36" s="75">
        <f>5.88642857142857/205*250</f>
        <v>7.1785714285714262</v>
      </c>
      <c r="F36" s="73">
        <f>10.46/205*250</f>
        <v>12.756097560975611</v>
      </c>
      <c r="G36" s="73">
        <f>31.61/205*250</f>
        <v>38.548780487804876</v>
      </c>
      <c r="H36" s="77">
        <f>245.02380952381/205*250</f>
        <v>298.80952380952442</v>
      </c>
      <c r="I36" s="2">
        <v>181</v>
      </c>
      <c r="IG36" s="61"/>
      <c r="IH36" s="61"/>
      <c r="II36" s="61"/>
      <c r="IJ36" s="61"/>
      <c r="IK36" s="61"/>
    </row>
    <row r="37" spans="1:245" s="61" customFormat="1" ht="15.75" customHeight="1">
      <c r="A37" s="182" t="s">
        <v>65</v>
      </c>
      <c r="B37" s="183"/>
      <c r="C37" s="189"/>
      <c r="D37" s="3">
        <v>180</v>
      </c>
      <c r="E37" s="4">
        <v>2.78</v>
      </c>
      <c r="F37" s="5">
        <v>0.67</v>
      </c>
      <c r="G37" s="5">
        <v>26</v>
      </c>
      <c r="H37" s="6">
        <v>125.11</v>
      </c>
      <c r="I37" s="7">
        <v>397</v>
      </c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</row>
    <row r="38" spans="1:245" s="61" customFormat="1" ht="15.75" customHeight="1">
      <c r="A38" s="182" t="s">
        <v>13</v>
      </c>
      <c r="B38" s="183"/>
      <c r="C38" s="184"/>
      <c r="D38" s="3">
        <v>15</v>
      </c>
      <c r="E38" s="8">
        <f>3.48/15*15</f>
        <v>3.48</v>
      </c>
      <c r="F38" s="9">
        <f>4.42/15*15</f>
        <v>4.42</v>
      </c>
      <c r="G38" s="9">
        <v>0</v>
      </c>
      <c r="H38" s="10">
        <f>54/15*15</f>
        <v>54</v>
      </c>
      <c r="I38" s="7">
        <v>15</v>
      </c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</row>
    <row r="39" spans="1:245" ht="16.5" customHeight="1">
      <c r="A39" s="182" t="s">
        <v>14</v>
      </c>
      <c r="B39" s="183"/>
      <c r="C39" s="184"/>
      <c r="D39" s="3">
        <v>30</v>
      </c>
      <c r="E39" s="11">
        <v>2.37</v>
      </c>
      <c r="F39" s="12">
        <v>0.30000000000000004</v>
      </c>
      <c r="G39" s="12">
        <v>14.49</v>
      </c>
      <c r="H39" s="6">
        <v>70.5</v>
      </c>
      <c r="I39" s="7" t="s">
        <v>15</v>
      </c>
      <c r="HX39" s="61"/>
      <c r="HY39" s="61"/>
      <c r="HZ39" s="61"/>
      <c r="IA39" s="61"/>
      <c r="IB39" s="61"/>
      <c r="IC39" s="61"/>
      <c r="ID39" s="61"/>
      <c r="IE39" s="61"/>
      <c r="IF39" s="61"/>
    </row>
    <row r="40" spans="1:245" ht="16.5" customHeight="1">
      <c r="A40" s="182" t="s">
        <v>16</v>
      </c>
      <c r="B40" s="183"/>
      <c r="C40" s="184"/>
      <c r="D40" s="3">
        <v>30</v>
      </c>
      <c r="E40" s="11">
        <v>1.98</v>
      </c>
      <c r="F40" s="12">
        <v>0.36</v>
      </c>
      <c r="G40" s="12">
        <v>10.02</v>
      </c>
      <c r="H40" s="13">
        <v>52.2</v>
      </c>
      <c r="I40" s="7" t="s">
        <v>15</v>
      </c>
      <c r="HX40" s="61"/>
      <c r="HY40" s="61"/>
      <c r="HZ40" s="61"/>
      <c r="IA40" s="61"/>
      <c r="IB40" s="61"/>
      <c r="IC40" s="61"/>
      <c r="ID40" s="61"/>
      <c r="IE40" s="61"/>
      <c r="IF40" s="61"/>
    </row>
    <row r="41" spans="1:245" ht="17.100000000000001" customHeight="1" thickBot="1">
      <c r="A41" s="254" t="s">
        <v>18</v>
      </c>
      <c r="B41" s="255"/>
      <c r="C41" s="256"/>
      <c r="D41" s="100">
        <f>SUM(D36:D40)</f>
        <v>505</v>
      </c>
      <c r="E41" s="76">
        <f>SUM(E36:E40)</f>
        <v>17.788571428571426</v>
      </c>
      <c r="F41" s="71">
        <f>SUM(F36:F40)</f>
        <v>18.506097560975611</v>
      </c>
      <c r="G41" s="71">
        <f>SUM(G36:G40)</f>
        <v>89.058780487804867</v>
      </c>
      <c r="H41" s="78">
        <f>SUM(H36:H40)</f>
        <v>600.61952380952448</v>
      </c>
      <c r="I41" s="79"/>
    </row>
    <row r="42" spans="1:245" s="61" customFormat="1" ht="15.75" customHeight="1">
      <c r="A42" s="66"/>
      <c r="B42" s="66"/>
      <c r="C42" s="66"/>
      <c r="D42" s="67"/>
      <c r="E42" s="63"/>
      <c r="F42" s="64"/>
      <c r="G42" s="64"/>
      <c r="H42" s="64"/>
      <c r="I42" s="66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</row>
    <row r="43" spans="1:245" ht="15.75" customHeight="1">
      <c r="A43" s="193" t="s">
        <v>0</v>
      </c>
      <c r="B43" s="193"/>
      <c r="C43" s="193"/>
      <c r="D43" s="57"/>
      <c r="E43" s="65"/>
      <c r="F43" s="65"/>
      <c r="G43" s="65"/>
      <c r="H43" s="65"/>
      <c r="I43" s="65"/>
    </row>
    <row r="44" spans="1:245" ht="15.75" customHeight="1" thickBot="1">
      <c r="A44" s="193" t="s">
        <v>1</v>
      </c>
      <c r="B44" s="193"/>
      <c r="C44" s="193"/>
      <c r="D44" s="57"/>
      <c r="E44" s="65"/>
      <c r="F44" s="65"/>
      <c r="G44" s="65"/>
      <c r="H44" s="65"/>
      <c r="I44" s="65"/>
    </row>
    <row r="45" spans="1:245" ht="16.5" customHeight="1" thickBot="1">
      <c r="A45" s="258" t="s">
        <v>43</v>
      </c>
      <c r="B45" s="259"/>
      <c r="C45" s="259"/>
      <c r="D45" s="259"/>
      <c r="E45" s="259"/>
      <c r="F45" s="259"/>
      <c r="G45" s="259"/>
      <c r="H45" s="259"/>
      <c r="I45" s="260"/>
    </row>
    <row r="46" spans="1:245" ht="17.25" customHeight="1">
      <c r="A46" s="215" t="s">
        <v>3</v>
      </c>
      <c r="B46" s="216"/>
      <c r="C46" s="217"/>
      <c r="D46" s="203" t="s">
        <v>4</v>
      </c>
      <c r="E46" s="205" t="s">
        <v>5</v>
      </c>
      <c r="F46" s="206"/>
      <c r="G46" s="206"/>
      <c r="H46" s="207" t="s">
        <v>6</v>
      </c>
      <c r="I46" s="203" t="s">
        <v>7</v>
      </c>
    </row>
    <row r="47" spans="1:245" ht="17.100000000000001" customHeight="1" thickBot="1">
      <c r="A47" s="218"/>
      <c r="B47" s="219"/>
      <c r="C47" s="220"/>
      <c r="D47" s="204"/>
      <c r="E47" s="74" t="s">
        <v>8</v>
      </c>
      <c r="F47" s="72" t="s">
        <v>9</v>
      </c>
      <c r="G47" s="72" t="s">
        <v>10</v>
      </c>
      <c r="H47" s="208"/>
      <c r="I47" s="204"/>
    </row>
    <row r="48" spans="1:245" ht="17.100000000000001" customHeight="1" thickBot="1">
      <c r="A48" s="212" t="s">
        <v>11</v>
      </c>
      <c r="B48" s="213"/>
      <c r="C48" s="213"/>
      <c r="D48" s="213"/>
      <c r="E48" s="213"/>
      <c r="F48" s="213"/>
      <c r="G48" s="213"/>
      <c r="H48" s="213"/>
      <c r="I48" s="214"/>
    </row>
    <row r="49" spans="1:240" ht="16.5" customHeight="1">
      <c r="A49" s="179" t="s">
        <v>76</v>
      </c>
      <c r="B49" s="180"/>
      <c r="C49" s="257"/>
      <c r="D49" s="93">
        <v>90</v>
      </c>
      <c r="E49" s="98">
        <v>8.27</v>
      </c>
      <c r="F49" s="97">
        <v>9.1199999999999992</v>
      </c>
      <c r="G49" s="107">
        <f>7.16/55*60</f>
        <v>7.8109090909090906</v>
      </c>
      <c r="H49" s="108">
        <v>168.71</v>
      </c>
      <c r="I49" s="109">
        <v>268</v>
      </c>
    </row>
    <row r="50" spans="1:240" ht="17.850000000000001" customHeight="1">
      <c r="A50" s="182" t="s">
        <v>20</v>
      </c>
      <c r="B50" s="183"/>
      <c r="C50" s="189"/>
      <c r="D50" s="3">
        <v>180</v>
      </c>
      <c r="E50" s="11">
        <f>36.78/1000*150</f>
        <v>5.5170000000000003</v>
      </c>
      <c r="F50" s="12">
        <f>30.1/1000*150</f>
        <v>4.5150000000000006</v>
      </c>
      <c r="G50" s="13">
        <f>176.3/1000*150</f>
        <v>26.445</v>
      </c>
      <c r="H50" s="104">
        <f>1123/1000*150</f>
        <v>168.45</v>
      </c>
      <c r="I50" s="7">
        <v>309</v>
      </c>
    </row>
    <row r="51" spans="1:240" ht="15.75" customHeight="1">
      <c r="A51" s="182" t="s">
        <v>34</v>
      </c>
      <c r="B51" s="183"/>
      <c r="C51" s="189"/>
      <c r="D51" s="3">
        <v>30</v>
      </c>
      <c r="E51" s="11">
        <v>2.37</v>
      </c>
      <c r="F51" s="12">
        <v>0.30000000000000004</v>
      </c>
      <c r="G51" s="13">
        <v>14.49</v>
      </c>
      <c r="H51" s="105">
        <v>70.5</v>
      </c>
      <c r="I51" s="7" t="s">
        <v>15</v>
      </c>
    </row>
    <row r="52" spans="1:240" ht="21" customHeight="1">
      <c r="A52" s="182" t="s">
        <v>16</v>
      </c>
      <c r="B52" s="183"/>
      <c r="C52" s="189"/>
      <c r="D52" s="3">
        <v>30</v>
      </c>
      <c r="E52" s="11">
        <v>1.98</v>
      </c>
      <c r="F52" s="12">
        <v>0.36</v>
      </c>
      <c r="G52" s="13">
        <v>10.02</v>
      </c>
      <c r="H52" s="104">
        <v>52.2</v>
      </c>
      <c r="I52" s="7" t="s">
        <v>15</v>
      </c>
      <c r="HX52" s="61"/>
      <c r="HY52" s="61"/>
      <c r="HZ52" s="61"/>
      <c r="IA52" s="61"/>
      <c r="IB52" s="61"/>
      <c r="IC52" s="61"/>
      <c r="ID52" s="61"/>
      <c r="IE52" s="61"/>
      <c r="IF52" s="61"/>
    </row>
    <row r="53" spans="1:240" ht="16.5" customHeight="1">
      <c r="A53" s="227" t="s">
        <v>40</v>
      </c>
      <c r="B53" s="228"/>
      <c r="C53" s="229"/>
      <c r="D53" s="99">
        <v>180</v>
      </c>
      <c r="E53" s="8">
        <v>0.12</v>
      </c>
      <c r="F53" s="9">
        <v>0.02</v>
      </c>
      <c r="G53" s="10">
        <v>10.199999999999999</v>
      </c>
      <c r="H53" s="106">
        <v>41</v>
      </c>
      <c r="I53" s="21">
        <v>376</v>
      </c>
      <c r="HX53" s="61"/>
      <c r="HY53" s="61"/>
      <c r="HZ53" s="61"/>
      <c r="IA53" s="61"/>
      <c r="IB53" s="61"/>
      <c r="IC53" s="61"/>
      <c r="ID53" s="61"/>
      <c r="IE53" s="61"/>
      <c r="IF53" s="61"/>
    </row>
    <row r="54" spans="1:240" ht="15.75" customHeight="1" thickBot="1">
      <c r="A54" s="254" t="s">
        <v>18</v>
      </c>
      <c r="B54" s="255"/>
      <c r="C54" s="256"/>
      <c r="D54" s="14">
        <f>SUM(D49:D53)</f>
        <v>510</v>
      </c>
      <c r="E54" s="76">
        <f>SUM(E49:E53)</f>
        <v>18.257000000000001</v>
      </c>
      <c r="F54" s="71">
        <f>SUM(F49:F53)</f>
        <v>14.315</v>
      </c>
      <c r="G54" s="78">
        <f>SUM(G49:G53)</f>
        <v>68.965909090909093</v>
      </c>
      <c r="H54" s="79">
        <f>SUM(H49:H53)</f>
        <v>500.85999999999996</v>
      </c>
      <c r="I54" s="79"/>
      <c r="HX54" s="61"/>
      <c r="HY54" s="61"/>
      <c r="HZ54" s="61"/>
      <c r="IA54" s="61"/>
      <c r="IB54" s="61"/>
      <c r="IC54" s="61"/>
      <c r="ID54" s="61"/>
      <c r="IE54" s="61"/>
      <c r="IF54" s="61"/>
    </row>
    <row r="55" spans="1:240" s="61" customFormat="1" ht="15.75" customHeight="1">
      <c r="A55" s="53"/>
      <c r="B55" s="53"/>
      <c r="C55" s="53"/>
      <c r="D55" s="54"/>
      <c r="E55" s="55"/>
      <c r="F55" s="55"/>
      <c r="G55" s="55"/>
      <c r="H55" s="55"/>
      <c r="I55" s="55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</row>
    <row r="56" spans="1:240" ht="15.75" customHeight="1">
      <c r="A56" s="193" t="s">
        <v>0</v>
      </c>
      <c r="B56" s="193"/>
      <c r="C56" s="193"/>
      <c r="D56" s="57"/>
      <c r="E56" s="65"/>
      <c r="F56" s="65"/>
      <c r="G56" s="65"/>
      <c r="H56" s="65"/>
      <c r="I56" s="65"/>
    </row>
    <row r="57" spans="1:240" ht="16.5" customHeight="1" thickBot="1">
      <c r="A57" s="193" t="s">
        <v>1</v>
      </c>
      <c r="B57" s="193"/>
      <c r="C57" s="193"/>
      <c r="D57" s="57"/>
      <c r="E57" s="65"/>
      <c r="F57" s="65"/>
      <c r="G57" s="65"/>
      <c r="H57" s="65"/>
      <c r="I57" s="65"/>
    </row>
    <row r="58" spans="1:240" ht="17.25" customHeight="1" thickBot="1">
      <c r="A58" s="194" t="s">
        <v>46</v>
      </c>
      <c r="B58" s="195"/>
      <c r="C58" s="195"/>
      <c r="D58" s="195"/>
      <c r="E58" s="195"/>
      <c r="F58" s="195"/>
      <c r="G58" s="195"/>
      <c r="H58" s="195"/>
      <c r="I58" s="196"/>
    </row>
    <row r="59" spans="1:240" ht="17.100000000000001" customHeight="1">
      <c r="A59" s="215" t="s">
        <v>3</v>
      </c>
      <c r="B59" s="216"/>
      <c r="C59" s="217"/>
      <c r="D59" s="203" t="s">
        <v>4</v>
      </c>
      <c r="E59" s="205" t="s">
        <v>5</v>
      </c>
      <c r="F59" s="206"/>
      <c r="G59" s="206"/>
      <c r="H59" s="207" t="s">
        <v>6</v>
      </c>
      <c r="I59" s="203" t="s">
        <v>7</v>
      </c>
    </row>
    <row r="60" spans="1:240" ht="15.75" customHeight="1" thickBot="1">
      <c r="A60" s="218"/>
      <c r="B60" s="219"/>
      <c r="C60" s="220"/>
      <c r="D60" s="204"/>
      <c r="E60" s="74" t="s">
        <v>8</v>
      </c>
      <c r="F60" s="72" t="s">
        <v>9</v>
      </c>
      <c r="G60" s="72" t="s">
        <v>10</v>
      </c>
      <c r="H60" s="208"/>
      <c r="I60" s="204"/>
    </row>
    <row r="61" spans="1:240" ht="16.5" customHeight="1" thickBot="1">
      <c r="A61" s="212" t="s">
        <v>11</v>
      </c>
      <c r="B61" s="213"/>
      <c r="C61" s="213"/>
      <c r="D61" s="213"/>
      <c r="E61" s="213"/>
      <c r="F61" s="213"/>
      <c r="G61" s="213"/>
      <c r="H61" s="213"/>
      <c r="I61" s="214"/>
    </row>
    <row r="62" spans="1:240" ht="17.399999999999999" customHeight="1">
      <c r="A62" s="186" t="s">
        <v>71</v>
      </c>
      <c r="B62" s="187"/>
      <c r="C62" s="188"/>
      <c r="D62" s="1">
        <v>160</v>
      </c>
      <c r="E62" s="94">
        <f>10.23/70*120</f>
        <v>17.537142857142857</v>
      </c>
      <c r="F62" s="95">
        <f>7.74/70*120</f>
        <v>13.268571428571429</v>
      </c>
      <c r="G62" s="96">
        <v>47.6</v>
      </c>
      <c r="H62" s="111">
        <f>189/70*120</f>
        <v>324</v>
      </c>
      <c r="I62" s="110">
        <v>223</v>
      </c>
    </row>
    <row r="63" spans="1:240" ht="17.25" customHeight="1">
      <c r="A63" s="182" t="s">
        <v>47</v>
      </c>
      <c r="B63" s="183"/>
      <c r="C63" s="189"/>
      <c r="D63" s="3">
        <v>180</v>
      </c>
      <c r="E63" s="4">
        <v>0.06</v>
      </c>
      <c r="F63" s="5">
        <v>0.02</v>
      </c>
      <c r="G63" s="6">
        <v>9.99</v>
      </c>
      <c r="H63" s="105">
        <v>40</v>
      </c>
      <c r="I63" s="103">
        <v>392</v>
      </c>
    </row>
    <row r="64" spans="1:240" ht="18" customHeight="1">
      <c r="A64" s="182" t="s">
        <v>34</v>
      </c>
      <c r="B64" s="183"/>
      <c r="C64" s="189"/>
      <c r="D64" s="3">
        <v>30</v>
      </c>
      <c r="E64" s="11">
        <v>2.37</v>
      </c>
      <c r="F64" s="12">
        <v>0.30000000000000004</v>
      </c>
      <c r="G64" s="13">
        <v>14.49</v>
      </c>
      <c r="H64" s="105">
        <v>70.5</v>
      </c>
      <c r="I64" s="103" t="s">
        <v>15</v>
      </c>
    </row>
    <row r="65" spans="1:245" ht="16.5" customHeight="1" thickBot="1">
      <c r="A65" s="170" t="s">
        <v>17</v>
      </c>
      <c r="B65" s="171"/>
      <c r="C65" s="253"/>
      <c r="D65" s="80">
        <v>130</v>
      </c>
      <c r="E65" s="81">
        <f>2.85/190*120</f>
        <v>1.8</v>
      </c>
      <c r="F65" s="82">
        <f>0.95/190*120</f>
        <v>0.6</v>
      </c>
      <c r="G65" s="83">
        <f>39.9/190*120</f>
        <v>25.2</v>
      </c>
      <c r="H65" s="112">
        <f>182.4/190*120</f>
        <v>115.2</v>
      </c>
      <c r="I65" s="113">
        <v>338</v>
      </c>
    </row>
    <row r="66" spans="1:245" ht="15.75" customHeight="1" thickBot="1">
      <c r="A66" s="173" t="s">
        <v>18</v>
      </c>
      <c r="B66" s="174"/>
      <c r="C66" s="241"/>
      <c r="D66" s="85">
        <f>SUM(D62:D65)</f>
        <v>500</v>
      </c>
      <c r="E66" s="49">
        <f>SUM(E62:E65)</f>
        <v>21.767142857142858</v>
      </c>
      <c r="F66" s="50">
        <f>SUM(F62:F65)</f>
        <v>14.188571428571429</v>
      </c>
      <c r="G66" s="51">
        <f>SUM(G62:G65)</f>
        <v>97.28</v>
      </c>
      <c r="H66" s="16">
        <f>SUM(H62:H65)</f>
        <v>549.70000000000005</v>
      </c>
      <c r="I66" s="15"/>
      <c r="IG66" s="61"/>
      <c r="IH66" s="61"/>
      <c r="II66" s="61"/>
      <c r="IJ66" s="61"/>
      <c r="IK66" s="61"/>
    </row>
    <row r="67" spans="1:245" ht="15.75" customHeight="1">
      <c r="A67" s="66"/>
      <c r="B67" s="66"/>
      <c r="C67" s="66"/>
      <c r="D67" s="67"/>
      <c r="E67" s="63"/>
      <c r="F67" s="64"/>
      <c r="G67" s="64"/>
      <c r="H67" s="64"/>
      <c r="I67" s="66"/>
    </row>
    <row r="68" spans="1:245" ht="15.75" customHeight="1">
      <c r="A68" s="193" t="s">
        <v>51</v>
      </c>
      <c r="B68" s="193"/>
      <c r="C68" s="193"/>
      <c r="D68" s="60"/>
      <c r="E68" s="65"/>
      <c r="F68" s="65"/>
      <c r="G68" s="65"/>
      <c r="H68" s="65"/>
      <c r="I68" s="65"/>
    </row>
    <row r="69" spans="1:245" ht="15.75" customHeight="1" thickBot="1">
      <c r="A69" s="193" t="s">
        <v>1</v>
      </c>
      <c r="B69" s="193"/>
      <c r="C69" s="193"/>
      <c r="D69" s="60"/>
      <c r="E69" s="65"/>
      <c r="F69" s="65"/>
      <c r="G69" s="65"/>
      <c r="H69" s="65"/>
      <c r="I69" s="65"/>
      <c r="IG69" s="61"/>
      <c r="IH69" s="61"/>
      <c r="II69" s="61"/>
      <c r="IJ69" s="61"/>
      <c r="IK69" s="61"/>
    </row>
    <row r="70" spans="1:245" s="61" customFormat="1" ht="15.75" customHeight="1" thickBot="1">
      <c r="A70" s="194" t="s">
        <v>52</v>
      </c>
      <c r="B70" s="195"/>
      <c r="C70" s="195"/>
      <c r="D70" s="195"/>
      <c r="E70" s="195"/>
      <c r="F70" s="195"/>
      <c r="G70" s="195"/>
      <c r="H70" s="195"/>
      <c r="I70" s="196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</row>
    <row r="71" spans="1:245" ht="16.5" customHeight="1">
      <c r="A71" s="215" t="s">
        <v>3</v>
      </c>
      <c r="B71" s="216"/>
      <c r="C71" s="217"/>
      <c r="D71" s="203" t="s">
        <v>4</v>
      </c>
      <c r="E71" s="205" t="s">
        <v>5</v>
      </c>
      <c r="F71" s="206"/>
      <c r="G71" s="206"/>
      <c r="H71" s="207" t="s">
        <v>6</v>
      </c>
      <c r="I71" s="203" t="s">
        <v>7</v>
      </c>
    </row>
    <row r="72" spans="1:245" ht="17.100000000000001" customHeight="1" thickBot="1">
      <c r="A72" s="218"/>
      <c r="B72" s="219"/>
      <c r="C72" s="220"/>
      <c r="D72" s="204"/>
      <c r="E72" s="74" t="s">
        <v>8</v>
      </c>
      <c r="F72" s="72" t="s">
        <v>9</v>
      </c>
      <c r="G72" s="72" t="s">
        <v>10</v>
      </c>
      <c r="H72" s="208"/>
      <c r="I72" s="204"/>
    </row>
    <row r="73" spans="1:245" ht="16.5" customHeight="1" thickBot="1">
      <c r="A73" s="212" t="s">
        <v>11</v>
      </c>
      <c r="B73" s="213"/>
      <c r="C73" s="213"/>
      <c r="D73" s="213"/>
      <c r="E73" s="213"/>
      <c r="F73" s="213"/>
      <c r="G73" s="213"/>
      <c r="H73" s="213"/>
      <c r="I73" s="214"/>
    </row>
    <row r="74" spans="1:245" ht="18.600000000000001" customHeight="1">
      <c r="A74" s="247" t="s">
        <v>53</v>
      </c>
      <c r="B74" s="248"/>
      <c r="C74" s="249"/>
      <c r="D74" s="1">
        <v>30</v>
      </c>
      <c r="E74" s="94">
        <v>0.36</v>
      </c>
      <c r="F74" s="95">
        <v>1.42</v>
      </c>
      <c r="G74" s="95">
        <v>2.3199999999999998</v>
      </c>
      <c r="H74" s="96">
        <f>46.8/60*60</f>
        <v>46.8</v>
      </c>
      <c r="I74" s="1" t="s">
        <v>15</v>
      </c>
    </row>
    <row r="75" spans="1:245" ht="19.5" customHeight="1">
      <c r="A75" s="250" t="s">
        <v>54</v>
      </c>
      <c r="B75" s="251"/>
      <c r="C75" s="252"/>
      <c r="D75" s="3">
        <v>116</v>
      </c>
      <c r="E75" s="11">
        <f>5.39/50*120</f>
        <v>12.936</v>
      </c>
      <c r="F75" s="12">
        <f>9.6/50*120</f>
        <v>23.04</v>
      </c>
      <c r="G75" s="12">
        <f>1.02/50*120</f>
        <v>2.4480000000000004</v>
      </c>
      <c r="H75" s="13">
        <f>112/50*120</f>
        <v>268.8</v>
      </c>
      <c r="I75" s="7">
        <v>210</v>
      </c>
    </row>
    <row r="76" spans="1:245" ht="16.5" customHeight="1">
      <c r="A76" s="182" t="s">
        <v>34</v>
      </c>
      <c r="B76" s="183"/>
      <c r="C76" s="189"/>
      <c r="D76" s="3">
        <v>30</v>
      </c>
      <c r="E76" s="11">
        <v>2.37</v>
      </c>
      <c r="F76" s="12">
        <v>0.30000000000000004</v>
      </c>
      <c r="G76" s="12">
        <v>14.49</v>
      </c>
      <c r="H76" s="6">
        <v>70.5</v>
      </c>
      <c r="I76" s="7" t="s">
        <v>15</v>
      </c>
    </row>
    <row r="77" spans="1:245" ht="17.100000000000001" customHeight="1">
      <c r="A77" s="221" t="s">
        <v>16</v>
      </c>
      <c r="B77" s="222"/>
      <c r="C77" s="223"/>
      <c r="D77" s="25">
        <v>30</v>
      </c>
      <c r="E77" s="29">
        <v>1.98</v>
      </c>
      <c r="F77" s="30">
        <v>0.36</v>
      </c>
      <c r="G77" s="30">
        <v>10.02</v>
      </c>
      <c r="H77" s="31">
        <v>52.2</v>
      </c>
      <c r="I77" s="21" t="s">
        <v>15</v>
      </c>
    </row>
    <row r="78" spans="1:245" ht="16.5" customHeight="1">
      <c r="A78" s="182" t="s">
        <v>47</v>
      </c>
      <c r="B78" s="183"/>
      <c r="C78" s="189"/>
      <c r="D78" s="3">
        <v>180</v>
      </c>
      <c r="E78" s="4">
        <v>0.06</v>
      </c>
      <c r="F78" s="5">
        <v>0.02</v>
      </c>
      <c r="G78" s="5">
        <v>9.99</v>
      </c>
      <c r="H78" s="6">
        <v>40</v>
      </c>
      <c r="I78" s="7">
        <v>392</v>
      </c>
    </row>
    <row r="79" spans="1:245" ht="16.5" customHeight="1" thickBot="1">
      <c r="A79" s="170" t="s">
        <v>17</v>
      </c>
      <c r="B79" s="171"/>
      <c r="C79" s="172"/>
      <c r="D79" s="144">
        <v>120</v>
      </c>
      <c r="E79" s="81">
        <f>2.85/190*130</f>
        <v>1.9500000000000002</v>
      </c>
      <c r="F79" s="82">
        <f>0.95/190*130</f>
        <v>0.65</v>
      </c>
      <c r="G79" s="82">
        <f>39.9/190*130</f>
        <v>27.3</v>
      </c>
      <c r="H79" s="83">
        <f>182.4/190*110</f>
        <v>105.60000000000001</v>
      </c>
      <c r="I79" s="84">
        <v>338</v>
      </c>
    </row>
    <row r="80" spans="1:245" ht="15.75" customHeight="1" thickBot="1">
      <c r="A80" s="173" t="s">
        <v>18</v>
      </c>
      <c r="B80" s="174"/>
      <c r="C80" s="175"/>
      <c r="D80" s="114">
        <f>SUM(D74:D79)</f>
        <v>506</v>
      </c>
      <c r="E80" s="49">
        <f>SUM(E74:E78)</f>
        <v>17.706</v>
      </c>
      <c r="F80" s="50">
        <f>SUM(F74:F78)</f>
        <v>25.14</v>
      </c>
      <c r="G80" s="50">
        <f>SUM(G74:G78)</f>
        <v>39.268000000000001</v>
      </c>
      <c r="H80" s="51">
        <f>SUM(H74:H78)</f>
        <v>478.3</v>
      </c>
      <c r="I80" s="16"/>
    </row>
    <row r="81" spans="1:245" ht="15.75" customHeight="1">
      <c r="A81" s="66"/>
      <c r="B81" s="66"/>
      <c r="C81" s="66"/>
      <c r="D81" s="67"/>
      <c r="E81" s="63"/>
      <c r="F81" s="64"/>
      <c r="G81" s="64"/>
      <c r="H81" s="64"/>
      <c r="I81" s="66"/>
      <c r="IG81" s="61"/>
      <c r="IH81" s="61"/>
      <c r="II81" s="61"/>
      <c r="IJ81" s="61"/>
      <c r="IK81" s="61"/>
    </row>
    <row r="82" spans="1:245" ht="16.5" customHeight="1">
      <c r="A82" s="193" t="s">
        <v>51</v>
      </c>
      <c r="B82" s="193"/>
      <c r="C82" s="193"/>
      <c r="D82" s="60"/>
      <c r="E82" s="65"/>
      <c r="F82" s="65"/>
      <c r="G82" s="65"/>
      <c r="H82" s="65"/>
      <c r="I82" s="65"/>
    </row>
    <row r="83" spans="1:245" ht="16.350000000000001" customHeight="1" thickBot="1">
      <c r="A83" s="193" t="s">
        <v>1</v>
      </c>
      <c r="B83" s="193"/>
      <c r="C83" s="193"/>
      <c r="D83" s="60"/>
      <c r="E83" s="65"/>
      <c r="F83" s="65"/>
      <c r="G83" s="65"/>
      <c r="H83" s="65"/>
      <c r="I83" s="65"/>
    </row>
    <row r="84" spans="1:245" ht="16.5" customHeight="1" thickBot="1">
      <c r="A84" s="194" t="s">
        <v>55</v>
      </c>
      <c r="B84" s="195"/>
      <c r="C84" s="195"/>
      <c r="D84" s="195"/>
      <c r="E84" s="195"/>
      <c r="F84" s="195"/>
      <c r="G84" s="195"/>
      <c r="H84" s="195"/>
      <c r="I84" s="196"/>
    </row>
    <row r="85" spans="1:245" ht="16.5" customHeight="1">
      <c r="A85" s="242" t="s">
        <v>3</v>
      </c>
      <c r="B85" s="206"/>
      <c r="C85" s="243"/>
      <c r="D85" s="203" t="s">
        <v>4</v>
      </c>
      <c r="E85" s="205" t="s">
        <v>5</v>
      </c>
      <c r="F85" s="206"/>
      <c r="G85" s="206"/>
      <c r="H85" s="207" t="s">
        <v>6</v>
      </c>
      <c r="I85" s="203" t="s">
        <v>7</v>
      </c>
    </row>
    <row r="86" spans="1:245" ht="15.75" customHeight="1" thickBot="1">
      <c r="A86" s="244"/>
      <c r="B86" s="245"/>
      <c r="C86" s="246"/>
      <c r="D86" s="204"/>
      <c r="E86" s="74" t="s">
        <v>8</v>
      </c>
      <c r="F86" s="72" t="s">
        <v>9</v>
      </c>
      <c r="G86" s="72" t="s">
        <v>10</v>
      </c>
      <c r="H86" s="208"/>
      <c r="I86" s="204"/>
      <c r="IG86" s="61"/>
      <c r="IH86" s="61"/>
      <c r="II86" s="61"/>
      <c r="IJ86" s="61"/>
      <c r="IK86" s="61"/>
    </row>
    <row r="87" spans="1:245" ht="16.5" customHeight="1" thickBot="1">
      <c r="A87" s="212" t="s">
        <v>11</v>
      </c>
      <c r="B87" s="213"/>
      <c r="C87" s="213"/>
      <c r="D87" s="213"/>
      <c r="E87" s="213"/>
      <c r="F87" s="213"/>
      <c r="G87" s="213"/>
      <c r="H87" s="213"/>
      <c r="I87" s="214"/>
    </row>
    <row r="88" spans="1:245" ht="16.350000000000001" customHeight="1">
      <c r="A88" s="186" t="s">
        <v>77</v>
      </c>
      <c r="B88" s="187"/>
      <c r="C88" s="188"/>
      <c r="D88" s="1">
        <v>250</v>
      </c>
      <c r="E88" s="98">
        <v>7.6338095238095196</v>
      </c>
      <c r="F88" s="97">
        <v>12.524523809523799</v>
      </c>
      <c r="G88" s="97">
        <v>33.4540476190476</v>
      </c>
      <c r="H88" s="107">
        <v>278.21428571428601</v>
      </c>
      <c r="I88" s="19">
        <v>182</v>
      </c>
    </row>
    <row r="89" spans="1:245" ht="15" customHeight="1">
      <c r="A89" s="182" t="s">
        <v>13</v>
      </c>
      <c r="B89" s="183"/>
      <c r="C89" s="189"/>
      <c r="D89" s="3">
        <v>15</v>
      </c>
      <c r="E89" s="8">
        <f>3.48/15*15</f>
        <v>3.48</v>
      </c>
      <c r="F89" s="9">
        <f>4.42/15*15</f>
        <v>4.42</v>
      </c>
      <c r="G89" s="9">
        <v>0</v>
      </c>
      <c r="H89" s="10">
        <f>54/15*15</f>
        <v>54</v>
      </c>
      <c r="I89" s="7">
        <v>15</v>
      </c>
    </row>
    <row r="90" spans="1:245" ht="17.25" customHeight="1">
      <c r="A90" s="182" t="s">
        <v>65</v>
      </c>
      <c r="B90" s="183"/>
      <c r="C90" s="189"/>
      <c r="D90" s="3">
        <v>180</v>
      </c>
      <c r="E90" s="4">
        <v>2.78</v>
      </c>
      <c r="F90" s="5">
        <v>0.67</v>
      </c>
      <c r="G90" s="5">
        <v>26</v>
      </c>
      <c r="H90" s="6">
        <v>125.11</v>
      </c>
      <c r="I90" s="7">
        <v>397</v>
      </c>
    </row>
    <row r="91" spans="1:245" ht="17.100000000000001" customHeight="1">
      <c r="A91" s="182" t="s">
        <v>34</v>
      </c>
      <c r="B91" s="183"/>
      <c r="C91" s="189"/>
      <c r="D91" s="3">
        <v>30</v>
      </c>
      <c r="E91" s="11">
        <v>2.37</v>
      </c>
      <c r="F91" s="12">
        <v>0.30000000000000004</v>
      </c>
      <c r="G91" s="12">
        <v>14.49</v>
      </c>
      <c r="H91" s="6">
        <v>70.5</v>
      </c>
      <c r="I91" s="7" t="s">
        <v>15</v>
      </c>
    </row>
    <row r="92" spans="1:245" ht="18" customHeight="1" thickBot="1">
      <c r="A92" s="238" t="s">
        <v>16</v>
      </c>
      <c r="B92" s="239"/>
      <c r="C92" s="240"/>
      <c r="D92" s="43">
        <v>30</v>
      </c>
      <c r="E92" s="44">
        <f>1.98/50*30</f>
        <v>1.1879999999999999</v>
      </c>
      <c r="F92" s="45">
        <v>0.36</v>
      </c>
      <c r="G92" s="45">
        <v>10.02</v>
      </c>
      <c r="H92" s="46">
        <v>52.2</v>
      </c>
      <c r="I92" s="47" t="s">
        <v>15</v>
      </c>
      <c r="HX92" s="61"/>
      <c r="HY92" s="61"/>
      <c r="HZ92" s="61"/>
      <c r="IA92" s="61"/>
      <c r="IB92" s="61"/>
      <c r="IC92" s="61"/>
      <c r="ID92" s="61"/>
      <c r="IE92" s="61"/>
      <c r="IF92" s="61"/>
    </row>
    <row r="93" spans="1:245" ht="17.7" customHeight="1" thickBot="1">
      <c r="A93" s="173" t="s">
        <v>18</v>
      </c>
      <c r="B93" s="174"/>
      <c r="C93" s="241"/>
      <c r="D93" s="48">
        <f>SUM(D88:D92)</f>
        <v>505</v>
      </c>
      <c r="E93" s="49">
        <f>SUM(E88:E92)</f>
        <v>17.451809523809519</v>
      </c>
      <c r="F93" s="50">
        <f>SUM(F88:F92)</f>
        <v>18.274523809523803</v>
      </c>
      <c r="G93" s="50">
        <f>SUM(G88:G92)</f>
        <v>83.964047619047591</v>
      </c>
      <c r="H93" s="51">
        <f>SUM(H88:H92)</f>
        <v>580.02428571428607</v>
      </c>
      <c r="I93" s="16"/>
    </row>
    <row r="94" spans="1:245" ht="16.5" customHeight="1">
      <c r="A94" s="66"/>
      <c r="B94" s="66"/>
      <c r="C94" s="66"/>
      <c r="D94" s="67"/>
      <c r="E94" s="63"/>
      <c r="F94" s="64"/>
      <c r="G94" s="64"/>
      <c r="H94" s="64"/>
      <c r="I94" s="66"/>
    </row>
    <row r="95" spans="1:245" ht="15.75" customHeight="1">
      <c r="A95" s="193" t="s">
        <v>51</v>
      </c>
      <c r="B95" s="193"/>
      <c r="C95" s="193"/>
      <c r="D95" s="60"/>
      <c r="E95" s="65"/>
      <c r="F95" s="65"/>
      <c r="G95" s="65"/>
      <c r="H95" s="65"/>
      <c r="I95" s="65"/>
    </row>
    <row r="96" spans="1:245" ht="15.75" customHeight="1" thickBot="1">
      <c r="A96" s="193" t="s">
        <v>1</v>
      </c>
      <c r="B96" s="193"/>
      <c r="C96" s="193"/>
      <c r="D96" s="60"/>
      <c r="E96" s="65"/>
      <c r="F96" s="65"/>
      <c r="G96" s="65"/>
      <c r="H96" s="65"/>
      <c r="I96" s="65"/>
      <c r="IG96" s="61"/>
      <c r="IH96" s="61"/>
      <c r="II96" s="61"/>
      <c r="IJ96" s="61"/>
      <c r="IK96" s="61"/>
    </row>
    <row r="97" spans="1:245" ht="15.75" customHeight="1" thickBot="1">
      <c r="A97" s="194" t="s">
        <v>57</v>
      </c>
      <c r="B97" s="195"/>
      <c r="C97" s="195"/>
      <c r="D97" s="195"/>
      <c r="E97" s="195"/>
      <c r="F97" s="195"/>
      <c r="G97" s="195"/>
      <c r="H97" s="195"/>
      <c r="I97" s="196"/>
      <c r="IG97" s="61"/>
      <c r="IH97" s="61"/>
      <c r="II97" s="61"/>
      <c r="IJ97" s="61"/>
      <c r="IK97" s="61"/>
    </row>
    <row r="98" spans="1:245" ht="16.5" customHeight="1">
      <c r="A98" s="230" t="s">
        <v>3</v>
      </c>
      <c r="B98" s="231"/>
      <c r="C98" s="232"/>
      <c r="D98" s="203" t="s">
        <v>4</v>
      </c>
      <c r="E98" s="234" t="s">
        <v>5</v>
      </c>
      <c r="F98" s="235"/>
      <c r="G98" s="235"/>
      <c r="H98" s="236" t="s">
        <v>6</v>
      </c>
      <c r="I98" s="237" t="s">
        <v>7</v>
      </c>
      <c r="HX98" s="61"/>
      <c r="HY98" s="61"/>
      <c r="HZ98" s="61"/>
      <c r="IA98" s="61"/>
      <c r="IB98" s="61"/>
      <c r="IC98" s="61"/>
      <c r="ID98" s="61"/>
      <c r="IE98" s="61"/>
      <c r="IF98" s="61"/>
    </row>
    <row r="99" spans="1:245" ht="18.75" customHeight="1" thickBot="1">
      <c r="A99" s="218"/>
      <c r="B99" s="219"/>
      <c r="C99" s="220"/>
      <c r="D99" s="233"/>
      <c r="E99" s="74" t="s">
        <v>8</v>
      </c>
      <c r="F99" s="72" t="s">
        <v>9</v>
      </c>
      <c r="G99" s="72" t="s">
        <v>10</v>
      </c>
      <c r="H99" s="208"/>
      <c r="I99" s="204"/>
      <c r="HX99" s="61"/>
      <c r="HY99" s="61"/>
      <c r="HZ99" s="61"/>
      <c r="IA99" s="61"/>
      <c r="IB99" s="61"/>
      <c r="IC99" s="61"/>
      <c r="ID99" s="61"/>
      <c r="IE99" s="61"/>
      <c r="IF99" s="61"/>
    </row>
    <row r="100" spans="1:245" s="61" customFormat="1" ht="15.75" customHeight="1" thickBot="1">
      <c r="A100" s="212" t="s">
        <v>11</v>
      </c>
      <c r="B100" s="213"/>
      <c r="C100" s="213"/>
      <c r="D100" s="213"/>
      <c r="E100" s="213"/>
      <c r="F100" s="213"/>
      <c r="G100" s="213"/>
      <c r="H100" s="213"/>
      <c r="I100" s="214"/>
      <c r="HO100" s="56"/>
      <c r="HP100" s="56"/>
      <c r="HQ100" s="56"/>
      <c r="HR100" s="56"/>
      <c r="HS100" s="56"/>
      <c r="HT100" s="56"/>
      <c r="HU100" s="56"/>
      <c r="HV100" s="56"/>
      <c r="HW100" s="56"/>
    </row>
    <row r="101" spans="1:245" ht="16.350000000000001" customHeight="1">
      <c r="A101" s="186" t="s">
        <v>70</v>
      </c>
      <c r="B101" s="187"/>
      <c r="C101" s="188"/>
      <c r="D101" s="1">
        <v>90</v>
      </c>
      <c r="E101" s="28">
        <f>6.82/55*90</f>
        <v>11.16</v>
      </c>
      <c r="F101" s="17">
        <f>7.67/55*90</f>
        <v>12.550909090909089</v>
      </c>
      <c r="G101" s="17">
        <f>5.47/55*90</f>
        <v>8.9509090909090911</v>
      </c>
      <c r="H101" s="18">
        <f>115/55*90</f>
        <v>188.18181818181819</v>
      </c>
      <c r="I101" s="1">
        <v>235</v>
      </c>
    </row>
    <row r="102" spans="1:245" ht="13.5" customHeight="1">
      <c r="A102" s="227" t="s">
        <v>28</v>
      </c>
      <c r="B102" s="228"/>
      <c r="C102" s="229"/>
      <c r="D102" s="25">
        <v>150</v>
      </c>
      <c r="E102" s="8">
        <v>3.2</v>
      </c>
      <c r="F102" s="9">
        <v>9.4600000000000009</v>
      </c>
      <c r="G102" s="9">
        <v>18.579999999999998</v>
      </c>
      <c r="H102" s="10">
        <v>178.61</v>
      </c>
      <c r="I102" s="25">
        <v>312</v>
      </c>
    </row>
    <row r="103" spans="1:245" ht="15" customHeight="1">
      <c r="A103" s="182" t="s">
        <v>38</v>
      </c>
      <c r="B103" s="183"/>
      <c r="C103" s="189"/>
      <c r="D103" s="25">
        <v>30</v>
      </c>
      <c r="E103" s="11">
        <f>8.48/1000*30</f>
        <v>0.25440000000000002</v>
      </c>
      <c r="F103" s="12">
        <f>50.45/1000*30</f>
        <v>1.5135000000000001</v>
      </c>
      <c r="G103" s="12">
        <f>25.76/1000*30</f>
        <v>0.77280000000000004</v>
      </c>
      <c r="H103" s="13">
        <f>591/1000*30</f>
        <v>17.73</v>
      </c>
      <c r="I103" s="7">
        <v>21</v>
      </c>
    </row>
    <row r="104" spans="1:245" ht="17.100000000000001" customHeight="1">
      <c r="A104" s="182" t="s">
        <v>34</v>
      </c>
      <c r="B104" s="183"/>
      <c r="C104" s="189"/>
      <c r="D104" s="3">
        <v>30</v>
      </c>
      <c r="E104" s="11">
        <v>2.37</v>
      </c>
      <c r="F104" s="12">
        <v>0.30000000000000004</v>
      </c>
      <c r="G104" s="12">
        <v>14.49</v>
      </c>
      <c r="H104" s="6">
        <v>70.5</v>
      </c>
      <c r="I104" s="7" t="s">
        <v>15</v>
      </c>
    </row>
    <row r="105" spans="1:245" ht="16.5" customHeight="1">
      <c r="A105" s="221" t="s">
        <v>16</v>
      </c>
      <c r="B105" s="222"/>
      <c r="C105" s="223"/>
      <c r="D105" s="25">
        <v>30</v>
      </c>
      <c r="E105" s="29">
        <v>1.98</v>
      </c>
      <c r="F105" s="30">
        <v>0.36</v>
      </c>
      <c r="G105" s="30">
        <v>10.02</v>
      </c>
      <c r="H105" s="31">
        <v>52.2</v>
      </c>
      <c r="I105" s="21" t="s">
        <v>15</v>
      </c>
    </row>
    <row r="106" spans="1:245" ht="16.5" customHeight="1" thickBot="1">
      <c r="A106" s="190" t="s">
        <v>30</v>
      </c>
      <c r="B106" s="191"/>
      <c r="C106" s="192"/>
      <c r="D106" s="115" t="s">
        <v>31</v>
      </c>
      <c r="E106" s="36">
        <v>0.12</v>
      </c>
      <c r="F106" s="37">
        <v>0.02</v>
      </c>
      <c r="G106" s="37">
        <v>10.199999999999999</v>
      </c>
      <c r="H106" s="38">
        <v>41</v>
      </c>
      <c r="I106" s="39">
        <v>393</v>
      </c>
    </row>
    <row r="107" spans="1:245" ht="16.5" customHeight="1" thickBot="1">
      <c r="A107" s="224" t="s">
        <v>18</v>
      </c>
      <c r="B107" s="225"/>
      <c r="C107" s="226"/>
      <c r="D107" s="85">
        <f>SUM(D101:D105)+187</f>
        <v>517</v>
      </c>
      <c r="E107" s="86">
        <f>SUM(E101:E106)</f>
        <v>19.084400000000002</v>
      </c>
      <c r="F107" s="86">
        <f>SUM(F101:F106)</f>
        <v>24.204409090909088</v>
      </c>
      <c r="G107" s="86">
        <f>SUM(G101:G106)</f>
        <v>63.013709090909089</v>
      </c>
      <c r="H107" s="15">
        <f>SUM(H101:H106)</f>
        <v>548.22181818181821</v>
      </c>
      <c r="I107" s="52"/>
    </row>
    <row r="108" spans="1:245" ht="15.75" customHeight="1">
      <c r="A108" s="66"/>
      <c r="B108" s="66"/>
      <c r="C108" s="66"/>
      <c r="D108" s="67"/>
      <c r="E108" s="63"/>
      <c r="F108" s="64"/>
      <c r="G108" s="64"/>
      <c r="H108" s="64"/>
      <c r="I108" s="66"/>
    </row>
    <row r="109" spans="1:245" ht="15.75" customHeight="1">
      <c r="A109" s="193" t="s">
        <v>51</v>
      </c>
      <c r="B109" s="193"/>
      <c r="C109" s="193"/>
      <c r="D109" s="60"/>
      <c r="E109" s="65"/>
      <c r="F109" s="65"/>
      <c r="G109" s="65"/>
      <c r="H109" s="65"/>
      <c r="I109" s="65"/>
      <c r="IG109" s="61"/>
      <c r="IH109" s="61"/>
      <c r="II109" s="61"/>
      <c r="IJ109" s="61"/>
      <c r="IK109" s="61"/>
    </row>
    <row r="110" spans="1:245" ht="16.5" customHeight="1" thickBot="1">
      <c r="A110" s="193" t="s">
        <v>1</v>
      </c>
      <c r="B110" s="193"/>
      <c r="C110" s="193"/>
      <c r="D110" s="60"/>
      <c r="E110" s="65"/>
      <c r="F110" s="65"/>
      <c r="G110" s="65"/>
      <c r="H110" s="65"/>
      <c r="I110" s="65"/>
    </row>
    <row r="111" spans="1:245" ht="17.7" customHeight="1" thickBot="1">
      <c r="A111" s="194" t="s">
        <v>59</v>
      </c>
      <c r="B111" s="195"/>
      <c r="C111" s="195"/>
      <c r="D111" s="195"/>
      <c r="E111" s="195"/>
      <c r="F111" s="195"/>
      <c r="G111" s="195"/>
      <c r="H111" s="195"/>
      <c r="I111" s="196"/>
    </row>
    <row r="112" spans="1:245" ht="18.600000000000001" customHeight="1">
      <c r="A112" s="215" t="s">
        <v>3</v>
      </c>
      <c r="B112" s="216"/>
      <c r="C112" s="217"/>
      <c r="D112" s="203" t="s">
        <v>4</v>
      </c>
      <c r="E112" s="205" t="s">
        <v>5</v>
      </c>
      <c r="F112" s="206"/>
      <c r="G112" s="206"/>
      <c r="H112" s="207" t="s">
        <v>6</v>
      </c>
      <c r="I112" s="203" t="s">
        <v>7</v>
      </c>
    </row>
    <row r="113" spans="1:245" ht="18" customHeight="1" thickBot="1">
      <c r="A113" s="218"/>
      <c r="B113" s="219"/>
      <c r="C113" s="220"/>
      <c r="D113" s="204"/>
      <c r="E113" s="74" t="s">
        <v>8</v>
      </c>
      <c r="F113" s="72" t="s">
        <v>9</v>
      </c>
      <c r="G113" s="72" t="s">
        <v>10</v>
      </c>
      <c r="H113" s="208"/>
      <c r="I113" s="204"/>
      <c r="HX113" s="61"/>
      <c r="HY113" s="61"/>
      <c r="HZ113" s="61"/>
      <c r="IA113" s="61"/>
      <c r="IB113" s="61"/>
      <c r="IC113" s="61"/>
      <c r="ID113" s="61"/>
      <c r="IE113" s="61"/>
      <c r="IF113" s="61"/>
    </row>
    <row r="114" spans="1:245" ht="21" customHeight="1" thickBot="1">
      <c r="A114" s="212" t="s">
        <v>11</v>
      </c>
      <c r="B114" s="213"/>
      <c r="C114" s="213"/>
      <c r="D114" s="213"/>
      <c r="E114" s="213"/>
      <c r="F114" s="213"/>
      <c r="G114" s="213"/>
      <c r="H114" s="213"/>
      <c r="I114" s="214"/>
      <c r="HX114" s="61"/>
      <c r="HY114" s="61"/>
      <c r="HZ114" s="61"/>
      <c r="IA114" s="61"/>
      <c r="IB114" s="61"/>
      <c r="IC114" s="61"/>
      <c r="ID114" s="61"/>
      <c r="IE114" s="61"/>
      <c r="IF114" s="61"/>
    </row>
    <row r="115" spans="1:245" ht="16.5" customHeight="1">
      <c r="A115" s="186" t="s">
        <v>79</v>
      </c>
      <c r="B115" s="187"/>
      <c r="C115" s="188"/>
      <c r="D115" s="143">
        <v>90</v>
      </c>
      <c r="E115" s="40">
        <v>8.27</v>
      </c>
      <c r="F115" s="41">
        <v>9.1199999999999992</v>
      </c>
      <c r="G115" s="42">
        <f>7.16/55*60</f>
        <v>7.8109090909090906</v>
      </c>
      <c r="H115" s="147">
        <v>168.71</v>
      </c>
      <c r="I115" s="19">
        <v>268</v>
      </c>
      <c r="HX115" s="61"/>
      <c r="HY115" s="61"/>
      <c r="HZ115" s="61"/>
      <c r="IA115" s="61"/>
      <c r="IB115" s="61"/>
      <c r="IC115" s="61"/>
      <c r="ID115" s="61"/>
      <c r="IE115" s="61"/>
      <c r="IF115" s="61"/>
    </row>
    <row r="116" spans="1:245" ht="16.350000000000001" customHeight="1">
      <c r="A116" s="182" t="s">
        <v>72</v>
      </c>
      <c r="B116" s="183"/>
      <c r="C116" s="189"/>
      <c r="D116" s="3">
        <v>180</v>
      </c>
      <c r="E116" s="11">
        <f>36.78/1000*150</f>
        <v>5.5170000000000003</v>
      </c>
      <c r="F116" s="12">
        <f>30.1/1000*150</f>
        <v>4.5150000000000006</v>
      </c>
      <c r="G116" s="13">
        <f>176.3/1000*150</f>
        <v>26.445</v>
      </c>
      <c r="H116" s="104">
        <f>1123/1000*150</f>
        <v>168.45</v>
      </c>
      <c r="I116" s="7">
        <v>309</v>
      </c>
      <c r="HX116" s="61"/>
      <c r="HY116" s="61"/>
      <c r="HZ116" s="61"/>
      <c r="IA116" s="61"/>
      <c r="IB116" s="61"/>
      <c r="IC116" s="61"/>
      <c r="ID116" s="61"/>
      <c r="IE116" s="61"/>
      <c r="IF116" s="61"/>
    </row>
    <row r="117" spans="1:245" ht="18" customHeight="1">
      <c r="A117" s="182" t="s">
        <v>34</v>
      </c>
      <c r="B117" s="183"/>
      <c r="C117" s="189"/>
      <c r="D117" s="3">
        <v>30</v>
      </c>
      <c r="E117" s="11">
        <v>2.37</v>
      </c>
      <c r="F117" s="12">
        <v>0.30000000000000004</v>
      </c>
      <c r="G117" s="13">
        <v>14.49</v>
      </c>
      <c r="H117" s="105">
        <v>70.5</v>
      </c>
      <c r="I117" s="7" t="s">
        <v>15</v>
      </c>
    </row>
    <row r="118" spans="1:245" ht="15.75" customHeight="1">
      <c r="A118" s="182" t="s">
        <v>16</v>
      </c>
      <c r="B118" s="183"/>
      <c r="C118" s="189"/>
      <c r="D118" s="3">
        <v>30</v>
      </c>
      <c r="E118" s="11">
        <v>1.98</v>
      </c>
      <c r="F118" s="12">
        <v>0.36</v>
      </c>
      <c r="G118" s="13">
        <v>10.02</v>
      </c>
      <c r="H118" s="104">
        <v>52.2</v>
      </c>
      <c r="I118" s="7" t="s">
        <v>15</v>
      </c>
      <c r="IG118" s="61"/>
      <c r="IH118" s="61"/>
      <c r="II118" s="61"/>
      <c r="IJ118" s="61"/>
      <c r="IK118" s="61"/>
    </row>
    <row r="119" spans="1:245" ht="15.75" customHeight="1" thickBot="1">
      <c r="A119" s="190" t="s">
        <v>40</v>
      </c>
      <c r="B119" s="191"/>
      <c r="C119" s="192"/>
      <c r="D119" s="35">
        <v>180</v>
      </c>
      <c r="E119" s="36">
        <v>0.12</v>
      </c>
      <c r="F119" s="37">
        <v>0.02</v>
      </c>
      <c r="G119" s="38">
        <v>10.199999999999999</v>
      </c>
      <c r="H119" s="148">
        <v>41</v>
      </c>
      <c r="I119" s="39">
        <v>376</v>
      </c>
      <c r="IG119" s="61"/>
      <c r="IH119" s="61"/>
      <c r="II119" s="61"/>
      <c r="IJ119" s="61"/>
      <c r="IK119" s="61"/>
    </row>
    <row r="120" spans="1:245" ht="15.75" customHeight="1" thickBot="1">
      <c r="A120" s="209" t="s">
        <v>18</v>
      </c>
      <c r="B120" s="210"/>
      <c r="C120" s="211"/>
      <c r="D120" s="118">
        <f>SUM(D115:D119)</f>
        <v>510</v>
      </c>
      <c r="E120" s="117">
        <f>SUM(E115:E119)</f>
        <v>18.257000000000001</v>
      </c>
      <c r="F120" s="116">
        <f>SUM(F115:F119)</f>
        <v>14.315</v>
      </c>
      <c r="G120" s="116">
        <f>SUM(G115:G119)</f>
        <v>68.965909090909093</v>
      </c>
      <c r="H120" s="119">
        <f>SUM(H115:H119)</f>
        <v>500.85999999999996</v>
      </c>
      <c r="I120" s="52"/>
    </row>
    <row r="121" spans="1:245" ht="15.75" customHeight="1">
      <c r="A121" s="193" t="s">
        <v>51</v>
      </c>
      <c r="B121" s="193"/>
      <c r="C121" s="193"/>
      <c r="D121" s="60"/>
      <c r="E121" s="58"/>
      <c r="F121" s="59"/>
      <c r="G121" s="59"/>
      <c r="H121" s="59"/>
      <c r="I121" s="59"/>
    </row>
    <row r="122" spans="1:245" ht="15.75" customHeight="1" thickBot="1">
      <c r="A122" s="193" t="s">
        <v>1</v>
      </c>
      <c r="B122" s="193"/>
      <c r="C122" s="193"/>
      <c r="D122" s="60"/>
      <c r="E122" s="58"/>
      <c r="F122" s="59"/>
      <c r="G122" s="59"/>
      <c r="H122" s="59"/>
      <c r="I122" s="59"/>
    </row>
    <row r="123" spans="1:245" ht="15.75" customHeight="1" thickBot="1">
      <c r="A123" s="194" t="s">
        <v>62</v>
      </c>
      <c r="B123" s="195"/>
      <c r="C123" s="195"/>
      <c r="D123" s="195"/>
      <c r="E123" s="195"/>
      <c r="F123" s="195"/>
      <c r="G123" s="195"/>
      <c r="H123" s="195"/>
      <c r="I123" s="196"/>
    </row>
    <row r="124" spans="1:245" ht="15.6">
      <c r="A124" s="197" t="s">
        <v>3</v>
      </c>
      <c r="B124" s="198"/>
      <c r="C124" s="199"/>
      <c r="D124" s="203" t="s">
        <v>4</v>
      </c>
      <c r="E124" s="205" t="s">
        <v>5</v>
      </c>
      <c r="F124" s="206"/>
      <c r="G124" s="206"/>
      <c r="H124" s="207" t="s">
        <v>6</v>
      </c>
      <c r="I124" s="203" t="s">
        <v>7</v>
      </c>
    </row>
    <row r="125" spans="1:245" ht="16.2" thickBot="1">
      <c r="A125" s="200"/>
      <c r="B125" s="201"/>
      <c r="C125" s="202"/>
      <c r="D125" s="204"/>
      <c r="E125" s="74" t="s">
        <v>8</v>
      </c>
      <c r="F125" s="72" t="s">
        <v>9</v>
      </c>
      <c r="G125" s="72" t="s">
        <v>10</v>
      </c>
      <c r="H125" s="208"/>
      <c r="I125" s="204"/>
    </row>
    <row r="126" spans="1:245" ht="18" customHeight="1" thickBot="1">
      <c r="A126" s="176" t="s">
        <v>11</v>
      </c>
      <c r="B126" s="177"/>
      <c r="C126" s="177"/>
      <c r="D126" s="177"/>
      <c r="E126" s="177"/>
      <c r="F126" s="177"/>
      <c r="G126" s="177"/>
      <c r="H126" s="177"/>
      <c r="I126" s="178"/>
    </row>
    <row r="127" spans="1:245" ht="15.6">
      <c r="A127" s="179" t="s">
        <v>63</v>
      </c>
      <c r="B127" s="180"/>
      <c r="C127" s="181"/>
      <c r="D127" s="1">
        <v>170</v>
      </c>
      <c r="E127" s="98">
        <v>11.505599999999999</v>
      </c>
      <c r="F127" s="97">
        <v>13.532</v>
      </c>
      <c r="G127" s="97">
        <v>28.995200000000001</v>
      </c>
      <c r="H127" s="102">
        <v>284.24</v>
      </c>
      <c r="I127" s="19">
        <v>204</v>
      </c>
    </row>
    <row r="128" spans="1:245" ht="16.8" customHeight="1">
      <c r="A128" s="182" t="s">
        <v>34</v>
      </c>
      <c r="B128" s="183"/>
      <c r="C128" s="184"/>
      <c r="D128" s="3">
        <v>30</v>
      </c>
      <c r="E128" s="11">
        <v>2.37</v>
      </c>
      <c r="F128" s="12">
        <v>0.30000000000000004</v>
      </c>
      <c r="G128" s="12">
        <v>14.49</v>
      </c>
      <c r="H128" s="6">
        <v>70.5</v>
      </c>
      <c r="I128" s="7" t="s">
        <v>15</v>
      </c>
    </row>
    <row r="129" spans="1:9" ht="15.6">
      <c r="A129" s="182" t="s">
        <v>12</v>
      </c>
      <c r="B129" s="183"/>
      <c r="C129" s="184"/>
      <c r="D129" s="3">
        <v>180</v>
      </c>
      <c r="E129" s="4">
        <v>2.85</v>
      </c>
      <c r="F129" s="5">
        <v>2.41</v>
      </c>
      <c r="G129" s="5">
        <v>14.36</v>
      </c>
      <c r="H129" s="6">
        <v>91</v>
      </c>
      <c r="I129" s="7">
        <v>395</v>
      </c>
    </row>
    <row r="130" spans="1:9" ht="16.2" thickBot="1">
      <c r="A130" s="170" t="s">
        <v>17</v>
      </c>
      <c r="B130" s="171"/>
      <c r="C130" s="172"/>
      <c r="D130" s="80">
        <v>150</v>
      </c>
      <c r="E130" s="81">
        <f>2.85/190*130</f>
        <v>1.9500000000000002</v>
      </c>
      <c r="F130" s="82">
        <f>0.95/190*130</f>
        <v>0.65</v>
      </c>
      <c r="G130" s="82">
        <f>39.9/190*130</f>
        <v>27.3</v>
      </c>
      <c r="H130" s="83">
        <f>182.4/190*110</f>
        <v>105.60000000000001</v>
      </c>
      <c r="I130" s="84">
        <v>338</v>
      </c>
    </row>
    <row r="131" spans="1:9" ht="16.2" thickBot="1">
      <c r="A131" s="173" t="s">
        <v>18</v>
      </c>
      <c r="B131" s="174"/>
      <c r="C131" s="175"/>
      <c r="D131" s="85">
        <f>D127+D128+D130+187</f>
        <v>537</v>
      </c>
      <c r="E131" s="49">
        <f>SUM(E127:E130)</f>
        <v>18.675599999999999</v>
      </c>
      <c r="F131" s="50">
        <f>SUM(F127:F130)</f>
        <v>16.891999999999999</v>
      </c>
      <c r="G131" s="50">
        <f>SUM(G127:G130)</f>
        <v>85.145200000000003</v>
      </c>
      <c r="H131" s="51">
        <f>SUM(H127:H130)</f>
        <v>551.34</v>
      </c>
      <c r="I131" s="16"/>
    </row>
    <row r="132" spans="1:9" ht="16.2" customHeight="1">
      <c r="A132" s="169" t="s">
        <v>73</v>
      </c>
      <c r="B132" s="169"/>
      <c r="C132" s="169"/>
      <c r="D132" s="169"/>
      <c r="E132" s="169"/>
      <c r="F132" s="169"/>
      <c r="G132" s="169"/>
      <c r="H132" s="169"/>
      <c r="I132" s="169"/>
    </row>
    <row r="133" spans="1:9" ht="18" customHeight="1">
      <c r="A133" s="185" t="s">
        <v>74</v>
      </c>
      <c r="B133" s="185"/>
      <c r="C133" s="185"/>
      <c r="D133" s="185"/>
      <c r="E133" s="185"/>
      <c r="F133" s="185"/>
      <c r="G133" s="185"/>
      <c r="H133" s="185"/>
      <c r="I133" s="185"/>
    </row>
    <row r="134" spans="1:9" ht="18">
      <c r="A134" s="120" t="s">
        <v>75</v>
      </c>
      <c r="B134" s="120"/>
      <c r="C134" s="120"/>
      <c r="D134" s="120"/>
      <c r="E134" s="120"/>
      <c r="F134" s="120"/>
    </row>
    <row r="135" spans="1:9" ht="15.6">
      <c r="A135" s="168" t="s">
        <v>66</v>
      </c>
      <c r="B135" s="168"/>
      <c r="C135" s="168"/>
      <c r="D135" s="168"/>
      <c r="E135" s="168"/>
      <c r="F135" s="168"/>
      <c r="G135" s="168"/>
      <c r="H135" s="168"/>
      <c r="I135" s="168"/>
    </row>
    <row r="136" spans="1:9" ht="15.6">
      <c r="A136" s="168" t="s">
        <v>67</v>
      </c>
      <c r="B136" s="168"/>
      <c r="C136" s="168"/>
      <c r="D136" s="168"/>
      <c r="E136" s="168"/>
      <c r="F136" s="168"/>
      <c r="G136" s="168"/>
      <c r="H136" s="168"/>
      <c r="I136" s="168"/>
    </row>
    <row r="137" spans="1:9" ht="17.399999999999999">
      <c r="D137" s="62"/>
      <c r="E137" s="69"/>
      <c r="F137" s="69"/>
      <c r="G137" s="69"/>
      <c r="H137" s="69"/>
      <c r="I137" s="70"/>
    </row>
  </sheetData>
  <sheetProtection selectLockedCells="1" selectUnlockedCells="1"/>
  <mergeCells count="156">
    <mergeCell ref="A13:C13"/>
    <mergeCell ref="A14:C14"/>
    <mergeCell ref="A7:I7"/>
    <mergeCell ref="A36:C36"/>
    <mergeCell ref="A37:C37"/>
    <mergeCell ref="A38:C38"/>
    <mergeCell ref="A2:C2"/>
    <mergeCell ref="A3:C3"/>
    <mergeCell ref="A4:I4"/>
    <mergeCell ref="A5:C6"/>
    <mergeCell ref="D5:D6"/>
    <mergeCell ref="E5:G5"/>
    <mergeCell ref="H5:H6"/>
    <mergeCell ref="I5:I6"/>
    <mergeCell ref="A8:C8"/>
    <mergeCell ref="A9:C9"/>
    <mergeCell ref="A10:C10"/>
    <mergeCell ref="A11:C11"/>
    <mergeCell ref="A12:C12"/>
    <mergeCell ref="A25:C25"/>
    <mergeCell ref="A26:C26"/>
    <mergeCell ref="A27:C27"/>
    <mergeCell ref="A28:C28"/>
    <mergeCell ref="A21:I21"/>
    <mergeCell ref="A22:C22"/>
    <mergeCell ref="A23:C23"/>
    <mergeCell ref="A24:C24"/>
    <mergeCell ref="A16:C16"/>
    <mergeCell ref="A17:C17"/>
    <mergeCell ref="A18:I18"/>
    <mergeCell ref="A19:C20"/>
    <mergeCell ref="D19:D20"/>
    <mergeCell ref="E19:G19"/>
    <mergeCell ref="H19:H20"/>
    <mergeCell ref="I19:I20"/>
    <mergeCell ref="A41:C41"/>
    <mergeCell ref="A35:I35"/>
    <mergeCell ref="A30:C30"/>
    <mergeCell ref="A31:C31"/>
    <mergeCell ref="A32:I32"/>
    <mergeCell ref="A33:C34"/>
    <mergeCell ref="D33:D34"/>
    <mergeCell ref="E33:G33"/>
    <mergeCell ref="H33:H34"/>
    <mergeCell ref="I33:I34"/>
    <mergeCell ref="A39:C39"/>
    <mergeCell ref="A40:C40"/>
    <mergeCell ref="A51:C51"/>
    <mergeCell ref="A52:C52"/>
    <mergeCell ref="A53:C53"/>
    <mergeCell ref="A54:C54"/>
    <mergeCell ref="A48:I48"/>
    <mergeCell ref="A49:C49"/>
    <mergeCell ref="A50:C50"/>
    <mergeCell ref="A43:C43"/>
    <mergeCell ref="A44:C44"/>
    <mergeCell ref="A45:I45"/>
    <mergeCell ref="A46:C47"/>
    <mergeCell ref="D46:D47"/>
    <mergeCell ref="E46:G46"/>
    <mergeCell ref="H46:H47"/>
    <mergeCell ref="I46:I47"/>
    <mergeCell ref="A65:C65"/>
    <mergeCell ref="A66:C66"/>
    <mergeCell ref="A61:I61"/>
    <mergeCell ref="A62:C62"/>
    <mergeCell ref="A63:C63"/>
    <mergeCell ref="A64:C64"/>
    <mergeCell ref="A56:C56"/>
    <mergeCell ref="A57:C57"/>
    <mergeCell ref="A58:I58"/>
    <mergeCell ref="A59:C60"/>
    <mergeCell ref="D59:D60"/>
    <mergeCell ref="E59:G59"/>
    <mergeCell ref="H59:H60"/>
    <mergeCell ref="I59:I60"/>
    <mergeCell ref="A77:C77"/>
    <mergeCell ref="A78:C78"/>
    <mergeCell ref="A79:C79"/>
    <mergeCell ref="A80:C80"/>
    <mergeCell ref="A73:I73"/>
    <mergeCell ref="A74:C74"/>
    <mergeCell ref="A75:C75"/>
    <mergeCell ref="A76:C76"/>
    <mergeCell ref="A68:C68"/>
    <mergeCell ref="A69:C69"/>
    <mergeCell ref="A70:I70"/>
    <mergeCell ref="A71:C72"/>
    <mergeCell ref="D71:D72"/>
    <mergeCell ref="E71:G71"/>
    <mergeCell ref="H71:H72"/>
    <mergeCell ref="I71:I72"/>
    <mergeCell ref="A91:C91"/>
    <mergeCell ref="A92:C92"/>
    <mergeCell ref="A93:C93"/>
    <mergeCell ref="A87:I87"/>
    <mergeCell ref="A88:C88"/>
    <mergeCell ref="A89:C89"/>
    <mergeCell ref="A90:C90"/>
    <mergeCell ref="A82:C82"/>
    <mergeCell ref="A83:C83"/>
    <mergeCell ref="A84:I84"/>
    <mergeCell ref="A85:C86"/>
    <mergeCell ref="D85:D86"/>
    <mergeCell ref="E85:G85"/>
    <mergeCell ref="H85:H86"/>
    <mergeCell ref="I85:I86"/>
    <mergeCell ref="A104:C104"/>
    <mergeCell ref="A105:C105"/>
    <mergeCell ref="A106:C106"/>
    <mergeCell ref="A107:C107"/>
    <mergeCell ref="A100:I100"/>
    <mergeCell ref="A101:C101"/>
    <mergeCell ref="A102:C102"/>
    <mergeCell ref="A103:C103"/>
    <mergeCell ref="A95:C95"/>
    <mergeCell ref="A96:C96"/>
    <mergeCell ref="A97:I97"/>
    <mergeCell ref="A98:C99"/>
    <mergeCell ref="D98:D99"/>
    <mergeCell ref="E98:G98"/>
    <mergeCell ref="H98:H99"/>
    <mergeCell ref="I98:I99"/>
    <mergeCell ref="A114:I114"/>
    <mergeCell ref="A109:C109"/>
    <mergeCell ref="A110:C110"/>
    <mergeCell ref="A111:I111"/>
    <mergeCell ref="A112:C113"/>
    <mergeCell ref="D112:D113"/>
    <mergeCell ref="E112:G112"/>
    <mergeCell ref="H112:H113"/>
    <mergeCell ref="I112:I113"/>
    <mergeCell ref="A115:C115"/>
    <mergeCell ref="A116:C116"/>
    <mergeCell ref="A117:C117"/>
    <mergeCell ref="A118:C118"/>
    <mergeCell ref="A119:C119"/>
    <mergeCell ref="A122:C122"/>
    <mergeCell ref="A123:I123"/>
    <mergeCell ref="A124:C125"/>
    <mergeCell ref="D124:D125"/>
    <mergeCell ref="E124:G124"/>
    <mergeCell ref="H124:H125"/>
    <mergeCell ref="I124:I125"/>
    <mergeCell ref="A121:C121"/>
    <mergeCell ref="A120:C120"/>
    <mergeCell ref="A135:I135"/>
    <mergeCell ref="A136:I136"/>
    <mergeCell ref="A132:I132"/>
    <mergeCell ref="A130:C130"/>
    <mergeCell ref="A131:C131"/>
    <mergeCell ref="A126:I126"/>
    <mergeCell ref="A127:C127"/>
    <mergeCell ref="A128:C128"/>
    <mergeCell ref="A129:C129"/>
    <mergeCell ref="A133:I133"/>
  </mergeCells>
  <printOptions horizontalCentered="1" verticalCentered="1"/>
  <pageMargins left="0" right="0" top="0" bottom="0" header="0" footer="0"/>
  <pageSetup paperSize="9" scale="95" firstPageNumber="0" orientation="landscape" horizontalDpi="4294967293" verticalDpi="300" r:id="rId1"/>
  <headerFooter alignWithMargins="0">
    <oddFooter>&amp;C&amp;"Times New Roman,Обычный"&amp;12Страница &amp;P</oddFooter>
  </headerFooter>
  <rowBreaks count="4" manualBreakCount="4">
    <brk id="29" max="8" man="1"/>
    <brk id="55" max="8" man="1"/>
    <brk id="81" max="8" man="1"/>
    <brk id="10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abSelected="1" view="pageBreakPreview" topLeftCell="A133" zoomScaleNormal="100" zoomScaleSheetLayoutView="100" workbookViewId="0">
      <selection activeCell="A137" sqref="A137:H144"/>
    </sheetView>
  </sheetViews>
  <sheetFormatPr defaultRowHeight="14.4"/>
  <cols>
    <col min="1" max="1" width="8.5546875" style="56" customWidth="1"/>
    <col min="2" max="2" width="5.44140625" style="56" customWidth="1"/>
    <col min="3" max="3" width="42.6640625" style="56" customWidth="1"/>
    <col min="4" max="4" width="9" style="56" customWidth="1"/>
    <col min="5" max="5" width="8.44140625" style="56" customWidth="1"/>
    <col min="6" max="6" width="8.6640625" style="56" customWidth="1"/>
    <col min="7" max="7" width="8.33203125" style="56" customWidth="1"/>
    <col min="8" max="8" width="18.5546875" style="56" customWidth="1"/>
    <col min="9" max="9" width="12.6640625" style="56" customWidth="1"/>
  </cols>
  <sheetData>
    <row r="1" spans="1:9" ht="15.6">
      <c r="A1" s="193" t="s">
        <v>0</v>
      </c>
      <c r="B1" s="193"/>
      <c r="C1" s="193"/>
      <c r="D1" s="57"/>
      <c r="E1" s="58"/>
      <c r="F1" s="59"/>
      <c r="G1" s="59"/>
      <c r="H1" s="59"/>
      <c r="I1" s="59"/>
    </row>
    <row r="2" spans="1:9" ht="16.2" thickBot="1">
      <c r="A2" s="193" t="s">
        <v>85</v>
      </c>
      <c r="B2" s="193"/>
      <c r="C2" s="193"/>
      <c r="D2" s="57"/>
      <c r="E2" s="58"/>
      <c r="F2" s="59"/>
      <c r="G2" s="59"/>
      <c r="H2" s="59"/>
      <c r="I2" s="59"/>
    </row>
    <row r="3" spans="1:9" ht="16.2" thickBot="1">
      <c r="A3" s="212" t="s">
        <v>2</v>
      </c>
      <c r="B3" s="213"/>
      <c r="C3" s="213"/>
      <c r="D3" s="213"/>
      <c r="E3" s="213"/>
      <c r="F3" s="213"/>
      <c r="G3" s="213"/>
      <c r="H3" s="213"/>
      <c r="I3" s="214"/>
    </row>
    <row r="4" spans="1:9" ht="15.6">
      <c r="A4" s="215" t="s">
        <v>3</v>
      </c>
      <c r="B4" s="216"/>
      <c r="C4" s="217"/>
      <c r="D4" s="203" t="s">
        <v>4</v>
      </c>
      <c r="E4" s="234" t="s">
        <v>5</v>
      </c>
      <c r="F4" s="235"/>
      <c r="G4" s="235"/>
      <c r="H4" s="236" t="s">
        <v>6</v>
      </c>
      <c r="I4" s="203" t="s">
        <v>7</v>
      </c>
    </row>
    <row r="5" spans="1:9" ht="16.2" thickBot="1">
      <c r="A5" s="218"/>
      <c r="B5" s="219"/>
      <c r="C5" s="220"/>
      <c r="D5" s="204"/>
      <c r="E5" s="151" t="s">
        <v>8</v>
      </c>
      <c r="F5" s="150" t="s">
        <v>9</v>
      </c>
      <c r="G5" s="150" t="s">
        <v>10</v>
      </c>
      <c r="H5" s="208"/>
      <c r="I5" s="204"/>
    </row>
    <row r="6" spans="1:9" ht="16.2" thickBot="1">
      <c r="A6" s="176" t="s">
        <v>19</v>
      </c>
      <c r="B6" s="177"/>
      <c r="C6" s="177"/>
      <c r="D6" s="177"/>
      <c r="E6" s="177"/>
      <c r="F6" s="177"/>
      <c r="G6" s="177"/>
      <c r="H6" s="177"/>
      <c r="I6" s="178"/>
    </row>
    <row r="7" spans="1:9" ht="15.6">
      <c r="A7" s="296" t="s">
        <v>48</v>
      </c>
      <c r="B7" s="296"/>
      <c r="C7" s="297"/>
      <c r="D7" s="164">
        <v>250</v>
      </c>
      <c r="E7" s="94">
        <f>10.75/1000*200</f>
        <v>2.15</v>
      </c>
      <c r="F7" s="95">
        <f>11.35/1000*200</f>
        <v>2.2699999999999996</v>
      </c>
      <c r="G7" s="95">
        <f>69.82/1000*200</f>
        <v>13.963999999999999</v>
      </c>
      <c r="H7" s="96">
        <f>473/1000*200</f>
        <v>94.6</v>
      </c>
      <c r="I7" s="19">
        <v>101</v>
      </c>
    </row>
    <row r="8" spans="1:9" ht="15.6">
      <c r="A8" s="182" t="s">
        <v>20</v>
      </c>
      <c r="B8" s="183"/>
      <c r="C8" s="184"/>
      <c r="D8" s="3">
        <v>150</v>
      </c>
      <c r="E8" s="11">
        <f>36.78/1000*150</f>
        <v>5.5170000000000003</v>
      </c>
      <c r="F8" s="12">
        <f>30.1/1000*150</f>
        <v>4.5150000000000006</v>
      </c>
      <c r="G8" s="12">
        <f>176.3/1000*150</f>
        <v>26.445</v>
      </c>
      <c r="H8" s="13">
        <f>1123/1000*150</f>
        <v>168.45</v>
      </c>
      <c r="I8" s="7">
        <v>309</v>
      </c>
    </row>
    <row r="9" spans="1:9" ht="15.6">
      <c r="A9" s="221" t="s">
        <v>21</v>
      </c>
      <c r="B9" s="222"/>
      <c r="C9" s="284"/>
      <c r="D9" s="25">
        <v>90</v>
      </c>
      <c r="E9" s="29">
        <v>8.15</v>
      </c>
      <c r="F9" s="30">
        <v>9.07</v>
      </c>
      <c r="G9" s="30">
        <v>9.85</v>
      </c>
      <c r="H9" s="31">
        <v>154</v>
      </c>
      <c r="I9" s="25">
        <v>268</v>
      </c>
    </row>
    <row r="10" spans="1:9" ht="15.6">
      <c r="A10" s="182" t="s">
        <v>14</v>
      </c>
      <c r="B10" s="183"/>
      <c r="C10" s="184"/>
      <c r="D10" s="3">
        <v>30</v>
      </c>
      <c r="E10" s="11">
        <v>2.37</v>
      </c>
      <c r="F10" s="12">
        <v>0.30000000000000004</v>
      </c>
      <c r="G10" s="12">
        <v>14.49</v>
      </c>
      <c r="H10" s="6">
        <v>70.5</v>
      </c>
      <c r="I10" s="7" t="s">
        <v>15</v>
      </c>
    </row>
    <row r="11" spans="1:9" ht="15.6">
      <c r="A11" s="182" t="s">
        <v>16</v>
      </c>
      <c r="B11" s="183"/>
      <c r="C11" s="184"/>
      <c r="D11" s="3">
        <v>30</v>
      </c>
      <c r="E11" s="11">
        <v>1.98</v>
      </c>
      <c r="F11" s="12">
        <v>0.36</v>
      </c>
      <c r="G11" s="12">
        <v>10.02</v>
      </c>
      <c r="H11" s="13">
        <v>52.2</v>
      </c>
      <c r="I11" s="7" t="s">
        <v>15</v>
      </c>
    </row>
    <row r="12" spans="1:9" ht="16.2" thickBot="1">
      <c r="A12" s="299" t="s">
        <v>23</v>
      </c>
      <c r="B12" s="294"/>
      <c r="C12" s="295"/>
      <c r="D12" s="126">
        <v>180</v>
      </c>
      <c r="E12" s="125">
        <f>2.2/1000*180</f>
        <v>0.39600000000000002</v>
      </c>
      <c r="F12" s="124">
        <f>0.1/1000*180</f>
        <v>1.8000000000000002E-2</v>
      </c>
      <c r="G12" s="124">
        <f>138.84/1000*180</f>
        <v>24.991199999999999</v>
      </c>
      <c r="H12" s="127">
        <f>565/1000*180</f>
        <v>101.69999999999999</v>
      </c>
      <c r="I12" s="128">
        <v>372</v>
      </c>
    </row>
    <row r="13" spans="1:9" ht="16.2" thickBot="1">
      <c r="A13" s="173" t="s">
        <v>24</v>
      </c>
      <c r="B13" s="174"/>
      <c r="C13" s="175"/>
      <c r="D13" s="85">
        <f>SUM(D7:D12)</f>
        <v>730</v>
      </c>
      <c r="E13" s="49">
        <f>SUM(E7:E12)</f>
        <v>20.563000000000002</v>
      </c>
      <c r="F13" s="50">
        <f>SUM(F7:F12)</f>
        <v>16.533000000000001</v>
      </c>
      <c r="G13" s="50">
        <f>SUM(G7:G12)</f>
        <v>99.760199999999998</v>
      </c>
      <c r="H13" s="51">
        <f>SUM(H7:H12)</f>
        <v>641.45000000000005</v>
      </c>
      <c r="I13" s="16"/>
    </row>
    <row r="14" spans="1:9" ht="15.6">
      <c r="A14" s="54"/>
      <c r="B14" s="62"/>
      <c r="C14" s="62"/>
      <c r="D14" s="62"/>
      <c r="E14" s="63"/>
      <c r="F14" s="64"/>
      <c r="G14" s="64"/>
      <c r="H14" s="64"/>
      <c r="I14" s="62"/>
    </row>
    <row r="15" spans="1:9" ht="15.6">
      <c r="A15" s="193" t="s">
        <v>0</v>
      </c>
      <c r="B15" s="193"/>
      <c r="C15" s="193"/>
      <c r="D15" s="57"/>
      <c r="E15" s="65"/>
      <c r="F15" s="65"/>
      <c r="G15" s="65"/>
      <c r="H15" s="65"/>
      <c r="I15" s="65"/>
    </row>
    <row r="16" spans="1:9" ht="16.2" thickBot="1">
      <c r="A16" s="193" t="s">
        <v>85</v>
      </c>
      <c r="B16" s="193"/>
      <c r="C16" s="193"/>
      <c r="D16" s="57"/>
      <c r="E16" s="65"/>
      <c r="F16" s="65"/>
      <c r="G16" s="65"/>
      <c r="H16" s="65"/>
      <c r="I16" s="65"/>
    </row>
    <row r="17" spans="1:9" ht="16.2" thickBot="1">
      <c r="A17" s="176" t="s">
        <v>26</v>
      </c>
      <c r="B17" s="177"/>
      <c r="C17" s="177"/>
      <c r="D17" s="177"/>
      <c r="E17" s="177"/>
      <c r="F17" s="177"/>
      <c r="G17" s="177"/>
      <c r="H17" s="177"/>
      <c r="I17" s="178"/>
    </row>
    <row r="18" spans="1:9" ht="15.6">
      <c r="A18" s="215" t="s">
        <v>3</v>
      </c>
      <c r="B18" s="216"/>
      <c r="C18" s="217"/>
      <c r="D18" s="203" t="s">
        <v>4</v>
      </c>
      <c r="E18" s="234" t="s">
        <v>5</v>
      </c>
      <c r="F18" s="235"/>
      <c r="G18" s="235"/>
      <c r="H18" s="236" t="s">
        <v>6</v>
      </c>
      <c r="I18" s="203" t="s">
        <v>7</v>
      </c>
    </row>
    <row r="19" spans="1:9" ht="16.2" thickBot="1">
      <c r="A19" s="218"/>
      <c r="B19" s="219"/>
      <c r="C19" s="220"/>
      <c r="D19" s="204"/>
      <c r="E19" s="151" t="s">
        <v>8</v>
      </c>
      <c r="F19" s="150" t="s">
        <v>9</v>
      </c>
      <c r="G19" s="150" t="s">
        <v>10</v>
      </c>
      <c r="H19" s="208"/>
      <c r="I19" s="204"/>
    </row>
    <row r="20" spans="1:9" ht="16.2" thickBot="1">
      <c r="A20" s="176" t="s">
        <v>19</v>
      </c>
      <c r="B20" s="177"/>
      <c r="C20" s="177"/>
      <c r="D20" s="177"/>
      <c r="E20" s="177"/>
      <c r="F20" s="177"/>
      <c r="G20" s="177"/>
      <c r="H20" s="177"/>
      <c r="I20" s="178"/>
    </row>
    <row r="21" spans="1:9" ht="15.6">
      <c r="A21" s="180" t="s">
        <v>32</v>
      </c>
      <c r="B21" s="180"/>
      <c r="C21" s="181"/>
      <c r="D21" s="149">
        <v>250</v>
      </c>
      <c r="E21" s="131">
        <f>7.21/1000*250</f>
        <v>1.8025</v>
      </c>
      <c r="F21" s="130">
        <f>19.68/1000*250</f>
        <v>4.92</v>
      </c>
      <c r="G21" s="130">
        <f>43.73/1000*250</f>
        <v>10.932499999999999</v>
      </c>
      <c r="H21" s="134">
        <f>415/1000*250</f>
        <v>103.75</v>
      </c>
      <c r="I21" s="19">
        <v>82</v>
      </c>
    </row>
    <row r="22" spans="1:9" ht="15.6">
      <c r="A22" s="183" t="s">
        <v>33</v>
      </c>
      <c r="B22" s="183"/>
      <c r="C22" s="184"/>
      <c r="D22" s="133">
        <v>90</v>
      </c>
      <c r="E22" s="132">
        <v>11.65</v>
      </c>
      <c r="F22" s="129">
        <v>11.66</v>
      </c>
      <c r="G22" s="129">
        <v>3.51</v>
      </c>
      <c r="H22" s="135">
        <v>166</v>
      </c>
      <c r="I22" s="7">
        <v>290</v>
      </c>
    </row>
    <row r="23" spans="1:9" ht="15.6">
      <c r="A23" s="183" t="s">
        <v>80</v>
      </c>
      <c r="B23" s="183"/>
      <c r="C23" s="184"/>
      <c r="D23" s="3">
        <v>150</v>
      </c>
      <c r="E23" s="11">
        <f>30.53/1000*150</f>
        <v>4.5795000000000003</v>
      </c>
      <c r="F23" s="12">
        <f>33.38/1000*150</f>
        <v>5.0069999999999997</v>
      </c>
      <c r="G23" s="12">
        <f>136.81/1000*150</f>
        <v>20.521500000000003</v>
      </c>
      <c r="H23" s="20">
        <f>970/1000*150</f>
        <v>145.5</v>
      </c>
      <c r="I23" s="7">
        <v>303</v>
      </c>
    </row>
    <row r="24" spans="1:9" ht="15.6">
      <c r="A24" s="222" t="s">
        <v>22</v>
      </c>
      <c r="B24" s="222"/>
      <c r="C24" s="284"/>
      <c r="D24" s="25">
        <v>30</v>
      </c>
      <c r="E24" s="11">
        <f>8.33/1000*30</f>
        <v>0.24990000000000001</v>
      </c>
      <c r="F24" s="12">
        <f>50.31/1000*30</f>
        <v>1.5093000000000001</v>
      </c>
      <c r="G24" s="12">
        <f>18.35/1000*30</f>
        <v>0.5505000000000001</v>
      </c>
      <c r="H24" s="20">
        <f>560/1000*30</f>
        <v>16.8</v>
      </c>
      <c r="I24" s="21"/>
    </row>
    <row r="25" spans="1:9" ht="15.6">
      <c r="A25" s="183" t="s">
        <v>34</v>
      </c>
      <c r="B25" s="183"/>
      <c r="C25" s="184"/>
      <c r="D25" s="3">
        <v>30</v>
      </c>
      <c r="E25" s="11">
        <v>2.37</v>
      </c>
      <c r="F25" s="12">
        <v>0.30000000000000004</v>
      </c>
      <c r="G25" s="12">
        <v>14.49</v>
      </c>
      <c r="H25" s="6">
        <v>70.5</v>
      </c>
      <c r="I25" s="7" t="s">
        <v>15</v>
      </c>
    </row>
    <row r="26" spans="1:9" ht="15.6">
      <c r="A26" s="183" t="s">
        <v>16</v>
      </c>
      <c r="B26" s="183"/>
      <c r="C26" s="184"/>
      <c r="D26" s="3">
        <v>30</v>
      </c>
      <c r="E26" s="4">
        <v>1.98</v>
      </c>
      <c r="F26" s="5">
        <v>0.36</v>
      </c>
      <c r="G26" s="5">
        <v>10.02</v>
      </c>
      <c r="H26" s="6">
        <v>52.2</v>
      </c>
      <c r="I26" s="7" t="s">
        <v>15</v>
      </c>
    </row>
    <row r="27" spans="1:9" ht="16.2" thickBot="1">
      <c r="A27" s="294" t="s">
        <v>35</v>
      </c>
      <c r="B27" s="294"/>
      <c r="C27" s="295"/>
      <c r="D27" s="126">
        <v>180</v>
      </c>
      <c r="E27" s="125">
        <f>2.2/1000*180</f>
        <v>0.39600000000000002</v>
      </c>
      <c r="F27" s="124">
        <f>0.1/1000*180</f>
        <v>1.8000000000000002E-2</v>
      </c>
      <c r="G27" s="124">
        <f>138.84/1000*180</f>
        <v>24.991199999999999</v>
      </c>
      <c r="H27" s="127">
        <f>565/1000*180</f>
        <v>101.69999999999999</v>
      </c>
      <c r="I27" s="128">
        <v>376</v>
      </c>
    </row>
    <row r="28" spans="1:9" ht="16.2" thickBot="1">
      <c r="A28" s="173" t="s">
        <v>24</v>
      </c>
      <c r="B28" s="174"/>
      <c r="C28" s="175"/>
      <c r="D28" s="85">
        <f>SUM(D21:D27)</f>
        <v>760</v>
      </c>
      <c r="E28" s="49">
        <f>SUM(E21:E27)</f>
        <v>23.027900000000002</v>
      </c>
      <c r="F28" s="50">
        <f>SUM(F21:F27)</f>
        <v>23.774299999999997</v>
      </c>
      <c r="G28" s="50">
        <f>SUM(G21:G27)</f>
        <v>85.01570000000001</v>
      </c>
      <c r="H28" s="51">
        <f>SUM(H21:H27)</f>
        <v>656.45</v>
      </c>
      <c r="I28" s="16"/>
    </row>
    <row r="29" spans="1:9">
      <c r="A29" s="66"/>
      <c r="B29" s="66"/>
      <c r="C29" s="66"/>
      <c r="D29" s="67"/>
      <c r="E29" s="63"/>
      <c r="F29" s="64"/>
      <c r="G29" s="64"/>
      <c r="H29" s="64"/>
      <c r="I29" s="66"/>
    </row>
    <row r="30" spans="1:9" ht="15.6">
      <c r="A30" s="193" t="s">
        <v>0</v>
      </c>
      <c r="B30" s="193"/>
      <c r="C30" s="193"/>
      <c r="D30" s="57"/>
      <c r="E30" s="65"/>
      <c r="F30" s="65"/>
      <c r="G30" s="65"/>
      <c r="H30" s="65"/>
      <c r="I30" s="65"/>
    </row>
    <row r="31" spans="1:9" ht="16.2" thickBot="1">
      <c r="A31" s="193" t="s">
        <v>85</v>
      </c>
      <c r="B31" s="193"/>
      <c r="C31" s="193"/>
      <c r="D31" s="57"/>
      <c r="E31" s="65"/>
      <c r="F31" s="65"/>
      <c r="G31" s="65"/>
      <c r="H31" s="65"/>
      <c r="I31" s="65"/>
    </row>
    <row r="32" spans="1:9" ht="16.2" thickBot="1">
      <c r="A32" s="212" t="s">
        <v>37</v>
      </c>
      <c r="B32" s="213"/>
      <c r="C32" s="213"/>
      <c r="D32" s="213"/>
      <c r="E32" s="213"/>
      <c r="F32" s="213"/>
      <c r="G32" s="213"/>
      <c r="H32" s="213"/>
      <c r="I32" s="214"/>
    </row>
    <row r="33" spans="1:9" ht="15.6">
      <c r="A33" s="230" t="s">
        <v>3</v>
      </c>
      <c r="B33" s="231"/>
      <c r="C33" s="232"/>
      <c r="D33" s="237" t="s">
        <v>4</v>
      </c>
      <c r="E33" s="234" t="s">
        <v>5</v>
      </c>
      <c r="F33" s="235"/>
      <c r="G33" s="235"/>
      <c r="H33" s="236" t="s">
        <v>6</v>
      </c>
      <c r="I33" s="237" t="s">
        <v>7</v>
      </c>
    </row>
    <row r="34" spans="1:9" ht="16.2" thickBot="1">
      <c r="A34" s="218"/>
      <c r="B34" s="219"/>
      <c r="C34" s="220"/>
      <c r="D34" s="204"/>
      <c r="E34" s="151" t="s">
        <v>8</v>
      </c>
      <c r="F34" s="150" t="s">
        <v>9</v>
      </c>
      <c r="G34" s="150" t="s">
        <v>10</v>
      </c>
      <c r="H34" s="208"/>
      <c r="I34" s="204"/>
    </row>
    <row r="35" spans="1:9" ht="16.2" thickBot="1">
      <c r="A35" s="212" t="s">
        <v>19</v>
      </c>
      <c r="B35" s="213"/>
      <c r="C35" s="213"/>
      <c r="D35" s="213"/>
      <c r="E35" s="213"/>
      <c r="F35" s="213"/>
      <c r="G35" s="213"/>
      <c r="H35" s="213"/>
      <c r="I35" s="214"/>
    </row>
    <row r="36" spans="1:9" ht="15.6">
      <c r="A36" s="186" t="s">
        <v>56</v>
      </c>
      <c r="B36" s="187"/>
      <c r="C36" s="301"/>
      <c r="D36" s="152">
        <v>250</v>
      </c>
      <c r="E36" s="28">
        <f>10.75/1000*200</f>
        <v>2.15</v>
      </c>
      <c r="F36" s="17">
        <f>11.35/1000*200</f>
        <v>2.2699999999999996</v>
      </c>
      <c r="G36" s="17">
        <f>69.82/1000*200</f>
        <v>13.963999999999999</v>
      </c>
      <c r="H36" s="18">
        <f>473/1000*200</f>
        <v>94.6</v>
      </c>
      <c r="I36" s="19">
        <v>103</v>
      </c>
    </row>
    <row r="37" spans="1:9" ht="15.6">
      <c r="A37" s="182" t="s">
        <v>42</v>
      </c>
      <c r="B37" s="183"/>
      <c r="C37" s="184"/>
      <c r="D37" s="3">
        <v>200</v>
      </c>
      <c r="E37" s="4">
        <v>12.5</v>
      </c>
      <c r="F37" s="5">
        <v>11.17</v>
      </c>
      <c r="G37" s="5">
        <v>12.9</v>
      </c>
      <c r="H37" s="6">
        <v>202</v>
      </c>
      <c r="I37" s="7">
        <v>292</v>
      </c>
    </row>
    <row r="38" spans="1:9" ht="15.6" customHeight="1">
      <c r="A38" s="227" t="s">
        <v>41</v>
      </c>
      <c r="B38" s="228"/>
      <c r="C38" s="229"/>
      <c r="D38" s="99">
        <v>50</v>
      </c>
      <c r="E38" s="8">
        <v>4.71</v>
      </c>
      <c r="F38" s="9">
        <v>7.42</v>
      </c>
      <c r="G38" s="9">
        <v>25.58</v>
      </c>
      <c r="H38" s="10">
        <v>188</v>
      </c>
      <c r="I38" s="21" t="s">
        <v>15</v>
      </c>
    </row>
    <row r="39" spans="1:9" ht="15.6">
      <c r="A39" s="182" t="s">
        <v>34</v>
      </c>
      <c r="B39" s="183"/>
      <c r="C39" s="184"/>
      <c r="D39" s="3">
        <v>30</v>
      </c>
      <c r="E39" s="11">
        <v>2.37</v>
      </c>
      <c r="F39" s="12">
        <v>0.30000000000000004</v>
      </c>
      <c r="G39" s="12">
        <v>14.49</v>
      </c>
      <c r="H39" s="6">
        <v>70.5</v>
      </c>
      <c r="I39" s="7" t="s">
        <v>15</v>
      </c>
    </row>
    <row r="40" spans="1:9" ht="15.6">
      <c r="A40" s="182" t="s">
        <v>16</v>
      </c>
      <c r="B40" s="183"/>
      <c r="C40" s="184"/>
      <c r="D40" s="3">
        <v>30</v>
      </c>
      <c r="E40" s="11">
        <v>1.98</v>
      </c>
      <c r="F40" s="12">
        <v>0.36</v>
      </c>
      <c r="G40" s="12">
        <v>10.02</v>
      </c>
      <c r="H40" s="13">
        <v>52.2</v>
      </c>
      <c r="I40" s="7" t="s">
        <v>15</v>
      </c>
    </row>
    <row r="41" spans="1:9" ht="16.2" customHeight="1" thickBot="1">
      <c r="A41" s="299" t="s">
        <v>23</v>
      </c>
      <c r="B41" s="294"/>
      <c r="C41" s="295"/>
      <c r="D41" s="126">
        <v>180</v>
      </c>
      <c r="E41" s="125">
        <f>2.2/1000*180</f>
        <v>0.39600000000000002</v>
      </c>
      <c r="F41" s="124">
        <f>0.1/1000*180</f>
        <v>1.8000000000000002E-2</v>
      </c>
      <c r="G41" s="124">
        <f>138.84/1000*180</f>
        <v>24.991199999999999</v>
      </c>
      <c r="H41" s="127">
        <f>565/1000*180</f>
        <v>101.69999999999999</v>
      </c>
      <c r="I41" s="128">
        <v>372</v>
      </c>
    </row>
    <row r="42" spans="1:9" ht="16.2" thickBot="1">
      <c r="A42" s="173" t="s">
        <v>24</v>
      </c>
      <c r="B42" s="174"/>
      <c r="C42" s="175"/>
      <c r="D42" s="85">
        <f>SUM(D36:D41)</f>
        <v>740</v>
      </c>
      <c r="E42" s="49">
        <f>SUM(E36:E41)</f>
        <v>24.106000000000002</v>
      </c>
      <c r="F42" s="50">
        <f>SUM(F36:F41)</f>
        <v>21.538</v>
      </c>
      <c r="G42" s="50">
        <f>SUM(G36:G41)</f>
        <v>101.9452</v>
      </c>
      <c r="H42" s="51">
        <f>SUM(H36:H41)</f>
        <v>709</v>
      </c>
      <c r="I42" s="16"/>
    </row>
    <row r="43" spans="1:9">
      <c r="A43" s="66"/>
      <c r="B43" s="66"/>
      <c r="C43" s="66"/>
      <c r="D43" s="67"/>
      <c r="E43" s="63"/>
      <c r="F43" s="64"/>
      <c r="G43" s="64"/>
      <c r="H43" s="64"/>
      <c r="I43" s="66"/>
    </row>
    <row r="44" spans="1:9" ht="15.6">
      <c r="A44" s="193" t="s">
        <v>0</v>
      </c>
      <c r="B44" s="193"/>
      <c r="C44" s="193"/>
      <c r="D44" s="57"/>
      <c r="E44" s="65"/>
      <c r="F44" s="65"/>
      <c r="G44" s="65"/>
      <c r="H44" s="65"/>
      <c r="I44" s="65"/>
    </row>
    <row r="45" spans="1:9" ht="16.2" thickBot="1">
      <c r="A45" s="193" t="s">
        <v>85</v>
      </c>
      <c r="B45" s="193"/>
      <c r="C45" s="193"/>
      <c r="D45" s="57"/>
      <c r="E45" s="65"/>
      <c r="F45" s="65"/>
      <c r="G45" s="65"/>
      <c r="H45" s="65"/>
      <c r="I45" s="65"/>
    </row>
    <row r="46" spans="1:9" ht="16.2" thickBot="1">
      <c r="A46" s="212" t="s">
        <v>43</v>
      </c>
      <c r="B46" s="213"/>
      <c r="C46" s="213"/>
      <c r="D46" s="213"/>
      <c r="E46" s="213"/>
      <c r="F46" s="213"/>
      <c r="G46" s="213"/>
      <c r="H46" s="213"/>
      <c r="I46" s="214"/>
    </row>
    <row r="47" spans="1:9" ht="15.6">
      <c r="A47" s="215" t="s">
        <v>3</v>
      </c>
      <c r="B47" s="216"/>
      <c r="C47" s="217"/>
      <c r="D47" s="203" t="s">
        <v>4</v>
      </c>
      <c r="E47" s="234" t="s">
        <v>5</v>
      </c>
      <c r="F47" s="235"/>
      <c r="G47" s="235"/>
      <c r="H47" s="236" t="s">
        <v>6</v>
      </c>
      <c r="I47" s="203" t="s">
        <v>7</v>
      </c>
    </row>
    <row r="48" spans="1:9" ht="16.2" thickBot="1">
      <c r="A48" s="218"/>
      <c r="B48" s="219"/>
      <c r="C48" s="220"/>
      <c r="D48" s="204"/>
      <c r="E48" s="151" t="s">
        <v>8</v>
      </c>
      <c r="F48" s="150" t="s">
        <v>9</v>
      </c>
      <c r="G48" s="150" t="s">
        <v>10</v>
      </c>
      <c r="H48" s="208"/>
      <c r="I48" s="233"/>
    </row>
    <row r="49" spans="1:9" ht="16.2" thickBot="1">
      <c r="A49" s="212" t="s">
        <v>19</v>
      </c>
      <c r="B49" s="213"/>
      <c r="C49" s="213"/>
      <c r="D49" s="213"/>
      <c r="E49" s="213"/>
      <c r="F49" s="213"/>
      <c r="G49" s="213"/>
      <c r="H49" s="213"/>
      <c r="I49" s="214"/>
    </row>
    <row r="50" spans="1:9" ht="15.6">
      <c r="A50" s="300" t="s">
        <v>44</v>
      </c>
      <c r="B50" s="296"/>
      <c r="C50" s="297"/>
      <c r="D50" s="149">
        <v>250</v>
      </c>
      <c r="E50" s="94">
        <v>1.27</v>
      </c>
      <c r="F50" s="95">
        <v>3.99</v>
      </c>
      <c r="G50" s="95">
        <v>7.32</v>
      </c>
      <c r="H50" s="96">
        <v>76.2</v>
      </c>
      <c r="I50" s="19">
        <v>99</v>
      </c>
    </row>
    <row r="51" spans="1:9" ht="15.6">
      <c r="A51" s="182" t="s">
        <v>45</v>
      </c>
      <c r="B51" s="183"/>
      <c r="C51" s="184"/>
      <c r="D51" s="3">
        <v>90</v>
      </c>
      <c r="E51" s="4">
        <v>8.7799999999999994</v>
      </c>
      <c r="F51" s="5">
        <v>4.09</v>
      </c>
      <c r="G51" s="5">
        <v>3.45</v>
      </c>
      <c r="H51" s="6">
        <v>98</v>
      </c>
      <c r="I51" s="7">
        <v>292</v>
      </c>
    </row>
    <row r="52" spans="1:9" ht="15.6">
      <c r="A52" s="182" t="s">
        <v>81</v>
      </c>
      <c r="B52" s="183"/>
      <c r="C52" s="184"/>
      <c r="D52" s="3">
        <v>150</v>
      </c>
      <c r="E52" s="4">
        <f>17.08/1000*180</f>
        <v>3.0743999999999998</v>
      </c>
      <c r="F52" s="5">
        <f>27.08/1000*180</f>
        <v>4.8743999999999996</v>
      </c>
      <c r="G52" s="5">
        <f>177.15/1000*180</f>
        <v>31.887</v>
      </c>
      <c r="H52" s="6">
        <f>1027/1000*180</f>
        <v>184.85999999999999</v>
      </c>
      <c r="I52" s="7">
        <v>303</v>
      </c>
    </row>
    <row r="53" spans="1:9" ht="15.6">
      <c r="A53" s="182" t="s">
        <v>34</v>
      </c>
      <c r="B53" s="183"/>
      <c r="C53" s="184"/>
      <c r="D53" s="3">
        <v>30</v>
      </c>
      <c r="E53" s="11">
        <v>2.37</v>
      </c>
      <c r="F53" s="12">
        <v>0.30000000000000004</v>
      </c>
      <c r="G53" s="12">
        <v>14.49</v>
      </c>
      <c r="H53" s="6">
        <v>70.5</v>
      </c>
      <c r="I53" s="7" t="s">
        <v>15</v>
      </c>
    </row>
    <row r="54" spans="1:9" ht="15.6">
      <c r="A54" s="182" t="s">
        <v>16</v>
      </c>
      <c r="B54" s="183"/>
      <c r="C54" s="184"/>
      <c r="D54" s="3">
        <v>30</v>
      </c>
      <c r="E54" s="11">
        <v>1.98</v>
      </c>
      <c r="F54" s="12">
        <v>0.36</v>
      </c>
      <c r="G54" s="12">
        <v>10.02</v>
      </c>
      <c r="H54" s="13">
        <v>52.2</v>
      </c>
      <c r="I54" s="7" t="s">
        <v>15</v>
      </c>
    </row>
    <row r="55" spans="1:9" ht="16.2" thickBot="1">
      <c r="A55" s="299" t="s">
        <v>23</v>
      </c>
      <c r="B55" s="294"/>
      <c r="C55" s="295"/>
      <c r="D55" s="126">
        <v>180</v>
      </c>
      <c r="E55" s="125">
        <f>2.2/1000*180</f>
        <v>0.39600000000000002</v>
      </c>
      <c r="F55" s="124">
        <f>0.1/1000*180</f>
        <v>1.8000000000000002E-2</v>
      </c>
      <c r="G55" s="124">
        <f>138.84/1000*180</f>
        <v>24.991199999999999</v>
      </c>
      <c r="H55" s="127">
        <f>565/1000*180</f>
        <v>101.69999999999999</v>
      </c>
      <c r="I55" s="128">
        <v>372</v>
      </c>
    </row>
    <row r="56" spans="1:9" ht="16.2" thickBot="1">
      <c r="A56" s="173" t="s">
        <v>24</v>
      </c>
      <c r="B56" s="174"/>
      <c r="C56" s="175"/>
      <c r="D56" s="85">
        <f>SUM(D50:D55)</f>
        <v>730</v>
      </c>
      <c r="E56" s="49">
        <f>SUM(E50:E55)</f>
        <v>17.8704</v>
      </c>
      <c r="F56" s="50">
        <f>SUM(F50:F55)</f>
        <v>13.632400000000001</v>
      </c>
      <c r="G56" s="50">
        <f>SUM(G50:G55)</f>
        <v>92.158199999999994</v>
      </c>
      <c r="H56" s="51">
        <f>SUM(H50:H55)</f>
        <v>583.45999999999992</v>
      </c>
      <c r="I56" s="16"/>
    </row>
    <row r="57" spans="1:9">
      <c r="A57" s="66"/>
      <c r="B57" s="66"/>
      <c r="C57" s="66"/>
      <c r="D57" s="67"/>
      <c r="E57" s="63"/>
      <c r="F57" s="64"/>
      <c r="G57" s="64"/>
      <c r="H57" s="64"/>
      <c r="I57" s="66"/>
    </row>
    <row r="58" spans="1:9" ht="15.6">
      <c r="A58" s="193" t="s">
        <v>0</v>
      </c>
      <c r="B58" s="193"/>
      <c r="C58" s="193"/>
      <c r="D58" s="57"/>
      <c r="E58" s="65"/>
      <c r="F58" s="65"/>
      <c r="G58" s="65"/>
      <c r="H58" s="65"/>
      <c r="I58" s="65"/>
    </row>
    <row r="59" spans="1:9" ht="16.2" thickBot="1">
      <c r="A59" s="193" t="s">
        <v>85</v>
      </c>
      <c r="B59" s="193"/>
      <c r="C59" s="193"/>
      <c r="D59" s="57"/>
      <c r="E59" s="65"/>
      <c r="F59" s="65"/>
      <c r="G59" s="65"/>
      <c r="H59" s="65"/>
      <c r="I59" s="65"/>
    </row>
    <row r="60" spans="1:9" ht="16.2" thickBot="1">
      <c r="A60" s="212" t="s">
        <v>46</v>
      </c>
      <c r="B60" s="213"/>
      <c r="C60" s="213"/>
      <c r="D60" s="213"/>
      <c r="E60" s="213"/>
      <c r="F60" s="213"/>
      <c r="G60" s="213"/>
      <c r="H60" s="213"/>
      <c r="I60" s="214"/>
    </row>
    <row r="61" spans="1:9" ht="15.6">
      <c r="A61" s="231" t="s">
        <v>3</v>
      </c>
      <c r="B61" s="231"/>
      <c r="C61" s="231"/>
      <c r="D61" s="235" t="s">
        <v>4</v>
      </c>
      <c r="E61" s="235" t="s">
        <v>5</v>
      </c>
      <c r="F61" s="235"/>
      <c r="G61" s="235"/>
      <c r="H61" s="236" t="s">
        <v>6</v>
      </c>
      <c r="I61" s="203" t="s">
        <v>7</v>
      </c>
    </row>
    <row r="62" spans="1:9" ht="16.2" thickBot="1">
      <c r="A62" s="219"/>
      <c r="B62" s="219"/>
      <c r="C62" s="219"/>
      <c r="D62" s="245"/>
      <c r="E62" s="150" t="s">
        <v>8</v>
      </c>
      <c r="F62" s="150" t="s">
        <v>9</v>
      </c>
      <c r="G62" s="150" t="s">
        <v>10</v>
      </c>
      <c r="H62" s="208"/>
      <c r="I62" s="233"/>
    </row>
    <row r="63" spans="1:9" ht="16.2" thickBot="1">
      <c r="A63" s="212" t="s">
        <v>19</v>
      </c>
      <c r="B63" s="213"/>
      <c r="C63" s="213"/>
      <c r="D63" s="213"/>
      <c r="E63" s="213"/>
      <c r="F63" s="213"/>
      <c r="G63" s="213"/>
      <c r="H63" s="213"/>
      <c r="I63" s="214"/>
    </row>
    <row r="64" spans="1:9" ht="15.6">
      <c r="A64" s="296" t="s">
        <v>48</v>
      </c>
      <c r="B64" s="296"/>
      <c r="C64" s="297"/>
      <c r="D64" s="149">
        <v>250</v>
      </c>
      <c r="E64" s="94">
        <f>10.75/1000*200</f>
        <v>2.15</v>
      </c>
      <c r="F64" s="95">
        <f>11.35/1000*200</f>
        <v>2.2699999999999996</v>
      </c>
      <c r="G64" s="95">
        <f>69.82/1000*200</f>
        <v>13.963999999999999</v>
      </c>
      <c r="H64" s="96">
        <f>473/1000*200</f>
        <v>94.6</v>
      </c>
      <c r="I64" s="19">
        <v>101</v>
      </c>
    </row>
    <row r="65" spans="1:9" ht="15.6">
      <c r="A65" s="228" t="s">
        <v>28</v>
      </c>
      <c r="B65" s="228"/>
      <c r="C65" s="298"/>
      <c r="D65" s="25">
        <v>150</v>
      </c>
      <c r="E65" s="8">
        <v>3.2</v>
      </c>
      <c r="F65" s="9">
        <v>9.4600000000000009</v>
      </c>
      <c r="G65" s="9">
        <v>18.579999999999998</v>
      </c>
      <c r="H65" s="10">
        <v>178.61</v>
      </c>
      <c r="I65" s="25">
        <v>312</v>
      </c>
    </row>
    <row r="66" spans="1:9" ht="15.6">
      <c r="A66" s="222" t="s">
        <v>83</v>
      </c>
      <c r="B66" s="222"/>
      <c r="C66" s="284"/>
      <c r="D66" s="25">
        <v>90</v>
      </c>
      <c r="E66" s="29">
        <v>8.15</v>
      </c>
      <c r="F66" s="30">
        <v>9.07</v>
      </c>
      <c r="G66" s="30">
        <v>9.85</v>
      </c>
      <c r="H66" s="31">
        <v>154</v>
      </c>
      <c r="I66" s="25">
        <v>294</v>
      </c>
    </row>
    <row r="67" spans="1:9" ht="15.6">
      <c r="A67" s="183" t="s">
        <v>38</v>
      </c>
      <c r="B67" s="183"/>
      <c r="C67" s="184"/>
      <c r="D67" s="3">
        <v>30</v>
      </c>
      <c r="E67" s="11">
        <v>1.0242</v>
      </c>
      <c r="F67" s="12">
        <v>3.0024000000000002</v>
      </c>
      <c r="G67" s="12">
        <v>5.0747999999999998</v>
      </c>
      <c r="H67" s="20">
        <v>51.42</v>
      </c>
      <c r="I67" s="3"/>
    </row>
    <row r="68" spans="1:9" ht="15.6">
      <c r="A68" s="183" t="s">
        <v>34</v>
      </c>
      <c r="B68" s="183"/>
      <c r="C68" s="184"/>
      <c r="D68" s="3">
        <v>30</v>
      </c>
      <c r="E68" s="11">
        <v>2.37</v>
      </c>
      <c r="F68" s="12">
        <v>0.3</v>
      </c>
      <c r="G68" s="12">
        <v>14.49</v>
      </c>
      <c r="H68" s="6">
        <v>70.5</v>
      </c>
      <c r="I68" s="7" t="s">
        <v>15</v>
      </c>
    </row>
    <row r="69" spans="1:9" ht="15.6">
      <c r="A69" s="222" t="s">
        <v>16</v>
      </c>
      <c r="B69" s="222"/>
      <c r="C69" s="284"/>
      <c r="D69" s="25">
        <v>30</v>
      </c>
      <c r="E69" s="29">
        <v>1.98</v>
      </c>
      <c r="F69" s="30">
        <v>0.36</v>
      </c>
      <c r="G69" s="30">
        <v>10.02</v>
      </c>
      <c r="H69" s="31">
        <v>52.2</v>
      </c>
      <c r="I69" s="21" t="s">
        <v>15</v>
      </c>
    </row>
    <row r="70" spans="1:9" ht="16.2" thickBot="1">
      <c r="A70" s="294" t="s">
        <v>23</v>
      </c>
      <c r="B70" s="294"/>
      <c r="C70" s="295"/>
      <c r="D70" s="126">
        <v>180</v>
      </c>
      <c r="E70" s="125">
        <f>2.2/1000*180</f>
        <v>0.39600000000000002</v>
      </c>
      <c r="F70" s="124">
        <f>0.1/1000*180</f>
        <v>1.8000000000000002E-2</v>
      </c>
      <c r="G70" s="124">
        <f>138.84/1000*180</f>
        <v>24.991199999999999</v>
      </c>
      <c r="H70" s="127">
        <f>565/1000*180</f>
        <v>101.69999999999999</v>
      </c>
      <c r="I70" s="128">
        <v>372</v>
      </c>
    </row>
    <row r="71" spans="1:9" ht="16.2" thickBot="1">
      <c r="A71" s="173" t="s">
        <v>24</v>
      </c>
      <c r="B71" s="174"/>
      <c r="C71" s="175"/>
      <c r="D71" s="85">
        <f>SUM(D64:D70)</f>
        <v>760</v>
      </c>
      <c r="E71" s="49">
        <f>SUM(E64:E70)</f>
        <v>19.270200000000003</v>
      </c>
      <c r="F71" s="50">
        <f>SUM(F64:F70)</f>
        <v>24.480400000000003</v>
      </c>
      <c r="G71" s="50">
        <f>SUM(G64:G70)</f>
        <v>96.97</v>
      </c>
      <c r="H71" s="51">
        <f>SUM(H64:H70)</f>
        <v>703.0300000000002</v>
      </c>
      <c r="I71" s="16"/>
    </row>
    <row r="72" spans="1:9">
      <c r="A72" s="66"/>
      <c r="B72" s="66"/>
      <c r="C72" s="66"/>
      <c r="D72" s="67"/>
      <c r="E72" s="63"/>
      <c r="F72" s="64"/>
      <c r="G72" s="64"/>
      <c r="H72" s="64"/>
      <c r="I72" s="66"/>
    </row>
    <row r="73" spans="1:9" ht="15.6">
      <c r="A73" s="193" t="s">
        <v>51</v>
      </c>
      <c r="B73" s="193"/>
      <c r="C73" s="193"/>
      <c r="D73" s="60"/>
      <c r="E73" s="65"/>
      <c r="F73" s="65"/>
      <c r="G73" s="65"/>
      <c r="H73" s="65"/>
      <c r="I73" s="65"/>
    </row>
    <row r="74" spans="1:9" ht="16.2" thickBot="1">
      <c r="A74" s="193" t="s">
        <v>85</v>
      </c>
      <c r="B74" s="193"/>
      <c r="C74" s="193"/>
      <c r="D74" s="60"/>
      <c r="E74" s="65"/>
      <c r="F74" s="65"/>
      <c r="G74" s="65"/>
      <c r="H74" s="65"/>
      <c r="I74" s="65"/>
    </row>
    <row r="75" spans="1:9" ht="16.2" thickBot="1">
      <c r="A75" s="212" t="s">
        <v>52</v>
      </c>
      <c r="B75" s="213"/>
      <c r="C75" s="213"/>
      <c r="D75" s="213"/>
      <c r="E75" s="213"/>
      <c r="F75" s="213"/>
      <c r="G75" s="213"/>
      <c r="H75" s="213"/>
      <c r="I75" s="214"/>
    </row>
    <row r="76" spans="1:9" ht="15.6">
      <c r="A76" s="215" t="s">
        <v>3</v>
      </c>
      <c r="B76" s="216"/>
      <c r="C76" s="217"/>
      <c r="D76" s="234" t="s">
        <v>4</v>
      </c>
      <c r="E76" s="235" t="s">
        <v>5</v>
      </c>
      <c r="F76" s="235"/>
      <c r="G76" s="235"/>
      <c r="H76" s="235" t="s">
        <v>6</v>
      </c>
      <c r="I76" s="291" t="s">
        <v>7</v>
      </c>
    </row>
    <row r="77" spans="1:9" ht="16.2" thickBot="1">
      <c r="A77" s="261"/>
      <c r="B77" s="262"/>
      <c r="C77" s="263"/>
      <c r="D77" s="293"/>
      <c r="E77" s="150" t="s">
        <v>8</v>
      </c>
      <c r="F77" s="150" t="s">
        <v>9</v>
      </c>
      <c r="G77" s="150" t="s">
        <v>10</v>
      </c>
      <c r="H77" s="245"/>
      <c r="I77" s="246"/>
    </row>
    <row r="78" spans="1:9" ht="16.2" thickBot="1">
      <c r="A78" s="212" t="s">
        <v>19</v>
      </c>
      <c r="B78" s="213"/>
      <c r="C78" s="213"/>
      <c r="D78" s="213"/>
      <c r="E78" s="213"/>
      <c r="F78" s="213"/>
      <c r="G78" s="213"/>
      <c r="H78" s="213"/>
      <c r="I78" s="214"/>
    </row>
    <row r="79" spans="1:9" ht="15.6" customHeight="1">
      <c r="A79" s="180" t="s">
        <v>32</v>
      </c>
      <c r="B79" s="180"/>
      <c r="C79" s="181"/>
      <c r="D79" s="164">
        <v>250</v>
      </c>
      <c r="E79" s="131">
        <f>7.21/1000*250</f>
        <v>1.8025</v>
      </c>
      <c r="F79" s="130">
        <f>19.68/1000*250</f>
        <v>4.92</v>
      </c>
      <c r="G79" s="130">
        <f>43.73/1000*250</f>
        <v>10.932499999999999</v>
      </c>
      <c r="H79" s="134">
        <f>415/1000*250</f>
        <v>103.75</v>
      </c>
      <c r="I79" s="19">
        <v>82</v>
      </c>
    </row>
    <row r="80" spans="1:9" ht="15.6">
      <c r="A80" s="182" t="s">
        <v>39</v>
      </c>
      <c r="B80" s="183"/>
      <c r="C80" s="184"/>
      <c r="D80" s="3">
        <v>200</v>
      </c>
      <c r="E80" s="11">
        <v>15.204000000000001</v>
      </c>
      <c r="F80" s="32">
        <v>8.8800000000000008</v>
      </c>
      <c r="G80" s="12">
        <v>32.808</v>
      </c>
      <c r="H80" s="13">
        <v>272.39999999999998</v>
      </c>
      <c r="I80" s="7">
        <v>291</v>
      </c>
    </row>
    <row r="81" spans="1:9" ht="15.6">
      <c r="A81" s="221" t="s">
        <v>22</v>
      </c>
      <c r="B81" s="222"/>
      <c r="C81" s="284"/>
      <c r="D81" s="25">
        <v>30</v>
      </c>
      <c r="E81" s="11">
        <f>8.33/1000*30</f>
        <v>0.24990000000000001</v>
      </c>
      <c r="F81" s="12">
        <f>50.31/1000*30</f>
        <v>1.5093000000000001</v>
      </c>
      <c r="G81" s="12">
        <f>18.35/1000*30</f>
        <v>0.5505000000000001</v>
      </c>
      <c r="H81" s="20">
        <f>560/1000*30</f>
        <v>16.8</v>
      </c>
      <c r="I81" s="21"/>
    </row>
    <row r="82" spans="1:9" ht="15.6">
      <c r="A82" s="285" t="s">
        <v>23</v>
      </c>
      <c r="B82" s="286"/>
      <c r="C82" s="287"/>
      <c r="D82" s="33">
        <v>180</v>
      </c>
      <c r="E82" s="34">
        <f>2.2/1000*180</f>
        <v>0.39600000000000002</v>
      </c>
      <c r="F82" s="22">
        <f>0.1/1000*180</f>
        <v>1.8000000000000002E-2</v>
      </c>
      <c r="G82" s="22">
        <f>138.84/1000*180</f>
        <v>24.991199999999999</v>
      </c>
      <c r="H82" s="23">
        <f>565/1000*180</f>
        <v>101.69999999999999</v>
      </c>
      <c r="I82" s="24">
        <v>372</v>
      </c>
    </row>
    <row r="83" spans="1:9" ht="15.6">
      <c r="A83" s="182" t="s">
        <v>34</v>
      </c>
      <c r="B83" s="183"/>
      <c r="C83" s="184"/>
      <c r="D83" s="3">
        <v>30</v>
      </c>
      <c r="E83" s="11">
        <v>2.37</v>
      </c>
      <c r="F83" s="12">
        <v>0.30000000000000004</v>
      </c>
      <c r="G83" s="12">
        <v>14.49</v>
      </c>
      <c r="H83" s="6">
        <v>70.5</v>
      </c>
      <c r="I83" s="7" t="s">
        <v>15</v>
      </c>
    </row>
    <row r="84" spans="1:9" ht="15.6">
      <c r="A84" s="221" t="s">
        <v>16</v>
      </c>
      <c r="B84" s="222"/>
      <c r="C84" s="284"/>
      <c r="D84" s="25">
        <v>30</v>
      </c>
      <c r="E84" s="29">
        <f>1.98/50*30</f>
        <v>1.1879999999999999</v>
      </c>
      <c r="F84" s="30">
        <v>0.36</v>
      </c>
      <c r="G84" s="30">
        <v>10.02</v>
      </c>
      <c r="H84" s="31">
        <v>52.2</v>
      </c>
      <c r="I84" s="21" t="s">
        <v>15</v>
      </c>
    </row>
    <row r="85" spans="1:9" ht="16.2" thickBot="1">
      <c r="A85" s="277" t="s">
        <v>41</v>
      </c>
      <c r="B85" s="278"/>
      <c r="C85" s="292"/>
      <c r="D85" s="136">
        <v>50</v>
      </c>
      <c r="E85" s="89">
        <v>4.71</v>
      </c>
      <c r="F85" s="90">
        <f>7.42/50*30</f>
        <v>4.452</v>
      </c>
      <c r="G85" s="90">
        <f>25.58/50*30</f>
        <v>15.347999999999999</v>
      </c>
      <c r="H85" s="91">
        <f>188/50*3</f>
        <v>11.28</v>
      </c>
      <c r="I85" s="47" t="s">
        <v>15</v>
      </c>
    </row>
    <row r="86" spans="1:9" ht="16.2" thickBot="1">
      <c r="A86" s="173" t="s">
        <v>24</v>
      </c>
      <c r="B86" s="174"/>
      <c r="C86" s="175"/>
      <c r="D86" s="85">
        <f>SUM(D79:D85)</f>
        <v>770</v>
      </c>
      <c r="E86" s="49">
        <f>SUM(E79:E85)</f>
        <v>25.920400000000001</v>
      </c>
      <c r="F86" s="50">
        <f>SUM(F79:F85)</f>
        <v>20.439300000000003</v>
      </c>
      <c r="G86" s="50">
        <f>SUM(G79:G85)</f>
        <v>109.14019999999998</v>
      </c>
      <c r="H86" s="51">
        <f>SUM(H79:H85)</f>
        <v>628.63</v>
      </c>
      <c r="I86" s="16"/>
    </row>
    <row r="87" spans="1:9">
      <c r="A87" s="66"/>
      <c r="B87" s="66"/>
      <c r="C87" s="66"/>
      <c r="D87" s="67"/>
      <c r="E87" s="63"/>
      <c r="F87" s="64"/>
      <c r="G87" s="64"/>
      <c r="H87" s="64"/>
      <c r="I87" s="66"/>
    </row>
    <row r="88" spans="1:9" ht="15.6">
      <c r="A88" s="193" t="s">
        <v>51</v>
      </c>
      <c r="B88" s="193"/>
      <c r="C88" s="193"/>
      <c r="D88" s="60"/>
      <c r="E88" s="65"/>
      <c r="F88" s="65"/>
      <c r="G88" s="65"/>
      <c r="H88" s="65"/>
      <c r="I88" s="65"/>
    </row>
    <row r="89" spans="1:9" ht="16.2" thickBot="1">
      <c r="A89" s="193" t="s">
        <v>85</v>
      </c>
      <c r="B89" s="193"/>
      <c r="C89" s="193"/>
      <c r="D89" s="60"/>
      <c r="E89" s="65"/>
      <c r="F89" s="65"/>
      <c r="G89" s="65"/>
      <c r="H89" s="65"/>
      <c r="I89" s="65"/>
    </row>
    <row r="90" spans="1:9" ht="16.2" thickBot="1">
      <c r="A90" s="212" t="s">
        <v>55</v>
      </c>
      <c r="B90" s="213"/>
      <c r="C90" s="213"/>
      <c r="D90" s="213"/>
      <c r="E90" s="213"/>
      <c r="F90" s="213"/>
      <c r="G90" s="213"/>
      <c r="H90" s="213"/>
      <c r="I90" s="214"/>
    </row>
    <row r="91" spans="1:9" ht="15.6">
      <c r="A91" s="290" t="s">
        <v>3</v>
      </c>
      <c r="B91" s="235"/>
      <c r="C91" s="291"/>
      <c r="D91" s="203" t="s">
        <v>4</v>
      </c>
      <c r="E91" s="234" t="s">
        <v>5</v>
      </c>
      <c r="F91" s="235"/>
      <c r="G91" s="235"/>
      <c r="H91" s="236" t="s">
        <v>6</v>
      </c>
      <c r="I91" s="203" t="s">
        <v>7</v>
      </c>
    </row>
    <row r="92" spans="1:9" ht="16.2" thickBot="1">
      <c r="A92" s="244"/>
      <c r="B92" s="245"/>
      <c r="C92" s="246"/>
      <c r="D92" s="204"/>
      <c r="E92" s="151" t="s">
        <v>8</v>
      </c>
      <c r="F92" s="150" t="s">
        <v>9</v>
      </c>
      <c r="G92" s="150" t="s">
        <v>10</v>
      </c>
      <c r="H92" s="208"/>
      <c r="I92" s="204"/>
    </row>
    <row r="93" spans="1:9" ht="16.2" thickBot="1">
      <c r="A93" s="305" t="s">
        <v>19</v>
      </c>
      <c r="B93" s="306"/>
      <c r="C93" s="306"/>
      <c r="D93" s="306"/>
      <c r="E93" s="306"/>
      <c r="F93" s="306"/>
      <c r="G93" s="306"/>
      <c r="H93" s="306"/>
      <c r="I93" s="214"/>
    </row>
    <row r="94" spans="1:9" ht="15.6" customHeight="1">
      <c r="A94" s="186" t="s">
        <v>60</v>
      </c>
      <c r="B94" s="187"/>
      <c r="C94" s="301"/>
      <c r="D94" s="166">
        <v>250</v>
      </c>
      <c r="E94" s="28">
        <v>4.3899999999999997</v>
      </c>
      <c r="F94" s="17">
        <v>4.22</v>
      </c>
      <c r="G94" s="17">
        <v>13.23</v>
      </c>
      <c r="H94" s="328">
        <v>118.6</v>
      </c>
      <c r="I94" s="110">
        <v>102</v>
      </c>
    </row>
    <row r="95" spans="1:9" ht="15.6" customHeight="1">
      <c r="A95" s="182" t="s">
        <v>82</v>
      </c>
      <c r="B95" s="183"/>
      <c r="C95" s="184"/>
      <c r="D95" s="3">
        <v>150</v>
      </c>
      <c r="E95" s="8">
        <f>26.69/1000*150</f>
        <v>4.0035000000000007</v>
      </c>
      <c r="F95" s="9">
        <f>28.29/1000*150</f>
        <v>4.2435</v>
      </c>
      <c r="G95" s="9">
        <f>163.7/1000*150</f>
        <v>24.554999999999996</v>
      </c>
      <c r="H95" s="329">
        <f>1016/1000*150</f>
        <v>152.4</v>
      </c>
      <c r="I95" s="324">
        <v>312</v>
      </c>
    </row>
    <row r="96" spans="1:9" ht="15.6" customHeight="1">
      <c r="A96" s="221" t="s">
        <v>49</v>
      </c>
      <c r="B96" s="222"/>
      <c r="C96" s="284"/>
      <c r="D96" s="25">
        <v>90</v>
      </c>
      <c r="E96" s="29">
        <v>8.15</v>
      </c>
      <c r="F96" s="30">
        <v>9.07</v>
      </c>
      <c r="G96" s="30">
        <v>9.85</v>
      </c>
      <c r="H96" s="330">
        <v>154</v>
      </c>
      <c r="I96" s="324">
        <v>294</v>
      </c>
    </row>
    <row r="97" spans="1:9" ht="15.6" customHeight="1">
      <c r="A97" s="182" t="s">
        <v>38</v>
      </c>
      <c r="B97" s="183"/>
      <c r="C97" s="184"/>
      <c r="D97" s="3">
        <v>30</v>
      </c>
      <c r="E97" s="11">
        <v>1.0242</v>
      </c>
      <c r="F97" s="12">
        <v>3.0024000000000002</v>
      </c>
      <c r="G97" s="12">
        <v>5.0747999999999998</v>
      </c>
      <c r="H97" s="27">
        <v>51.42</v>
      </c>
      <c r="I97" s="325"/>
    </row>
    <row r="98" spans="1:9" ht="15.6" customHeight="1">
      <c r="A98" s="285" t="s">
        <v>35</v>
      </c>
      <c r="B98" s="286"/>
      <c r="C98" s="287"/>
      <c r="D98" s="33">
        <v>180</v>
      </c>
      <c r="E98" s="34">
        <f>1.73/1000*180</f>
        <v>0.31140000000000001</v>
      </c>
      <c r="F98" s="22">
        <f>0.45/1000*180</f>
        <v>8.1000000000000003E-2</v>
      </c>
      <c r="G98" s="22">
        <f>146.85/1000*180</f>
        <v>26.432999999999996</v>
      </c>
      <c r="H98" s="331">
        <f>602/1000*180</f>
        <v>108.36</v>
      </c>
      <c r="I98" s="326">
        <v>376</v>
      </c>
    </row>
    <row r="99" spans="1:9" ht="15.6" customHeight="1">
      <c r="A99" s="182" t="s">
        <v>34</v>
      </c>
      <c r="B99" s="183"/>
      <c r="C99" s="184"/>
      <c r="D99" s="3">
        <v>30</v>
      </c>
      <c r="E99" s="11">
        <f>2.37/40*35</f>
        <v>2.07375</v>
      </c>
      <c r="F99" s="12">
        <f>0.3/40*35</f>
        <v>0.26250000000000001</v>
      </c>
      <c r="G99" s="12">
        <f>14.49/40*35</f>
        <v>12.678750000000001</v>
      </c>
      <c r="H99" s="332">
        <f>70.5/40*35</f>
        <v>61.6875</v>
      </c>
      <c r="I99" s="103" t="s">
        <v>15</v>
      </c>
    </row>
    <row r="100" spans="1:9" ht="16.2" customHeight="1" thickBot="1">
      <c r="A100" s="288" t="s">
        <v>16</v>
      </c>
      <c r="B100" s="289"/>
      <c r="C100" s="318"/>
      <c r="D100" s="321">
        <v>30</v>
      </c>
      <c r="E100" s="320">
        <v>1.98</v>
      </c>
      <c r="F100" s="160">
        <v>0.36</v>
      </c>
      <c r="G100" s="160">
        <v>10.02</v>
      </c>
      <c r="H100" s="333">
        <v>52.2</v>
      </c>
      <c r="I100" s="327" t="s">
        <v>15</v>
      </c>
    </row>
    <row r="101" spans="1:9" ht="16.2" customHeight="1" thickBot="1">
      <c r="A101" s="224" t="s">
        <v>24</v>
      </c>
      <c r="B101" s="225"/>
      <c r="C101" s="226"/>
      <c r="D101" s="153">
        <f>SUM(D94:D100)</f>
        <v>760</v>
      </c>
      <c r="E101" s="117">
        <f>SUM(E94:E100)</f>
        <v>21.932850000000002</v>
      </c>
      <c r="F101" s="116">
        <f>SUM(F94:F100)</f>
        <v>21.2394</v>
      </c>
      <c r="G101" s="116">
        <f>SUM(G94:G100)</f>
        <v>101.84155</v>
      </c>
      <c r="H101" s="119">
        <f>SUM(H94:H100)</f>
        <v>698.66750000000002</v>
      </c>
      <c r="I101" s="16"/>
    </row>
    <row r="102" spans="1:9">
      <c r="A102" s="66"/>
      <c r="B102" s="66"/>
      <c r="C102" s="66"/>
      <c r="D102" s="67"/>
      <c r="E102" s="63"/>
      <c r="F102" s="64"/>
      <c r="G102" s="64"/>
      <c r="H102" s="64"/>
      <c r="I102" s="66"/>
    </row>
    <row r="103" spans="1:9" ht="15.6">
      <c r="A103" s="193" t="s">
        <v>51</v>
      </c>
      <c r="B103" s="193"/>
      <c r="C103" s="193"/>
      <c r="D103" s="60"/>
      <c r="E103" s="65"/>
      <c r="F103" s="65"/>
      <c r="G103" s="65"/>
      <c r="H103" s="65"/>
      <c r="I103" s="65"/>
    </row>
    <row r="104" spans="1:9" ht="16.2" thickBot="1">
      <c r="A104" s="193" t="s">
        <v>85</v>
      </c>
      <c r="B104" s="193"/>
      <c r="C104" s="193"/>
      <c r="D104" s="60"/>
      <c r="E104" s="65"/>
      <c r="F104" s="65"/>
      <c r="G104" s="65"/>
      <c r="H104" s="65"/>
      <c r="I104" s="65"/>
    </row>
    <row r="105" spans="1:9" ht="16.2" thickBot="1">
      <c r="A105" s="212" t="s">
        <v>57</v>
      </c>
      <c r="B105" s="213"/>
      <c r="C105" s="213"/>
      <c r="D105" s="213"/>
      <c r="E105" s="213"/>
      <c r="F105" s="213"/>
      <c r="G105" s="213"/>
      <c r="H105" s="213"/>
      <c r="I105" s="214"/>
    </row>
    <row r="106" spans="1:9" ht="15.6">
      <c r="A106" s="215" t="s">
        <v>3</v>
      </c>
      <c r="B106" s="216"/>
      <c r="C106" s="217"/>
      <c r="D106" s="203" t="s">
        <v>4</v>
      </c>
      <c r="E106" s="234" t="s">
        <v>5</v>
      </c>
      <c r="F106" s="235"/>
      <c r="G106" s="235"/>
      <c r="H106" s="236" t="s">
        <v>6</v>
      </c>
      <c r="I106" s="203" t="s">
        <v>7</v>
      </c>
    </row>
    <row r="107" spans="1:9" ht="16.2" thickBot="1">
      <c r="A107" s="261"/>
      <c r="B107" s="262"/>
      <c r="C107" s="263"/>
      <c r="D107" s="233"/>
      <c r="E107" s="151" t="s">
        <v>8</v>
      </c>
      <c r="F107" s="150" t="s">
        <v>9</v>
      </c>
      <c r="G107" s="150" t="s">
        <v>10</v>
      </c>
      <c r="H107" s="208"/>
      <c r="I107" s="233"/>
    </row>
    <row r="108" spans="1:9" ht="16.2" thickBot="1">
      <c r="A108" s="212" t="s">
        <v>19</v>
      </c>
      <c r="B108" s="213"/>
      <c r="C108" s="213"/>
      <c r="D108" s="213"/>
      <c r="E108" s="213"/>
      <c r="F108" s="213"/>
      <c r="G108" s="213"/>
      <c r="H108" s="213"/>
      <c r="I108" s="214"/>
    </row>
    <row r="109" spans="1:9" ht="15.6">
      <c r="A109" s="179" t="s">
        <v>58</v>
      </c>
      <c r="B109" s="180"/>
      <c r="C109" s="181"/>
      <c r="D109" s="149">
        <v>250</v>
      </c>
      <c r="E109" s="94">
        <f>1.61/200*250</f>
        <v>2.0125000000000002</v>
      </c>
      <c r="F109" s="95">
        <f>4.08/200*250</f>
        <v>5.1000000000000005</v>
      </c>
      <c r="G109" s="95">
        <f>9.58/200*250</f>
        <v>11.975</v>
      </c>
      <c r="H109" s="96">
        <f>85.8/200*250</f>
        <v>107.25</v>
      </c>
      <c r="I109" s="19">
        <v>96</v>
      </c>
    </row>
    <row r="110" spans="1:9" ht="15.6" customHeight="1">
      <c r="A110" s="182" t="s">
        <v>20</v>
      </c>
      <c r="B110" s="183"/>
      <c r="C110" s="184"/>
      <c r="D110" s="3">
        <v>150</v>
      </c>
      <c r="E110" s="11">
        <f>36.78/1000*150</f>
        <v>5.5170000000000003</v>
      </c>
      <c r="F110" s="12">
        <f>30.1/1000*150</f>
        <v>4.5150000000000006</v>
      </c>
      <c r="G110" s="12">
        <f>176.3/1000*150</f>
        <v>26.445</v>
      </c>
      <c r="H110" s="13">
        <f>1123/1000*150</f>
        <v>168.45</v>
      </c>
      <c r="I110" s="7">
        <v>309</v>
      </c>
    </row>
    <row r="111" spans="1:9" ht="15.6" customHeight="1">
      <c r="A111" s="221" t="s">
        <v>33</v>
      </c>
      <c r="B111" s="222"/>
      <c r="C111" s="284"/>
      <c r="D111" s="141">
        <v>90</v>
      </c>
      <c r="E111" s="140">
        <v>11.09</v>
      </c>
      <c r="F111" s="138">
        <v>11.26</v>
      </c>
      <c r="G111" s="138">
        <v>3.51</v>
      </c>
      <c r="H111" s="139">
        <v>166</v>
      </c>
      <c r="I111" s="21">
        <v>290</v>
      </c>
    </row>
    <row r="112" spans="1:9" ht="15.6">
      <c r="A112" s="221" t="s">
        <v>29</v>
      </c>
      <c r="B112" s="222"/>
      <c r="C112" s="284"/>
      <c r="D112" s="25">
        <v>30</v>
      </c>
      <c r="E112" s="11">
        <f>11.58/1000*30</f>
        <v>0.34739999999999999</v>
      </c>
      <c r="F112" s="12">
        <f>1.85/1000*30</f>
        <v>5.5500000000000001E-2</v>
      </c>
      <c r="G112" s="12">
        <f>71.99/1000*30</f>
        <v>2.1597</v>
      </c>
      <c r="H112" s="20">
        <f>351/1000*30</f>
        <v>10.53</v>
      </c>
      <c r="I112" s="21"/>
    </row>
    <row r="113" spans="1:9" ht="15.6">
      <c r="A113" s="285" t="s">
        <v>35</v>
      </c>
      <c r="B113" s="286"/>
      <c r="C113" s="287"/>
      <c r="D113" s="33">
        <v>180</v>
      </c>
      <c r="E113" s="34">
        <f>1.73/1000*180</f>
        <v>0.31140000000000001</v>
      </c>
      <c r="F113" s="22">
        <f>0.45/1000*180</f>
        <v>8.1000000000000003E-2</v>
      </c>
      <c r="G113" s="22">
        <f>146.85/1000*180</f>
        <v>26.432999999999996</v>
      </c>
      <c r="H113" s="23">
        <f>602/1000*180</f>
        <v>108.36</v>
      </c>
      <c r="I113" s="24">
        <v>376</v>
      </c>
    </row>
    <row r="114" spans="1:9" ht="15.6">
      <c r="A114" s="182" t="s">
        <v>34</v>
      </c>
      <c r="B114" s="183"/>
      <c r="C114" s="184"/>
      <c r="D114" s="25">
        <v>30</v>
      </c>
      <c r="E114" s="11">
        <v>2.37</v>
      </c>
      <c r="F114" s="12">
        <v>0.30000000000000004</v>
      </c>
      <c r="G114" s="12">
        <v>14.49</v>
      </c>
      <c r="H114" s="6">
        <v>70.5</v>
      </c>
      <c r="I114" s="7" t="s">
        <v>15</v>
      </c>
    </row>
    <row r="115" spans="1:9" ht="16.2" thickBot="1">
      <c r="A115" s="238" t="s">
        <v>16</v>
      </c>
      <c r="B115" s="239"/>
      <c r="C115" s="283"/>
      <c r="D115" s="43">
        <v>30</v>
      </c>
      <c r="E115" s="44">
        <v>1.98</v>
      </c>
      <c r="F115" s="45">
        <v>0.36</v>
      </c>
      <c r="G115" s="45">
        <v>10.02</v>
      </c>
      <c r="H115" s="46">
        <v>52.2</v>
      </c>
      <c r="I115" s="47" t="s">
        <v>15</v>
      </c>
    </row>
    <row r="116" spans="1:9" ht="16.2" thickBot="1">
      <c r="A116" s="173" t="s">
        <v>24</v>
      </c>
      <c r="B116" s="174"/>
      <c r="C116" s="175"/>
      <c r="D116" s="142">
        <f>SUM(D109:D115)</f>
        <v>760</v>
      </c>
      <c r="E116" s="49">
        <f>SUM(E109:E115)</f>
        <v>23.628300000000003</v>
      </c>
      <c r="F116" s="50">
        <f>SUM(F109:F115)</f>
        <v>21.671499999999998</v>
      </c>
      <c r="G116" s="50">
        <f>SUM(G109:G115)</f>
        <v>95.032699999999991</v>
      </c>
      <c r="H116" s="51">
        <f>SUM(H109:H115)</f>
        <v>683.29</v>
      </c>
      <c r="I116" s="16"/>
    </row>
    <row r="117" spans="1:9">
      <c r="A117" s="66"/>
      <c r="B117" s="66"/>
      <c r="C117" s="66"/>
      <c r="D117" s="67"/>
      <c r="E117" s="63"/>
      <c r="F117" s="64"/>
      <c r="G117" s="64"/>
      <c r="H117" s="64"/>
      <c r="I117" s="66"/>
    </row>
    <row r="118" spans="1:9" ht="15.6">
      <c r="A118" s="193" t="s">
        <v>51</v>
      </c>
      <c r="B118" s="193"/>
      <c r="C118" s="193"/>
      <c r="D118" s="60"/>
      <c r="E118" s="65"/>
      <c r="F118" s="65"/>
      <c r="G118" s="65"/>
      <c r="H118" s="65"/>
      <c r="I118" s="65"/>
    </row>
    <row r="119" spans="1:9" ht="16.2" thickBot="1">
      <c r="A119" s="193" t="s">
        <v>85</v>
      </c>
      <c r="B119" s="193"/>
      <c r="C119" s="193"/>
      <c r="D119" s="60"/>
      <c r="E119" s="65"/>
      <c r="F119" s="65"/>
      <c r="G119" s="65"/>
      <c r="H119" s="65"/>
      <c r="I119" s="65"/>
    </row>
    <row r="120" spans="1:9" ht="16.2" thickBot="1">
      <c r="A120" s="212" t="s">
        <v>59</v>
      </c>
      <c r="B120" s="213"/>
      <c r="C120" s="213"/>
      <c r="D120" s="213"/>
      <c r="E120" s="213"/>
      <c r="F120" s="213"/>
      <c r="G120" s="213"/>
      <c r="H120" s="213"/>
      <c r="I120" s="214"/>
    </row>
    <row r="121" spans="1:9" ht="15.6">
      <c r="A121" s="215" t="s">
        <v>3</v>
      </c>
      <c r="B121" s="216"/>
      <c r="C121" s="217"/>
      <c r="D121" s="203" t="s">
        <v>4</v>
      </c>
      <c r="E121" s="234" t="s">
        <v>5</v>
      </c>
      <c r="F121" s="235"/>
      <c r="G121" s="235"/>
      <c r="H121" s="236" t="s">
        <v>6</v>
      </c>
      <c r="I121" s="203" t="s">
        <v>7</v>
      </c>
    </row>
    <row r="122" spans="1:9" ht="16.2" thickBot="1">
      <c r="A122" s="218"/>
      <c r="B122" s="219"/>
      <c r="C122" s="220"/>
      <c r="D122" s="204"/>
      <c r="E122" s="151" t="s">
        <v>8</v>
      </c>
      <c r="F122" s="150" t="s">
        <v>9</v>
      </c>
      <c r="G122" s="150" t="s">
        <v>10</v>
      </c>
      <c r="H122" s="208"/>
      <c r="I122" s="233"/>
    </row>
    <row r="123" spans="1:9" ht="16.2" thickBot="1">
      <c r="A123" s="212" t="s">
        <v>19</v>
      </c>
      <c r="B123" s="213"/>
      <c r="C123" s="213"/>
      <c r="D123" s="213"/>
      <c r="E123" s="213"/>
      <c r="F123" s="213"/>
      <c r="G123" s="213"/>
      <c r="H123" s="213"/>
      <c r="I123" s="214"/>
    </row>
    <row r="124" spans="1:9" ht="15.6" customHeight="1">
      <c r="A124" s="296" t="s">
        <v>48</v>
      </c>
      <c r="B124" s="296"/>
      <c r="C124" s="297"/>
      <c r="D124" s="166">
        <v>250</v>
      </c>
      <c r="E124" s="94">
        <f>10.75/1000*200</f>
        <v>2.15</v>
      </c>
      <c r="F124" s="95">
        <f>11.35/1000*200</f>
        <v>2.2699999999999996</v>
      </c>
      <c r="G124" s="95">
        <f>69.82/1000*200</f>
        <v>13.963999999999999</v>
      </c>
      <c r="H124" s="96">
        <f>473/1000*200</f>
        <v>94.6</v>
      </c>
      <c r="I124" s="19">
        <v>101</v>
      </c>
    </row>
    <row r="125" spans="1:9" ht="15.6">
      <c r="A125" s="182" t="s">
        <v>42</v>
      </c>
      <c r="B125" s="183"/>
      <c r="C125" s="184"/>
      <c r="D125" s="3">
        <v>200</v>
      </c>
      <c r="E125" s="4">
        <v>12.5</v>
      </c>
      <c r="F125" s="5">
        <v>11.17</v>
      </c>
      <c r="G125" s="5">
        <v>12.9</v>
      </c>
      <c r="H125" s="6">
        <v>202</v>
      </c>
      <c r="I125" s="7">
        <v>292</v>
      </c>
    </row>
    <row r="126" spans="1:9" ht="15.6">
      <c r="A126" s="221" t="s">
        <v>61</v>
      </c>
      <c r="B126" s="222"/>
      <c r="C126" s="284"/>
      <c r="D126" s="25">
        <v>30</v>
      </c>
      <c r="E126" s="11">
        <f>13.12/1000*30</f>
        <v>0.39360000000000001</v>
      </c>
      <c r="F126" s="12">
        <f>32.49/1000*30</f>
        <v>0.97470000000000012</v>
      </c>
      <c r="G126" s="12">
        <v>5.0747999999999998</v>
      </c>
      <c r="H126" s="20">
        <f>604/1000*30</f>
        <v>18.12</v>
      </c>
      <c r="I126" s="21"/>
    </row>
    <row r="127" spans="1:9" ht="15.6">
      <c r="A127" s="285" t="s">
        <v>23</v>
      </c>
      <c r="B127" s="286"/>
      <c r="C127" s="287"/>
      <c r="D127" s="33">
        <v>180</v>
      </c>
      <c r="E127" s="34">
        <f>2.2/1000*180</f>
        <v>0.39600000000000002</v>
      </c>
      <c r="F127" s="22">
        <f>0.1/1000*180</f>
        <v>1.8000000000000002E-2</v>
      </c>
      <c r="G127" s="22">
        <f>138.84/1000*180</f>
        <v>24.991199999999999</v>
      </c>
      <c r="H127" s="23">
        <f>565/1000*180</f>
        <v>101.69999999999999</v>
      </c>
      <c r="I127" s="24">
        <v>372</v>
      </c>
    </row>
    <row r="128" spans="1:9" ht="15.6">
      <c r="A128" s="182" t="s">
        <v>34</v>
      </c>
      <c r="B128" s="183"/>
      <c r="C128" s="184"/>
      <c r="D128" s="3">
        <v>30</v>
      </c>
      <c r="E128" s="11">
        <v>2.37</v>
      </c>
      <c r="F128" s="12">
        <v>0.30000000000000004</v>
      </c>
      <c r="G128" s="12">
        <v>14.49</v>
      </c>
      <c r="H128" s="6">
        <v>70.5</v>
      </c>
      <c r="I128" s="7" t="s">
        <v>15</v>
      </c>
    </row>
    <row r="129" spans="1:9" ht="16.2" thickBot="1">
      <c r="A129" s="238" t="s">
        <v>16</v>
      </c>
      <c r="B129" s="239"/>
      <c r="C129" s="283"/>
      <c r="D129" s="43">
        <v>30</v>
      </c>
      <c r="E129" s="44">
        <v>1.98</v>
      </c>
      <c r="F129" s="45">
        <v>0.36</v>
      </c>
      <c r="G129" s="45">
        <v>10.02</v>
      </c>
      <c r="H129" s="46">
        <v>52.2</v>
      </c>
      <c r="I129" s="47" t="s">
        <v>15</v>
      </c>
    </row>
    <row r="130" spans="1:9" ht="16.2" thickBot="1">
      <c r="A130" s="173" t="s">
        <v>24</v>
      </c>
      <c r="B130" s="174"/>
      <c r="C130" s="175"/>
      <c r="D130" s="85">
        <f>SUM(D124:D129)</f>
        <v>720</v>
      </c>
      <c r="E130" s="49">
        <f>SUM(E124:E129)</f>
        <v>19.7896</v>
      </c>
      <c r="F130" s="50">
        <f>SUM(F124:F129)</f>
        <v>15.092700000000001</v>
      </c>
      <c r="G130" s="50">
        <f>SUM(G124:G129)</f>
        <v>81.439999999999984</v>
      </c>
      <c r="H130" s="51">
        <f>SUM(H124:H129)</f>
        <v>539.12</v>
      </c>
      <c r="I130" s="16"/>
    </row>
    <row r="131" spans="1:9" ht="15.6">
      <c r="A131" s="193" t="s">
        <v>51</v>
      </c>
      <c r="B131" s="193"/>
      <c r="C131" s="193"/>
      <c r="D131" s="60"/>
      <c r="E131" s="58"/>
      <c r="F131" s="59"/>
      <c r="G131" s="59"/>
      <c r="H131" s="59"/>
      <c r="I131" s="59"/>
    </row>
    <row r="132" spans="1:9" ht="16.2" thickBot="1">
      <c r="A132" s="193" t="s">
        <v>85</v>
      </c>
      <c r="B132" s="193"/>
      <c r="C132" s="193"/>
      <c r="D132" s="60"/>
      <c r="E132" s="58"/>
      <c r="F132" s="59"/>
      <c r="G132" s="59"/>
      <c r="H132" s="59"/>
      <c r="I132" s="59"/>
    </row>
    <row r="133" spans="1:9" ht="16.2" thickBot="1">
      <c r="A133" s="212" t="s">
        <v>62</v>
      </c>
      <c r="B133" s="213"/>
      <c r="C133" s="213"/>
      <c r="D133" s="213"/>
      <c r="E133" s="213"/>
      <c r="F133" s="213"/>
      <c r="G133" s="213"/>
      <c r="H133" s="213"/>
      <c r="I133" s="214"/>
    </row>
    <row r="134" spans="1:9" ht="15.6">
      <c r="A134" s="197" t="s">
        <v>3</v>
      </c>
      <c r="B134" s="198"/>
      <c r="C134" s="199"/>
      <c r="D134" s="203" t="s">
        <v>4</v>
      </c>
      <c r="E134" s="234" t="s">
        <v>5</v>
      </c>
      <c r="F134" s="235"/>
      <c r="G134" s="235"/>
      <c r="H134" s="236" t="s">
        <v>6</v>
      </c>
      <c r="I134" s="203" t="s">
        <v>7</v>
      </c>
    </row>
    <row r="135" spans="1:9" ht="16.2" thickBot="1">
      <c r="A135" s="280"/>
      <c r="B135" s="281"/>
      <c r="C135" s="282"/>
      <c r="D135" s="233"/>
      <c r="E135" s="151" t="s">
        <v>8</v>
      </c>
      <c r="F135" s="150" t="s">
        <v>9</v>
      </c>
      <c r="G135" s="150" t="s">
        <v>10</v>
      </c>
      <c r="H135" s="208"/>
      <c r="I135" s="233"/>
    </row>
    <row r="136" spans="1:9" ht="16.2" thickBot="1">
      <c r="A136" s="176" t="s">
        <v>19</v>
      </c>
      <c r="B136" s="177"/>
      <c r="C136" s="177"/>
      <c r="D136" s="177"/>
      <c r="E136" s="177"/>
      <c r="F136" s="177"/>
      <c r="G136" s="177"/>
      <c r="H136" s="177"/>
      <c r="I136" s="178"/>
    </row>
    <row r="137" spans="1:9" ht="15.6">
      <c r="A137" s="186" t="s">
        <v>32</v>
      </c>
      <c r="B137" s="187"/>
      <c r="C137" s="188"/>
      <c r="D137" s="164">
        <v>250</v>
      </c>
      <c r="E137" s="131">
        <f>7.21/1000*250</f>
        <v>1.8025</v>
      </c>
      <c r="F137" s="130">
        <f>19.68/1000*250</f>
        <v>4.92</v>
      </c>
      <c r="G137" s="130">
        <f>43.73/1000*250</f>
        <v>10.932499999999999</v>
      </c>
      <c r="H137" s="134">
        <f>415/1000*250</f>
        <v>103.75</v>
      </c>
      <c r="I137" s="19">
        <v>82</v>
      </c>
    </row>
    <row r="138" spans="1:9" ht="15.6">
      <c r="A138" s="182" t="s">
        <v>80</v>
      </c>
      <c r="B138" s="183"/>
      <c r="C138" s="189"/>
      <c r="D138" s="3">
        <v>150</v>
      </c>
      <c r="E138" s="11">
        <f>30.53/1000*150</f>
        <v>4.5795000000000003</v>
      </c>
      <c r="F138" s="12">
        <f>33.38/1000*150</f>
        <v>5.0069999999999997</v>
      </c>
      <c r="G138" s="12">
        <f>136.81/1000*150</f>
        <v>20.521500000000003</v>
      </c>
      <c r="H138" s="20">
        <f>970/1000*150</f>
        <v>145.5</v>
      </c>
      <c r="I138" s="7">
        <v>303</v>
      </c>
    </row>
    <row r="139" spans="1:9" ht="15.6">
      <c r="A139" s="221" t="s">
        <v>64</v>
      </c>
      <c r="B139" s="222"/>
      <c r="C139" s="223"/>
      <c r="D139" s="141">
        <v>90</v>
      </c>
      <c r="E139" s="140">
        <v>12.83</v>
      </c>
      <c r="F139" s="138">
        <v>14.8</v>
      </c>
      <c r="G139" s="138">
        <v>112.34</v>
      </c>
      <c r="H139" s="139">
        <v>237</v>
      </c>
      <c r="I139" s="21">
        <v>279</v>
      </c>
    </row>
    <row r="140" spans="1:9" ht="15.6">
      <c r="A140" s="182" t="s">
        <v>38</v>
      </c>
      <c r="B140" s="183"/>
      <c r="C140" s="189"/>
      <c r="D140" s="25">
        <v>30</v>
      </c>
      <c r="E140" s="11">
        <f>12.33/1000*60</f>
        <v>0.73980000000000001</v>
      </c>
      <c r="F140" s="12">
        <f>0.94/1000*60</f>
        <v>5.6399999999999999E-2</v>
      </c>
      <c r="G140" s="12">
        <f>114.76/1000*60</f>
        <v>6.8856000000000002</v>
      </c>
      <c r="H140" s="20">
        <f>817/1000*60</f>
        <v>49.019999999999996</v>
      </c>
      <c r="I140" s="21"/>
    </row>
    <row r="141" spans="1:9" ht="15.6" customHeight="1">
      <c r="A141" s="227" t="s">
        <v>40</v>
      </c>
      <c r="B141" s="228"/>
      <c r="C141" s="229"/>
      <c r="D141" s="99">
        <v>180</v>
      </c>
      <c r="E141" s="8">
        <v>0.12</v>
      </c>
      <c r="F141" s="9">
        <v>0.02</v>
      </c>
      <c r="G141" s="9">
        <v>10.199999999999999</v>
      </c>
      <c r="H141" s="10">
        <v>41</v>
      </c>
      <c r="I141" s="21">
        <v>376</v>
      </c>
    </row>
    <row r="142" spans="1:9" ht="15.6" customHeight="1">
      <c r="A142" s="227" t="s">
        <v>41</v>
      </c>
      <c r="B142" s="228"/>
      <c r="C142" s="229"/>
      <c r="D142" s="99">
        <v>50</v>
      </c>
      <c r="E142" s="8">
        <v>4.71</v>
      </c>
      <c r="F142" s="9">
        <v>7.42</v>
      </c>
      <c r="G142" s="9">
        <v>25.58</v>
      </c>
      <c r="H142" s="10">
        <v>188</v>
      </c>
      <c r="I142" s="21" t="s">
        <v>15</v>
      </c>
    </row>
    <row r="143" spans="1:9" ht="15.6">
      <c r="A143" s="182" t="s">
        <v>34</v>
      </c>
      <c r="B143" s="183"/>
      <c r="C143" s="189"/>
      <c r="D143" s="3">
        <v>30</v>
      </c>
      <c r="E143" s="11">
        <v>2.37</v>
      </c>
      <c r="F143" s="12">
        <v>0.30000000000000004</v>
      </c>
      <c r="G143" s="12">
        <v>14.49</v>
      </c>
      <c r="H143" s="6">
        <v>70.5</v>
      </c>
      <c r="I143" s="7" t="s">
        <v>15</v>
      </c>
    </row>
    <row r="144" spans="1:9" ht="16.2" thickBot="1">
      <c r="A144" s="238" t="s">
        <v>16</v>
      </c>
      <c r="B144" s="239"/>
      <c r="C144" s="240"/>
      <c r="D144" s="43">
        <v>30</v>
      </c>
      <c r="E144" s="44">
        <v>1.98</v>
      </c>
      <c r="F144" s="45">
        <v>0.36</v>
      </c>
      <c r="G144" s="45">
        <v>10.02</v>
      </c>
      <c r="H144" s="46">
        <v>52.2</v>
      </c>
      <c r="I144" s="47" t="s">
        <v>15</v>
      </c>
    </row>
    <row r="145" spans="1:9" ht="16.2" thickBot="1">
      <c r="A145" s="173" t="s">
        <v>24</v>
      </c>
      <c r="B145" s="174"/>
      <c r="C145" s="241"/>
      <c r="D145" s="85">
        <f>SUM(D137:D144)</f>
        <v>810</v>
      </c>
      <c r="E145" s="49">
        <f>SUM(E137:E144)</f>
        <v>29.131800000000002</v>
      </c>
      <c r="F145" s="50">
        <f>SUM(F137:F144)</f>
        <v>32.883399999999995</v>
      </c>
      <c r="G145" s="50">
        <f>SUM(G137:G144)</f>
        <v>210.96960000000004</v>
      </c>
      <c r="H145" s="51">
        <f>SUM(H137:H144)</f>
        <v>886.97</v>
      </c>
      <c r="I145" s="16"/>
    </row>
    <row r="146" spans="1:9" ht="18">
      <c r="A146" s="169" t="s">
        <v>73</v>
      </c>
      <c r="B146" s="169"/>
      <c r="C146" s="169"/>
      <c r="D146" s="169"/>
      <c r="E146" s="169"/>
      <c r="F146" s="169"/>
      <c r="G146" s="169"/>
      <c r="H146" s="169"/>
      <c r="I146" s="169"/>
    </row>
    <row r="147" spans="1:9" ht="18">
      <c r="A147" s="185" t="s">
        <v>89</v>
      </c>
      <c r="B147" s="185"/>
      <c r="C147" s="185"/>
      <c r="D147" s="185"/>
      <c r="E147" s="185"/>
      <c r="F147" s="185"/>
      <c r="G147" s="185"/>
      <c r="H147" s="185"/>
      <c r="I147" s="185"/>
    </row>
    <row r="148" spans="1:9" ht="18">
      <c r="A148" s="120" t="s">
        <v>68</v>
      </c>
      <c r="B148" s="120"/>
      <c r="C148" s="120"/>
      <c r="D148" s="120"/>
      <c r="E148" s="120"/>
      <c r="F148" s="120"/>
    </row>
    <row r="150" spans="1:9" ht="15.6">
      <c r="A150" s="168" t="s">
        <v>66</v>
      </c>
      <c r="B150" s="168"/>
      <c r="C150" s="168"/>
      <c r="D150" s="168"/>
      <c r="E150" s="168"/>
      <c r="F150" s="168"/>
      <c r="G150" s="168"/>
      <c r="H150" s="168"/>
      <c r="I150" s="168"/>
    </row>
    <row r="152" spans="1:9" ht="15.6">
      <c r="A152" s="168" t="s">
        <v>67</v>
      </c>
      <c r="B152" s="168"/>
      <c r="C152" s="168"/>
      <c r="D152" s="168"/>
      <c r="E152" s="168"/>
      <c r="F152" s="168"/>
      <c r="G152" s="168"/>
      <c r="H152" s="168"/>
      <c r="I152" s="168"/>
    </row>
    <row r="155" spans="1:9" ht="17.399999999999999">
      <c r="D155" s="62"/>
      <c r="E155" s="69"/>
      <c r="F155" s="69"/>
      <c r="G155" s="69"/>
      <c r="H155" s="69"/>
      <c r="I155" s="70"/>
    </row>
  </sheetData>
  <mergeCells count="171">
    <mergeCell ref="A6:I6"/>
    <mergeCell ref="A7:C7"/>
    <mergeCell ref="A8:C8"/>
    <mergeCell ref="A9:C9"/>
    <mergeCell ref="A1:C1"/>
    <mergeCell ref="A2:C2"/>
    <mergeCell ref="A3:I3"/>
    <mergeCell ref="A4:C5"/>
    <mergeCell ref="D4:D5"/>
    <mergeCell ref="E4:G4"/>
    <mergeCell ref="H4:H5"/>
    <mergeCell ref="I4:I5"/>
    <mergeCell ref="A16:C16"/>
    <mergeCell ref="A17:I17"/>
    <mergeCell ref="A18:C19"/>
    <mergeCell ref="D18:D19"/>
    <mergeCell ref="E18:G18"/>
    <mergeCell ref="H18:H19"/>
    <mergeCell ref="I18:I19"/>
    <mergeCell ref="A10:C10"/>
    <mergeCell ref="A11:C11"/>
    <mergeCell ref="A12:C12"/>
    <mergeCell ref="A13:C13"/>
    <mergeCell ref="A15:C15"/>
    <mergeCell ref="A24:C24"/>
    <mergeCell ref="A25:C25"/>
    <mergeCell ref="A26:C26"/>
    <mergeCell ref="A27:C27"/>
    <mergeCell ref="A28:C28"/>
    <mergeCell ref="A20:I20"/>
    <mergeCell ref="A21:C21"/>
    <mergeCell ref="A22:C22"/>
    <mergeCell ref="A23:C23"/>
    <mergeCell ref="A35:I35"/>
    <mergeCell ref="A36:C36"/>
    <mergeCell ref="A37:C37"/>
    <mergeCell ref="A38:C38"/>
    <mergeCell ref="A39:C39"/>
    <mergeCell ref="A30:C30"/>
    <mergeCell ref="A31:C31"/>
    <mergeCell ref="A32:I32"/>
    <mergeCell ref="A33:C34"/>
    <mergeCell ref="D33:D34"/>
    <mergeCell ref="E33:G33"/>
    <mergeCell ref="H33:H34"/>
    <mergeCell ref="I33:I34"/>
    <mergeCell ref="A46:I46"/>
    <mergeCell ref="A47:C48"/>
    <mergeCell ref="D47:D48"/>
    <mergeCell ref="E47:G47"/>
    <mergeCell ref="H47:H48"/>
    <mergeCell ref="I47:I48"/>
    <mergeCell ref="A40:C40"/>
    <mergeCell ref="A41:C41"/>
    <mergeCell ref="A42:C42"/>
    <mergeCell ref="A44:C44"/>
    <mergeCell ref="A45:C45"/>
    <mergeCell ref="A54:C54"/>
    <mergeCell ref="A55:C55"/>
    <mergeCell ref="A56:C56"/>
    <mergeCell ref="A58:C58"/>
    <mergeCell ref="A59:C59"/>
    <mergeCell ref="A49:I49"/>
    <mergeCell ref="A50:C50"/>
    <mergeCell ref="A51:C51"/>
    <mergeCell ref="A52:C52"/>
    <mergeCell ref="A53:C53"/>
    <mergeCell ref="A63:I63"/>
    <mergeCell ref="A64:C64"/>
    <mergeCell ref="A65:C65"/>
    <mergeCell ref="A66:C66"/>
    <mergeCell ref="A67:C67"/>
    <mergeCell ref="A68:C68"/>
    <mergeCell ref="A60:I60"/>
    <mergeCell ref="A61:C62"/>
    <mergeCell ref="D61:D62"/>
    <mergeCell ref="E61:G61"/>
    <mergeCell ref="H61:H62"/>
    <mergeCell ref="I61:I62"/>
    <mergeCell ref="A75:I75"/>
    <mergeCell ref="A76:C77"/>
    <mergeCell ref="D76:D77"/>
    <mergeCell ref="E76:G76"/>
    <mergeCell ref="H76:H77"/>
    <mergeCell ref="I76:I77"/>
    <mergeCell ref="A69:C69"/>
    <mergeCell ref="A70:C70"/>
    <mergeCell ref="A71:C71"/>
    <mergeCell ref="A73:C73"/>
    <mergeCell ref="A74:C74"/>
    <mergeCell ref="A82:C82"/>
    <mergeCell ref="A83:C83"/>
    <mergeCell ref="A84:C84"/>
    <mergeCell ref="A85:C85"/>
    <mergeCell ref="A86:C86"/>
    <mergeCell ref="A78:I78"/>
    <mergeCell ref="A79:C79"/>
    <mergeCell ref="A80:C80"/>
    <mergeCell ref="A81:C81"/>
    <mergeCell ref="A93:I93"/>
    <mergeCell ref="A94:C94"/>
    <mergeCell ref="A95:C95"/>
    <mergeCell ref="A96:C96"/>
    <mergeCell ref="A98:C98"/>
    <mergeCell ref="A88:C88"/>
    <mergeCell ref="A89:C89"/>
    <mergeCell ref="A90:I90"/>
    <mergeCell ref="A91:C92"/>
    <mergeCell ref="D91:D92"/>
    <mergeCell ref="E91:G91"/>
    <mergeCell ref="H91:H92"/>
    <mergeCell ref="I91:I92"/>
    <mergeCell ref="A97:C97"/>
    <mergeCell ref="A105:I105"/>
    <mergeCell ref="A106:C107"/>
    <mergeCell ref="D106:D107"/>
    <mergeCell ref="E106:G106"/>
    <mergeCell ref="H106:H107"/>
    <mergeCell ref="I106:I107"/>
    <mergeCell ref="A99:C99"/>
    <mergeCell ref="A100:C100"/>
    <mergeCell ref="A101:C101"/>
    <mergeCell ref="A103:C103"/>
    <mergeCell ref="A104:C104"/>
    <mergeCell ref="A112:C112"/>
    <mergeCell ref="A113:C113"/>
    <mergeCell ref="A114:C114"/>
    <mergeCell ref="A115:C115"/>
    <mergeCell ref="A116:C116"/>
    <mergeCell ref="A108:I108"/>
    <mergeCell ref="A109:C109"/>
    <mergeCell ref="A110:C110"/>
    <mergeCell ref="A111:C111"/>
    <mergeCell ref="A123:I123"/>
    <mergeCell ref="A124:C124"/>
    <mergeCell ref="A125:C125"/>
    <mergeCell ref="A126:C126"/>
    <mergeCell ref="A127:C127"/>
    <mergeCell ref="A118:C118"/>
    <mergeCell ref="A119:C119"/>
    <mergeCell ref="A120:I120"/>
    <mergeCell ref="A121:C122"/>
    <mergeCell ref="D121:D122"/>
    <mergeCell ref="E121:G121"/>
    <mergeCell ref="H121:H122"/>
    <mergeCell ref="I121:I122"/>
    <mergeCell ref="A133:I133"/>
    <mergeCell ref="A134:C135"/>
    <mergeCell ref="D134:D135"/>
    <mergeCell ref="E134:G134"/>
    <mergeCell ref="H134:H135"/>
    <mergeCell ref="I134:I135"/>
    <mergeCell ref="A128:C128"/>
    <mergeCell ref="A129:C129"/>
    <mergeCell ref="A130:C130"/>
    <mergeCell ref="A131:C131"/>
    <mergeCell ref="A132:C132"/>
    <mergeCell ref="A150:I150"/>
    <mergeCell ref="A152:I152"/>
    <mergeCell ref="A143:C143"/>
    <mergeCell ref="A144:C144"/>
    <mergeCell ref="A145:C145"/>
    <mergeCell ref="A146:I146"/>
    <mergeCell ref="A147:I147"/>
    <mergeCell ref="A136:I136"/>
    <mergeCell ref="A137:C137"/>
    <mergeCell ref="A138:C138"/>
    <mergeCell ref="A139:C139"/>
    <mergeCell ref="A140:C140"/>
    <mergeCell ref="A141:C141"/>
    <mergeCell ref="A142:C142"/>
  </mergeCells>
  <printOptions horizontalCentered="1" verticalCentered="1"/>
  <pageMargins left="0" right="0" top="0" bottom="0" header="0" footer="0"/>
  <pageSetup paperSize="9" scale="95" orientation="landscape" horizontalDpi="4294967293" verticalDpi="0" r:id="rId1"/>
  <rowBreaks count="4" manualBreakCount="4">
    <brk id="29" max="16383" man="1"/>
    <brk id="57" max="16383" man="1"/>
    <brk id="87" max="16383" man="1"/>
    <brk id="11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L241"/>
  <sheetViews>
    <sheetView view="pageBreakPreview" topLeftCell="A22" zoomScaleNormal="100" zoomScaleSheetLayoutView="100" workbookViewId="0">
      <selection activeCell="D35" sqref="D35"/>
    </sheetView>
  </sheetViews>
  <sheetFormatPr defaultColWidth="11" defaultRowHeight="14.4"/>
  <cols>
    <col min="1" max="1" width="8.5546875" style="56" customWidth="1"/>
    <col min="2" max="2" width="5.44140625" style="56" customWidth="1"/>
    <col min="3" max="3" width="42.6640625" style="56" customWidth="1"/>
    <col min="4" max="4" width="9" style="56" customWidth="1"/>
    <col min="5" max="5" width="8.44140625" style="56" customWidth="1"/>
    <col min="6" max="6" width="8.6640625" style="56" customWidth="1"/>
    <col min="7" max="7" width="8.33203125" style="56" customWidth="1"/>
    <col min="8" max="8" width="18.5546875" style="56" customWidth="1"/>
    <col min="9" max="9" width="12.6640625" style="56" customWidth="1"/>
    <col min="10" max="10" width="19" style="56" customWidth="1"/>
    <col min="11" max="223" width="8.6640625" style="56" customWidth="1"/>
    <col min="224" max="16384" width="11" style="56"/>
  </cols>
  <sheetData>
    <row r="1" spans="1:246" ht="15.6">
      <c r="A1" s="193" t="s">
        <v>0</v>
      </c>
      <c r="B1" s="193"/>
      <c r="C1" s="193"/>
      <c r="D1" s="57"/>
      <c r="E1" s="58"/>
      <c r="F1" s="59"/>
      <c r="G1" s="59"/>
      <c r="H1" s="59"/>
      <c r="I1" s="59"/>
    </row>
    <row r="2" spans="1:246" ht="16.2" thickBot="1">
      <c r="A2" s="193" t="s">
        <v>84</v>
      </c>
      <c r="B2" s="193"/>
      <c r="C2" s="193"/>
      <c r="D2" s="57"/>
      <c r="E2" s="58"/>
      <c r="F2" s="59"/>
      <c r="G2" s="59"/>
      <c r="H2" s="59"/>
      <c r="I2" s="59"/>
    </row>
    <row r="3" spans="1:246" ht="16.5" customHeight="1" thickBot="1">
      <c r="A3" s="212" t="s">
        <v>2</v>
      </c>
      <c r="B3" s="213"/>
      <c r="C3" s="213"/>
      <c r="D3" s="213"/>
      <c r="E3" s="213"/>
      <c r="F3" s="213"/>
      <c r="G3" s="213"/>
      <c r="H3" s="213"/>
      <c r="I3" s="214"/>
    </row>
    <row r="4" spans="1:246" ht="15.75" customHeight="1">
      <c r="A4" s="215" t="s">
        <v>3</v>
      </c>
      <c r="B4" s="216"/>
      <c r="C4" s="217"/>
      <c r="D4" s="203" t="s">
        <v>4</v>
      </c>
      <c r="E4" s="234" t="s">
        <v>5</v>
      </c>
      <c r="F4" s="235"/>
      <c r="G4" s="235"/>
      <c r="H4" s="236" t="s">
        <v>6</v>
      </c>
      <c r="I4" s="203" t="s">
        <v>7</v>
      </c>
    </row>
    <row r="5" spans="1:246" ht="17.25" customHeight="1" thickBot="1">
      <c r="A5" s="218"/>
      <c r="B5" s="219"/>
      <c r="C5" s="220"/>
      <c r="D5" s="204"/>
      <c r="E5" s="74" t="s">
        <v>8</v>
      </c>
      <c r="F5" s="72" t="s">
        <v>9</v>
      </c>
      <c r="G5" s="72" t="s">
        <v>10</v>
      </c>
      <c r="H5" s="208"/>
      <c r="I5" s="204"/>
    </row>
    <row r="6" spans="1:246" ht="16.5" customHeight="1" thickBot="1">
      <c r="A6" s="176" t="s">
        <v>11</v>
      </c>
      <c r="B6" s="177"/>
      <c r="C6" s="177"/>
      <c r="D6" s="177"/>
      <c r="E6" s="177"/>
      <c r="F6" s="177"/>
      <c r="G6" s="177"/>
      <c r="H6" s="177"/>
      <c r="I6" s="178"/>
    </row>
    <row r="7" spans="1:246" ht="17.100000000000001" customHeight="1">
      <c r="A7" s="179" t="s">
        <v>38</v>
      </c>
      <c r="B7" s="180"/>
      <c r="C7" s="181"/>
      <c r="D7" s="145">
        <v>30</v>
      </c>
      <c r="E7" s="98">
        <v>1.0242</v>
      </c>
      <c r="F7" s="97">
        <v>3.0024000000000002</v>
      </c>
      <c r="G7" s="97">
        <v>5.0747999999999998</v>
      </c>
      <c r="H7" s="102">
        <v>51.42</v>
      </c>
      <c r="I7" s="145">
        <v>47</v>
      </c>
    </row>
    <row r="8" spans="1:246" ht="15.75" customHeight="1">
      <c r="A8" s="182" t="s">
        <v>39</v>
      </c>
      <c r="B8" s="183"/>
      <c r="C8" s="184"/>
      <c r="D8" s="3">
        <v>230</v>
      </c>
      <c r="E8" s="11">
        <v>15.204000000000001</v>
      </c>
      <c r="F8" s="32">
        <v>8.8800000000000008</v>
      </c>
      <c r="G8" s="12">
        <v>32.808</v>
      </c>
      <c r="H8" s="13">
        <v>272.39999999999998</v>
      </c>
      <c r="I8" s="7">
        <v>291</v>
      </c>
      <c r="IH8" s="61"/>
      <c r="II8" s="61"/>
      <c r="IJ8" s="61"/>
      <c r="IK8" s="61"/>
      <c r="IL8" s="61"/>
    </row>
    <row r="9" spans="1:246" ht="15.75" customHeight="1">
      <c r="A9" s="182" t="s">
        <v>34</v>
      </c>
      <c r="B9" s="183"/>
      <c r="C9" s="184"/>
      <c r="D9" s="3">
        <v>30</v>
      </c>
      <c r="E9" s="11">
        <v>2.37</v>
      </c>
      <c r="F9" s="12">
        <v>0.30000000000000004</v>
      </c>
      <c r="G9" s="12">
        <v>14.49</v>
      </c>
      <c r="H9" s="6">
        <v>70.5</v>
      </c>
      <c r="I9" s="7" t="s">
        <v>15</v>
      </c>
      <c r="IH9" s="61"/>
      <c r="II9" s="61"/>
      <c r="IJ9" s="61"/>
      <c r="IK9" s="61"/>
      <c r="IL9" s="61"/>
    </row>
    <row r="10" spans="1:246" ht="16.350000000000001" customHeight="1">
      <c r="A10" s="221" t="s">
        <v>16</v>
      </c>
      <c r="B10" s="222"/>
      <c r="C10" s="284"/>
      <c r="D10" s="25">
        <v>30</v>
      </c>
      <c r="E10" s="29">
        <v>1.98</v>
      </c>
      <c r="F10" s="30">
        <v>0.36</v>
      </c>
      <c r="G10" s="30">
        <v>10.02</v>
      </c>
      <c r="H10" s="31">
        <v>52.2</v>
      </c>
      <c r="I10" s="21" t="s">
        <v>15</v>
      </c>
      <c r="IH10" s="61"/>
      <c r="II10" s="61"/>
      <c r="IJ10" s="61"/>
      <c r="IK10" s="61"/>
      <c r="IL10" s="61"/>
    </row>
    <row r="11" spans="1:246" ht="15.75" customHeight="1">
      <c r="A11" s="227" t="s">
        <v>40</v>
      </c>
      <c r="B11" s="228"/>
      <c r="C11" s="298"/>
      <c r="D11" s="99">
        <v>180</v>
      </c>
      <c r="E11" s="8">
        <v>0.12</v>
      </c>
      <c r="F11" s="9">
        <v>0.02</v>
      </c>
      <c r="G11" s="9">
        <v>10.199999999999999</v>
      </c>
      <c r="H11" s="10">
        <v>41</v>
      </c>
      <c r="I11" s="21">
        <v>376</v>
      </c>
      <c r="IH11" s="61"/>
      <c r="II11" s="61"/>
      <c r="IJ11" s="61"/>
      <c r="IK11" s="61"/>
      <c r="IL11" s="61"/>
    </row>
    <row r="12" spans="1:246" ht="15.75" customHeight="1" thickBot="1">
      <c r="A12" s="277" t="s">
        <v>41</v>
      </c>
      <c r="B12" s="278"/>
      <c r="C12" s="292"/>
      <c r="D12" s="136">
        <v>50</v>
      </c>
      <c r="E12" s="89">
        <v>4.71</v>
      </c>
      <c r="F12" s="90">
        <v>7.42</v>
      </c>
      <c r="G12" s="90">
        <v>25.58</v>
      </c>
      <c r="H12" s="91">
        <v>188</v>
      </c>
      <c r="I12" s="47" t="s">
        <v>15</v>
      </c>
      <c r="IH12" s="61"/>
      <c r="II12" s="61"/>
      <c r="IJ12" s="61"/>
      <c r="IK12" s="61"/>
      <c r="IL12" s="61"/>
    </row>
    <row r="13" spans="1:246" ht="16.5" customHeight="1" thickBot="1">
      <c r="A13" s="173" t="s">
        <v>18</v>
      </c>
      <c r="B13" s="174"/>
      <c r="C13" s="175"/>
      <c r="D13" s="85">
        <f>SUM(D7:D12)</f>
        <v>550</v>
      </c>
      <c r="E13" s="49">
        <f>SUM(E54:E58)</f>
        <v>17.788571428571426</v>
      </c>
      <c r="F13" s="50">
        <f>SUM(F54:F58)</f>
        <v>18.506097560975611</v>
      </c>
      <c r="G13" s="50">
        <f>SUM(G54:G58)</f>
        <v>89.058780487804867</v>
      </c>
      <c r="H13" s="51">
        <f>SUM(H54:H58)</f>
        <v>600.61952380952448</v>
      </c>
      <c r="I13" s="16"/>
    </row>
    <row r="14" spans="1:246" ht="16.5" customHeight="1" thickBot="1">
      <c r="A14" s="176" t="s">
        <v>19</v>
      </c>
      <c r="B14" s="177"/>
      <c r="C14" s="177"/>
      <c r="D14" s="177"/>
      <c r="E14" s="177"/>
      <c r="F14" s="177"/>
      <c r="G14" s="177"/>
      <c r="H14" s="177"/>
      <c r="I14" s="178"/>
    </row>
    <row r="15" spans="1:246" s="61" customFormat="1" ht="15.75" customHeight="1">
      <c r="A15" s="308" t="s">
        <v>48</v>
      </c>
      <c r="B15" s="309"/>
      <c r="C15" s="310"/>
      <c r="D15" s="1">
        <v>250</v>
      </c>
      <c r="E15" s="94">
        <v>1.87</v>
      </c>
      <c r="F15" s="95">
        <v>2.2599999999999998</v>
      </c>
      <c r="G15" s="95">
        <v>13.5</v>
      </c>
      <c r="H15" s="96">
        <v>91.2</v>
      </c>
      <c r="I15" s="19">
        <v>101</v>
      </c>
      <c r="HP15" s="56"/>
      <c r="HQ15" s="56"/>
      <c r="HR15" s="56"/>
      <c r="HS15" s="56"/>
      <c r="HT15" s="56"/>
      <c r="HU15" s="56"/>
      <c r="HV15" s="56"/>
      <c r="HW15" s="56"/>
      <c r="HX15" s="56"/>
    </row>
    <row r="16" spans="1:246" ht="16.5" customHeight="1">
      <c r="A16" s="182" t="s">
        <v>20</v>
      </c>
      <c r="B16" s="183"/>
      <c r="C16" s="184"/>
      <c r="D16" s="3">
        <v>180</v>
      </c>
      <c r="E16" s="11">
        <f>36.78/1000*150</f>
        <v>5.5170000000000003</v>
      </c>
      <c r="F16" s="12">
        <f>30.1/1000*150</f>
        <v>4.5150000000000006</v>
      </c>
      <c r="G16" s="12">
        <f>176.3/1000*150</f>
        <v>26.445</v>
      </c>
      <c r="H16" s="13">
        <f>1123/1000*150</f>
        <v>168.45</v>
      </c>
      <c r="I16" s="7">
        <v>309</v>
      </c>
    </row>
    <row r="17" spans="1:246" s="121" customFormat="1" ht="15.75" customHeight="1">
      <c r="A17" s="221" t="s">
        <v>21</v>
      </c>
      <c r="B17" s="222"/>
      <c r="C17" s="284"/>
      <c r="D17" s="25">
        <v>100</v>
      </c>
      <c r="E17" s="29">
        <v>8.15</v>
      </c>
      <c r="F17" s="30">
        <v>9.07</v>
      </c>
      <c r="G17" s="30">
        <v>9.85</v>
      </c>
      <c r="H17" s="31">
        <v>154</v>
      </c>
      <c r="I17" s="25">
        <v>268</v>
      </c>
      <c r="IH17" s="122"/>
      <c r="II17" s="122"/>
      <c r="IJ17" s="122"/>
      <c r="IK17" s="122"/>
      <c r="IL17" s="122"/>
    </row>
    <row r="18" spans="1:246" ht="16.350000000000001" customHeight="1">
      <c r="A18" s="182" t="s">
        <v>14</v>
      </c>
      <c r="B18" s="183"/>
      <c r="C18" s="184"/>
      <c r="D18" s="3">
        <v>30</v>
      </c>
      <c r="E18" s="11">
        <v>2.37</v>
      </c>
      <c r="F18" s="12">
        <v>0.30000000000000004</v>
      </c>
      <c r="G18" s="12">
        <v>14.49</v>
      </c>
      <c r="H18" s="6">
        <v>70.5</v>
      </c>
      <c r="I18" s="7" t="s">
        <v>15</v>
      </c>
      <c r="IH18" s="61"/>
      <c r="II18" s="61"/>
      <c r="IJ18" s="61"/>
      <c r="IK18" s="61"/>
      <c r="IL18" s="61"/>
    </row>
    <row r="19" spans="1:246" ht="15.75" customHeight="1">
      <c r="A19" s="182" t="s">
        <v>16</v>
      </c>
      <c r="B19" s="183"/>
      <c r="C19" s="184"/>
      <c r="D19" s="3">
        <v>30</v>
      </c>
      <c r="E19" s="11">
        <v>1.98</v>
      </c>
      <c r="F19" s="12">
        <v>0.36</v>
      </c>
      <c r="G19" s="12">
        <v>10.02</v>
      </c>
      <c r="H19" s="13">
        <v>52.2</v>
      </c>
      <c r="I19" s="7" t="s">
        <v>15</v>
      </c>
      <c r="IH19" s="61"/>
      <c r="II19" s="61"/>
      <c r="IJ19" s="61"/>
      <c r="IK19" s="61"/>
      <c r="IL19" s="61"/>
    </row>
    <row r="20" spans="1:246" s="61" customFormat="1" ht="15.75" customHeight="1" thickBot="1">
      <c r="A20" s="299" t="s">
        <v>23</v>
      </c>
      <c r="B20" s="294"/>
      <c r="C20" s="295"/>
      <c r="D20" s="126">
        <v>180</v>
      </c>
      <c r="E20" s="125">
        <f>2.2/1000*180</f>
        <v>0.39600000000000002</v>
      </c>
      <c r="F20" s="124">
        <f>0.1/1000*180</f>
        <v>1.8000000000000002E-2</v>
      </c>
      <c r="G20" s="124">
        <f>138.84/1000*180</f>
        <v>24.991199999999999</v>
      </c>
      <c r="H20" s="127">
        <f>565/1000*180</f>
        <v>101.69999999999999</v>
      </c>
      <c r="I20" s="128">
        <v>372</v>
      </c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</row>
    <row r="21" spans="1:246" ht="16.5" customHeight="1" thickBot="1">
      <c r="A21" s="173" t="s">
        <v>24</v>
      </c>
      <c r="B21" s="174"/>
      <c r="C21" s="175"/>
      <c r="D21" s="85">
        <f>SUM(D15:D20)</f>
        <v>770</v>
      </c>
      <c r="E21" s="49">
        <f>SUM(E15:E20)</f>
        <v>20.283000000000001</v>
      </c>
      <c r="F21" s="50">
        <f>SUM(F15:F20)</f>
        <v>16.523</v>
      </c>
      <c r="G21" s="50">
        <f>SUM(G15:G20)</f>
        <v>99.296199999999999</v>
      </c>
      <c r="H21" s="51">
        <f>SUM(H15:H20)</f>
        <v>638.04999999999995</v>
      </c>
      <c r="I21" s="16"/>
    </row>
    <row r="22" spans="1:246" ht="16.5" customHeight="1" thickBot="1">
      <c r="A22" s="173" t="s">
        <v>25</v>
      </c>
      <c r="B22" s="174"/>
      <c r="C22" s="174"/>
      <c r="D22" s="241"/>
      <c r="E22" s="49">
        <f>E13+E21</f>
        <v>38.071571428571431</v>
      </c>
      <c r="F22" s="50">
        <f>F13+F21</f>
        <v>35.029097560975615</v>
      </c>
      <c r="G22" s="50">
        <f>G13+G21</f>
        <v>188.35498048780488</v>
      </c>
      <c r="H22" s="51">
        <f>H13+H21</f>
        <v>1238.6695238095244</v>
      </c>
      <c r="I22" s="16"/>
    </row>
    <row r="23" spans="1:246" ht="15" customHeight="1">
      <c r="A23" s="54"/>
      <c r="B23" s="62"/>
      <c r="C23" s="62"/>
      <c r="D23" s="62"/>
      <c r="E23" s="63"/>
      <c r="F23" s="64"/>
      <c r="G23" s="64"/>
      <c r="H23" s="64"/>
      <c r="I23" s="62"/>
    </row>
    <row r="24" spans="1:246" ht="15.6">
      <c r="A24" s="193" t="s">
        <v>0</v>
      </c>
      <c r="B24" s="193"/>
      <c r="C24" s="193"/>
      <c r="D24" s="57"/>
      <c r="E24" s="65"/>
      <c r="F24" s="65"/>
      <c r="G24" s="65"/>
      <c r="H24" s="65"/>
      <c r="I24" s="65"/>
    </row>
    <row r="25" spans="1:246" ht="16.2" thickBot="1">
      <c r="A25" s="193" t="s">
        <v>84</v>
      </c>
      <c r="B25" s="193"/>
      <c r="C25" s="193"/>
      <c r="D25" s="57"/>
      <c r="E25" s="65"/>
      <c r="F25" s="65"/>
      <c r="G25" s="65"/>
      <c r="H25" s="65"/>
      <c r="I25" s="65"/>
    </row>
    <row r="26" spans="1:246" ht="16.5" customHeight="1" thickBot="1">
      <c r="A26" s="176" t="s">
        <v>26</v>
      </c>
      <c r="B26" s="177"/>
      <c r="C26" s="177"/>
      <c r="D26" s="177"/>
      <c r="E26" s="177"/>
      <c r="F26" s="177"/>
      <c r="G26" s="177"/>
      <c r="H26" s="177"/>
      <c r="I26" s="178"/>
    </row>
    <row r="27" spans="1:246" ht="14.25" customHeight="1">
      <c r="A27" s="215" t="s">
        <v>3</v>
      </c>
      <c r="B27" s="216"/>
      <c r="C27" s="217"/>
      <c r="D27" s="203" t="s">
        <v>4</v>
      </c>
      <c r="E27" s="234" t="s">
        <v>5</v>
      </c>
      <c r="F27" s="235"/>
      <c r="G27" s="235"/>
      <c r="H27" s="236" t="s">
        <v>6</v>
      </c>
      <c r="I27" s="203" t="s">
        <v>7</v>
      </c>
    </row>
    <row r="28" spans="1:246" ht="18" customHeight="1" thickBot="1">
      <c r="A28" s="218"/>
      <c r="B28" s="219"/>
      <c r="C28" s="220"/>
      <c r="D28" s="204"/>
      <c r="E28" s="74" t="s">
        <v>8</v>
      </c>
      <c r="F28" s="72" t="s">
        <v>9</v>
      </c>
      <c r="G28" s="72" t="s">
        <v>10</v>
      </c>
      <c r="H28" s="208"/>
      <c r="I28" s="204"/>
    </row>
    <row r="29" spans="1:246" ht="16.5" customHeight="1" thickBot="1">
      <c r="A29" s="176" t="s">
        <v>11</v>
      </c>
      <c r="B29" s="177"/>
      <c r="C29" s="177"/>
      <c r="D29" s="177"/>
      <c r="E29" s="177"/>
      <c r="F29" s="177"/>
      <c r="G29" s="177"/>
      <c r="H29" s="177"/>
      <c r="I29" s="178"/>
    </row>
    <row r="30" spans="1:246" ht="15.6" customHeight="1">
      <c r="A30" s="186" t="s">
        <v>27</v>
      </c>
      <c r="B30" s="187"/>
      <c r="C30" s="188"/>
      <c r="D30" s="1">
        <v>100</v>
      </c>
      <c r="E30" s="94">
        <v>10.76</v>
      </c>
      <c r="F30" s="95">
        <v>5.75</v>
      </c>
      <c r="G30" s="95">
        <v>3.8</v>
      </c>
      <c r="H30" s="96">
        <v>116</v>
      </c>
      <c r="I30" s="1">
        <v>229</v>
      </c>
    </row>
    <row r="31" spans="1:246" ht="17.7" customHeight="1">
      <c r="A31" s="227" t="s">
        <v>28</v>
      </c>
      <c r="B31" s="228"/>
      <c r="C31" s="229"/>
      <c r="D31" s="25">
        <v>180</v>
      </c>
      <c r="E31" s="8">
        <v>3.2</v>
      </c>
      <c r="F31" s="9">
        <v>9.4600000000000009</v>
      </c>
      <c r="G31" s="9">
        <v>18.579999999999998</v>
      </c>
      <c r="H31" s="10">
        <v>178.61</v>
      </c>
      <c r="I31" s="25">
        <v>312</v>
      </c>
    </row>
    <row r="32" spans="1:246" ht="16.5" customHeight="1">
      <c r="A32" s="221" t="s">
        <v>29</v>
      </c>
      <c r="B32" s="222"/>
      <c r="C32" s="223"/>
      <c r="D32" s="25">
        <v>30</v>
      </c>
      <c r="E32" s="11">
        <f>11.58/1000*30</f>
        <v>0.34739999999999999</v>
      </c>
      <c r="F32" s="12">
        <f>1.85/1000*30</f>
        <v>5.5500000000000001E-2</v>
      </c>
      <c r="G32" s="12">
        <f>71.99/1000*30</f>
        <v>2.1597</v>
      </c>
      <c r="H32" s="20">
        <f>351/1000*30</f>
        <v>10.53</v>
      </c>
      <c r="I32" s="21"/>
    </row>
    <row r="33" spans="1:246" ht="16.350000000000001" customHeight="1">
      <c r="A33" s="221" t="s">
        <v>14</v>
      </c>
      <c r="B33" s="222"/>
      <c r="C33" s="223"/>
      <c r="D33" s="25">
        <v>30</v>
      </c>
      <c r="E33" s="29">
        <v>2.37</v>
      </c>
      <c r="F33" s="30">
        <v>0.30000000000000004</v>
      </c>
      <c r="G33" s="30">
        <v>14.49</v>
      </c>
      <c r="H33" s="10">
        <v>70.5</v>
      </c>
      <c r="I33" s="21" t="s">
        <v>15</v>
      </c>
      <c r="IH33" s="61"/>
      <c r="II33" s="61"/>
      <c r="IJ33" s="61"/>
      <c r="IK33" s="61"/>
      <c r="IL33" s="61"/>
    </row>
    <row r="34" spans="1:246" ht="15.75" customHeight="1">
      <c r="A34" s="221" t="s">
        <v>16</v>
      </c>
      <c r="B34" s="222"/>
      <c r="C34" s="223"/>
      <c r="D34" s="25">
        <v>30</v>
      </c>
      <c r="E34" s="29">
        <v>1.98</v>
      </c>
      <c r="F34" s="30">
        <v>0.36</v>
      </c>
      <c r="G34" s="30">
        <v>10.02</v>
      </c>
      <c r="H34" s="31">
        <v>52.2</v>
      </c>
      <c r="I34" s="21" t="s">
        <v>15</v>
      </c>
      <c r="IH34" s="61"/>
      <c r="II34" s="61"/>
      <c r="IJ34" s="61"/>
      <c r="IK34" s="61"/>
      <c r="IL34" s="61"/>
    </row>
    <row r="35" spans="1:246" ht="15.75" customHeight="1" thickBot="1">
      <c r="A35" s="277" t="s">
        <v>30</v>
      </c>
      <c r="B35" s="278"/>
      <c r="C35" s="279"/>
      <c r="D35" s="101" t="s">
        <v>93</v>
      </c>
      <c r="E35" s="89">
        <v>0.12</v>
      </c>
      <c r="F35" s="90">
        <v>0.02</v>
      </c>
      <c r="G35" s="90">
        <v>10.199999999999999</v>
      </c>
      <c r="H35" s="91">
        <v>41</v>
      </c>
      <c r="I35" s="47">
        <v>393</v>
      </c>
      <c r="IH35" s="61"/>
      <c r="II35" s="61"/>
      <c r="IJ35" s="61"/>
      <c r="IK35" s="61"/>
      <c r="IL35" s="61"/>
    </row>
    <row r="36" spans="1:246" ht="16.5" customHeight="1" thickBot="1">
      <c r="A36" s="173" t="s">
        <v>18</v>
      </c>
      <c r="B36" s="174"/>
      <c r="C36" s="241"/>
      <c r="D36" s="85">
        <f>SUM(D30:D34)+187</f>
        <v>557</v>
      </c>
      <c r="E36" s="49">
        <f>SUM(E30:E35)</f>
        <v>18.777400000000004</v>
      </c>
      <c r="F36" s="50">
        <f>SUM(F30:F35)</f>
        <v>15.945500000000001</v>
      </c>
      <c r="G36" s="50">
        <f>SUM(G30:G35)</f>
        <v>59.249700000000004</v>
      </c>
      <c r="H36" s="51">
        <f>SUM(H30:H35)</f>
        <v>468.84</v>
      </c>
      <c r="I36" s="16"/>
    </row>
    <row r="37" spans="1:246" ht="16.5" customHeight="1" thickBot="1">
      <c r="A37" s="176" t="s">
        <v>19</v>
      </c>
      <c r="B37" s="177"/>
      <c r="C37" s="177"/>
      <c r="D37" s="177"/>
      <c r="E37" s="177"/>
      <c r="F37" s="177"/>
      <c r="G37" s="177"/>
      <c r="H37" s="177"/>
      <c r="I37" s="178"/>
    </row>
    <row r="38" spans="1:246" ht="16.5" customHeight="1">
      <c r="A38" s="186" t="s">
        <v>32</v>
      </c>
      <c r="B38" s="187"/>
      <c r="C38" s="187"/>
      <c r="D38" s="165">
        <v>250</v>
      </c>
      <c r="E38" s="157">
        <f>7.21/1000*250</f>
        <v>1.8025</v>
      </c>
      <c r="F38" s="157">
        <f>19.68/1000*250</f>
        <v>4.92</v>
      </c>
      <c r="G38" s="157">
        <f>43.73/1000*250</f>
        <v>10.932499999999999</v>
      </c>
      <c r="H38" s="157">
        <f>415/1000*250</f>
        <v>103.75</v>
      </c>
      <c r="I38" s="26">
        <v>82</v>
      </c>
      <c r="IH38" s="61"/>
      <c r="II38" s="61"/>
      <c r="IJ38" s="61"/>
      <c r="IK38" s="61"/>
      <c r="IL38" s="61"/>
    </row>
    <row r="39" spans="1:246" ht="15.6" customHeight="1">
      <c r="A39" s="183" t="s">
        <v>33</v>
      </c>
      <c r="B39" s="183"/>
      <c r="C39" s="184"/>
      <c r="D39" s="133">
        <v>100</v>
      </c>
      <c r="E39" s="132">
        <v>11.65</v>
      </c>
      <c r="F39" s="129">
        <v>11.66</v>
      </c>
      <c r="G39" s="129">
        <v>3.51</v>
      </c>
      <c r="H39" s="135">
        <v>166</v>
      </c>
      <c r="I39" s="7">
        <v>290</v>
      </c>
    </row>
    <row r="40" spans="1:246" ht="15.6" customHeight="1">
      <c r="A40" s="183" t="s">
        <v>80</v>
      </c>
      <c r="B40" s="183"/>
      <c r="C40" s="184"/>
      <c r="D40" s="3">
        <v>180</v>
      </c>
      <c r="E40" s="11">
        <f>30.53/1000*150</f>
        <v>4.5795000000000003</v>
      </c>
      <c r="F40" s="12">
        <f>33.38/1000*150</f>
        <v>5.0069999999999997</v>
      </c>
      <c r="G40" s="12">
        <f>136.81/1000*150</f>
        <v>20.521500000000003</v>
      </c>
      <c r="H40" s="20">
        <f>970/1000*150</f>
        <v>145.5</v>
      </c>
      <c r="I40" s="7">
        <v>303</v>
      </c>
    </row>
    <row r="41" spans="1:246" ht="15.75" customHeight="1">
      <c r="A41" s="222" t="s">
        <v>22</v>
      </c>
      <c r="B41" s="222"/>
      <c r="C41" s="284"/>
      <c r="D41" s="25">
        <v>30</v>
      </c>
      <c r="E41" s="11">
        <f>8.33/1000*30</f>
        <v>0.24990000000000001</v>
      </c>
      <c r="F41" s="12">
        <f>50.31/1000*30</f>
        <v>1.5093000000000001</v>
      </c>
      <c r="G41" s="12">
        <f>18.35/1000*30</f>
        <v>0.5505000000000001</v>
      </c>
      <c r="H41" s="20">
        <f>560/1000*30</f>
        <v>16.8</v>
      </c>
      <c r="I41" s="21"/>
    </row>
    <row r="42" spans="1:246" ht="15.6" customHeight="1">
      <c r="A42" s="183" t="s">
        <v>34</v>
      </c>
      <c r="B42" s="183"/>
      <c r="C42" s="184"/>
      <c r="D42" s="3">
        <v>30</v>
      </c>
      <c r="E42" s="11">
        <v>2.37</v>
      </c>
      <c r="F42" s="12">
        <v>0.30000000000000004</v>
      </c>
      <c r="G42" s="12">
        <v>14.49</v>
      </c>
      <c r="H42" s="6">
        <v>70.5</v>
      </c>
      <c r="I42" s="7" t="s">
        <v>15</v>
      </c>
    </row>
    <row r="43" spans="1:246" s="61" customFormat="1" ht="15.75" customHeight="1">
      <c r="A43" s="183" t="s">
        <v>16</v>
      </c>
      <c r="B43" s="183"/>
      <c r="C43" s="184"/>
      <c r="D43" s="3">
        <v>30</v>
      </c>
      <c r="E43" s="4">
        <v>1.98</v>
      </c>
      <c r="F43" s="5">
        <v>0.36</v>
      </c>
      <c r="G43" s="5">
        <v>10.02</v>
      </c>
      <c r="H43" s="6">
        <v>52.2</v>
      </c>
      <c r="I43" s="7" t="s">
        <v>15</v>
      </c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</row>
    <row r="44" spans="1:246" ht="16.5" customHeight="1" thickBot="1">
      <c r="A44" s="294" t="s">
        <v>35</v>
      </c>
      <c r="B44" s="294"/>
      <c r="C44" s="295"/>
      <c r="D44" s="126">
        <v>180</v>
      </c>
      <c r="E44" s="125">
        <f>2.2/1000*180</f>
        <v>0.39600000000000002</v>
      </c>
      <c r="F44" s="124">
        <f>0.1/1000*180</f>
        <v>1.8000000000000002E-2</v>
      </c>
      <c r="G44" s="124">
        <f>138.84/1000*180</f>
        <v>24.991199999999999</v>
      </c>
      <c r="H44" s="127">
        <f>565/1000*180</f>
        <v>101.69999999999999</v>
      </c>
      <c r="I44" s="128">
        <v>376</v>
      </c>
    </row>
    <row r="45" spans="1:246" ht="16.5" customHeight="1" thickBot="1">
      <c r="A45" s="173" t="s">
        <v>24</v>
      </c>
      <c r="B45" s="174"/>
      <c r="C45" s="175"/>
      <c r="D45" s="85">
        <f>SUM(D38:D44)</f>
        <v>800</v>
      </c>
      <c r="E45" s="49">
        <f>SUM(E38:E44)</f>
        <v>23.027900000000002</v>
      </c>
      <c r="F45" s="50">
        <f>SUM(F38:F44)</f>
        <v>23.774299999999997</v>
      </c>
      <c r="G45" s="50">
        <f>SUM(G38:G44)</f>
        <v>85.01570000000001</v>
      </c>
      <c r="H45" s="51">
        <f>SUM(H38:H44)</f>
        <v>656.45</v>
      </c>
      <c r="I45" s="16"/>
    </row>
    <row r="46" spans="1:246" ht="17.25" customHeight="1" thickBot="1">
      <c r="A46" s="173" t="s">
        <v>36</v>
      </c>
      <c r="B46" s="174"/>
      <c r="C46" s="174"/>
      <c r="D46" s="241"/>
      <c r="E46" s="49">
        <f>E36+E45</f>
        <v>41.805300000000003</v>
      </c>
      <c r="F46" s="50">
        <f>F36+F45</f>
        <v>39.719799999999999</v>
      </c>
      <c r="G46" s="50">
        <f>G36+G45</f>
        <v>144.2654</v>
      </c>
      <c r="H46" s="51">
        <f>H36+H45</f>
        <v>1125.29</v>
      </c>
      <c r="I46" s="16"/>
    </row>
    <row r="47" spans="1:246" ht="15.75" customHeight="1">
      <c r="A47" s="66"/>
      <c r="B47" s="66"/>
      <c r="C47" s="66"/>
      <c r="D47" s="67"/>
      <c r="E47" s="63"/>
      <c r="F47" s="64"/>
      <c r="G47" s="64"/>
      <c r="H47" s="64"/>
      <c r="I47" s="66"/>
    </row>
    <row r="48" spans="1:246" ht="16.5" customHeight="1">
      <c r="A48" s="193" t="s">
        <v>0</v>
      </c>
      <c r="B48" s="193"/>
      <c r="C48" s="193"/>
      <c r="D48" s="57"/>
      <c r="E48" s="65"/>
      <c r="F48" s="65"/>
      <c r="G48" s="65"/>
      <c r="H48" s="65"/>
      <c r="I48" s="65"/>
    </row>
    <row r="49" spans="1:246" ht="16.5" customHeight="1" thickBot="1">
      <c r="A49" s="193" t="s">
        <v>84</v>
      </c>
      <c r="B49" s="193"/>
      <c r="C49" s="193"/>
      <c r="D49" s="57"/>
      <c r="E49" s="65"/>
      <c r="F49" s="65"/>
      <c r="G49" s="65"/>
      <c r="H49" s="65"/>
      <c r="I49" s="65"/>
    </row>
    <row r="50" spans="1:246" ht="15.75" customHeight="1" thickBot="1">
      <c r="A50" s="212" t="s">
        <v>37</v>
      </c>
      <c r="B50" s="213"/>
      <c r="C50" s="213"/>
      <c r="D50" s="213"/>
      <c r="E50" s="213"/>
      <c r="F50" s="213"/>
      <c r="G50" s="213"/>
      <c r="H50" s="213"/>
      <c r="I50" s="214"/>
    </row>
    <row r="51" spans="1:246" ht="12" customHeight="1">
      <c r="A51" s="230" t="s">
        <v>3</v>
      </c>
      <c r="B51" s="231"/>
      <c r="C51" s="232"/>
      <c r="D51" s="237" t="s">
        <v>4</v>
      </c>
      <c r="E51" s="234" t="s">
        <v>5</v>
      </c>
      <c r="F51" s="235"/>
      <c r="G51" s="235"/>
      <c r="H51" s="236" t="s">
        <v>6</v>
      </c>
      <c r="I51" s="237" t="s">
        <v>7</v>
      </c>
    </row>
    <row r="52" spans="1:246" ht="16.5" customHeight="1" thickBot="1">
      <c r="A52" s="218"/>
      <c r="B52" s="219"/>
      <c r="C52" s="220"/>
      <c r="D52" s="204"/>
      <c r="E52" s="74" t="s">
        <v>8</v>
      </c>
      <c r="F52" s="72" t="s">
        <v>9</v>
      </c>
      <c r="G52" s="72" t="s">
        <v>10</v>
      </c>
      <c r="H52" s="208"/>
      <c r="I52" s="204"/>
    </row>
    <row r="53" spans="1:246" ht="15.75" customHeight="1" thickBot="1">
      <c r="A53" s="212" t="s">
        <v>11</v>
      </c>
      <c r="B53" s="213"/>
      <c r="C53" s="213"/>
      <c r="D53" s="213"/>
      <c r="E53" s="213"/>
      <c r="F53" s="213"/>
      <c r="G53" s="213"/>
      <c r="H53" s="213"/>
      <c r="I53" s="214"/>
    </row>
    <row r="54" spans="1:246" ht="15.75" customHeight="1">
      <c r="A54" s="186" t="s">
        <v>86</v>
      </c>
      <c r="B54" s="187"/>
      <c r="C54" s="301"/>
      <c r="D54" s="1">
        <v>250</v>
      </c>
      <c r="E54" s="75">
        <f>5.88642857142857/205*250</f>
        <v>7.1785714285714262</v>
      </c>
      <c r="F54" s="73">
        <f>10.46/205*250</f>
        <v>12.756097560975611</v>
      </c>
      <c r="G54" s="73">
        <f>31.61/205*250</f>
        <v>38.548780487804876</v>
      </c>
      <c r="H54" s="77">
        <f>245.02380952381/205*250</f>
        <v>298.80952380952442</v>
      </c>
      <c r="I54" s="2">
        <v>181</v>
      </c>
    </row>
    <row r="55" spans="1:246" ht="15.75" customHeight="1">
      <c r="A55" s="182" t="s">
        <v>65</v>
      </c>
      <c r="B55" s="183"/>
      <c r="C55" s="184"/>
      <c r="D55" s="3">
        <v>180</v>
      </c>
      <c r="E55" s="4">
        <v>2.78</v>
      </c>
      <c r="F55" s="5">
        <v>0.67</v>
      </c>
      <c r="G55" s="5">
        <v>26</v>
      </c>
      <c r="H55" s="6">
        <v>125.11</v>
      </c>
      <c r="I55" s="7">
        <v>397</v>
      </c>
    </row>
    <row r="56" spans="1:246" ht="15.75" customHeight="1">
      <c r="A56" s="182" t="s">
        <v>13</v>
      </c>
      <c r="B56" s="183"/>
      <c r="C56" s="184"/>
      <c r="D56" s="3">
        <v>15</v>
      </c>
      <c r="E56" s="8">
        <f>3.48/15*15</f>
        <v>3.48</v>
      </c>
      <c r="F56" s="9">
        <f>4.42/15*15</f>
        <v>4.42</v>
      </c>
      <c r="G56" s="9">
        <v>0</v>
      </c>
      <c r="H56" s="10">
        <f>54/15*15</f>
        <v>54</v>
      </c>
      <c r="I56" s="7">
        <v>15</v>
      </c>
      <c r="IH56" s="61"/>
      <c r="II56" s="61"/>
      <c r="IJ56" s="61"/>
      <c r="IK56" s="61"/>
      <c r="IL56" s="61"/>
    </row>
    <row r="57" spans="1:246" s="61" customFormat="1" ht="15.75" customHeight="1">
      <c r="A57" s="182" t="s">
        <v>14</v>
      </c>
      <c r="B57" s="183"/>
      <c r="C57" s="184"/>
      <c r="D57" s="3">
        <v>30</v>
      </c>
      <c r="E57" s="11">
        <v>2.37</v>
      </c>
      <c r="F57" s="12">
        <v>0.30000000000000004</v>
      </c>
      <c r="G57" s="12">
        <v>14.49</v>
      </c>
      <c r="H57" s="6">
        <v>70.5</v>
      </c>
      <c r="I57" s="7" t="s">
        <v>15</v>
      </c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</row>
    <row r="58" spans="1:246" s="61" customFormat="1" ht="15.75" customHeight="1" thickBot="1">
      <c r="A58" s="182" t="s">
        <v>16</v>
      </c>
      <c r="B58" s="183"/>
      <c r="C58" s="184"/>
      <c r="D58" s="3">
        <v>30</v>
      </c>
      <c r="E58" s="11">
        <v>1.98</v>
      </c>
      <c r="F58" s="12">
        <v>0.36</v>
      </c>
      <c r="G58" s="12">
        <v>10.02</v>
      </c>
      <c r="H58" s="13">
        <v>52.2</v>
      </c>
      <c r="I58" s="7" t="s">
        <v>15</v>
      </c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</row>
    <row r="59" spans="1:246" s="61" customFormat="1" ht="15.75" customHeight="1" thickBot="1">
      <c r="A59" s="173" t="s">
        <v>18</v>
      </c>
      <c r="B59" s="174"/>
      <c r="C59" s="175"/>
      <c r="D59" s="137">
        <f>SUM(D54:D58)</f>
        <v>505</v>
      </c>
      <c r="E59" s="49">
        <f>SUM(E54:E58)</f>
        <v>17.788571428571426</v>
      </c>
      <c r="F59" s="50">
        <f>SUM(F54:F58)</f>
        <v>18.506097560975611</v>
      </c>
      <c r="G59" s="50">
        <f>SUM(G54:G58)</f>
        <v>89.058780487804867</v>
      </c>
      <c r="H59" s="51">
        <f>SUM(H54:H58)</f>
        <v>600.61952380952448</v>
      </c>
      <c r="I59" s="16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</row>
    <row r="60" spans="1:246" s="61" customFormat="1" ht="15.75" customHeight="1" thickBot="1">
      <c r="A60" s="212" t="s">
        <v>19</v>
      </c>
      <c r="B60" s="213"/>
      <c r="C60" s="213"/>
      <c r="D60" s="213"/>
      <c r="E60" s="213"/>
      <c r="F60" s="213"/>
      <c r="G60" s="213"/>
      <c r="H60" s="213"/>
      <c r="I60" s="214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</row>
    <row r="61" spans="1:246" ht="16.5" customHeight="1">
      <c r="A61" s="186" t="s">
        <v>56</v>
      </c>
      <c r="B61" s="187"/>
      <c r="C61" s="301"/>
      <c r="D61" s="164">
        <v>250</v>
      </c>
      <c r="E61" s="28">
        <f>10.75/1000*200</f>
        <v>2.15</v>
      </c>
      <c r="F61" s="17">
        <f>11.35/1000*200</f>
        <v>2.2699999999999996</v>
      </c>
      <c r="G61" s="17">
        <f>69.82/1000*200</f>
        <v>13.963999999999999</v>
      </c>
      <c r="H61" s="18">
        <f>473/1000*200</f>
        <v>94.6</v>
      </c>
      <c r="I61" s="19">
        <v>103</v>
      </c>
      <c r="HY61" s="61"/>
      <c r="HZ61" s="61"/>
      <c r="IA61" s="61"/>
      <c r="IB61" s="61"/>
      <c r="IC61" s="61"/>
      <c r="ID61" s="61"/>
      <c r="IE61" s="61"/>
      <c r="IF61" s="61"/>
      <c r="IG61" s="61"/>
    </row>
    <row r="62" spans="1:246" ht="16.5" customHeight="1">
      <c r="A62" s="182" t="s">
        <v>90</v>
      </c>
      <c r="B62" s="183"/>
      <c r="C62" s="184"/>
      <c r="D62" s="3">
        <v>230</v>
      </c>
      <c r="E62" s="4">
        <v>12.5</v>
      </c>
      <c r="F62" s="5">
        <v>11.17</v>
      </c>
      <c r="G62" s="5">
        <v>12.9</v>
      </c>
      <c r="H62" s="6">
        <v>202</v>
      </c>
      <c r="I62" s="7">
        <v>292</v>
      </c>
      <c r="HY62" s="61"/>
      <c r="HZ62" s="61"/>
      <c r="IA62" s="61"/>
      <c r="IB62" s="61"/>
      <c r="IC62" s="61"/>
      <c r="ID62" s="61"/>
      <c r="IE62" s="61"/>
      <c r="IF62" s="61"/>
      <c r="IG62" s="61"/>
    </row>
    <row r="63" spans="1:246" ht="17.25" customHeight="1">
      <c r="A63" s="277" t="s">
        <v>92</v>
      </c>
      <c r="B63" s="278"/>
      <c r="C63" s="292"/>
      <c r="D63" s="136">
        <v>50</v>
      </c>
      <c r="E63" s="89">
        <v>4.71</v>
      </c>
      <c r="F63" s="90">
        <v>7.42</v>
      </c>
      <c r="G63" s="90">
        <v>25.58</v>
      </c>
      <c r="H63" s="91">
        <v>188</v>
      </c>
      <c r="I63" s="47" t="s">
        <v>15</v>
      </c>
    </row>
    <row r="64" spans="1:246" ht="15.75" customHeight="1">
      <c r="A64" s="182" t="s">
        <v>34</v>
      </c>
      <c r="B64" s="183"/>
      <c r="C64" s="184"/>
      <c r="D64" s="3">
        <v>30</v>
      </c>
      <c r="E64" s="11">
        <v>2.37</v>
      </c>
      <c r="F64" s="12">
        <v>0.30000000000000004</v>
      </c>
      <c r="G64" s="12">
        <v>14.49</v>
      </c>
      <c r="H64" s="6">
        <v>70.5</v>
      </c>
      <c r="I64" s="7" t="s">
        <v>15</v>
      </c>
    </row>
    <row r="65" spans="1:246" ht="16.5" customHeight="1">
      <c r="A65" s="182" t="s">
        <v>16</v>
      </c>
      <c r="B65" s="183"/>
      <c r="C65" s="184"/>
      <c r="D65" s="3">
        <v>30</v>
      </c>
      <c r="E65" s="11">
        <v>1.98</v>
      </c>
      <c r="F65" s="12">
        <v>0.36</v>
      </c>
      <c r="G65" s="12">
        <v>10.02</v>
      </c>
      <c r="H65" s="13">
        <v>52.2</v>
      </c>
      <c r="I65" s="7" t="s">
        <v>15</v>
      </c>
    </row>
    <row r="66" spans="1:246" ht="16.5" customHeight="1" thickBot="1">
      <c r="A66" s="299" t="s">
        <v>23</v>
      </c>
      <c r="B66" s="294"/>
      <c r="C66" s="295"/>
      <c r="D66" s="126">
        <v>180</v>
      </c>
      <c r="E66" s="125">
        <f>2.2/1000*180</f>
        <v>0.39600000000000002</v>
      </c>
      <c r="F66" s="124">
        <f>0.1/1000*180</f>
        <v>1.8000000000000002E-2</v>
      </c>
      <c r="G66" s="124">
        <f>138.84/1000*180</f>
        <v>24.991199999999999</v>
      </c>
      <c r="H66" s="127">
        <f>565/1000*180</f>
        <v>101.69999999999999</v>
      </c>
      <c r="I66" s="128">
        <v>372</v>
      </c>
    </row>
    <row r="67" spans="1:246" ht="16.5" customHeight="1" thickBot="1">
      <c r="A67" s="173" t="s">
        <v>24</v>
      </c>
      <c r="B67" s="174"/>
      <c r="C67" s="175"/>
      <c r="D67" s="85">
        <f>SUM(D61:D66)</f>
        <v>770</v>
      </c>
      <c r="E67" s="49">
        <f>SUM(E61:E66)</f>
        <v>24.106000000000002</v>
      </c>
      <c r="F67" s="50">
        <f>SUM(F61:F66)</f>
        <v>21.538</v>
      </c>
      <c r="G67" s="50">
        <f>SUM(G61:G66)</f>
        <v>101.9452</v>
      </c>
      <c r="H67" s="51">
        <f>SUM(H61:H66)</f>
        <v>709</v>
      </c>
      <c r="I67" s="16"/>
    </row>
    <row r="68" spans="1:246" ht="15.75" customHeight="1" thickBot="1">
      <c r="A68" s="173" t="s">
        <v>25</v>
      </c>
      <c r="B68" s="174"/>
      <c r="C68" s="174"/>
      <c r="D68" s="241"/>
      <c r="E68" s="117">
        <f>E59+E67</f>
        <v>41.894571428571425</v>
      </c>
      <c r="F68" s="116">
        <f>F59+F67</f>
        <v>40.044097560975615</v>
      </c>
      <c r="G68" s="116">
        <f>G59+G67</f>
        <v>191.00398048780488</v>
      </c>
      <c r="H68" s="119">
        <f>H59+H67</f>
        <v>1309.6195238095245</v>
      </c>
      <c r="I68" s="52"/>
    </row>
    <row r="69" spans="1:246" ht="17.100000000000001" customHeight="1">
      <c r="A69" s="66"/>
      <c r="B69" s="66"/>
      <c r="C69" s="66"/>
      <c r="D69" s="67"/>
      <c r="E69" s="63"/>
      <c r="F69" s="64"/>
      <c r="G69" s="64"/>
      <c r="H69" s="64"/>
      <c r="I69" s="66"/>
    </row>
    <row r="70" spans="1:246" s="61" customFormat="1" ht="15.75" customHeight="1">
      <c r="A70" s="193" t="s">
        <v>0</v>
      </c>
      <c r="B70" s="193"/>
      <c r="C70" s="193"/>
      <c r="D70" s="57"/>
      <c r="E70" s="65"/>
      <c r="F70" s="65"/>
      <c r="G70" s="65"/>
      <c r="H70" s="65"/>
      <c r="I70" s="65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</row>
    <row r="71" spans="1:246" ht="15.75" customHeight="1" thickBot="1">
      <c r="A71" s="193" t="s">
        <v>84</v>
      </c>
      <c r="B71" s="193"/>
      <c r="C71" s="193"/>
      <c r="D71" s="57"/>
      <c r="E71" s="65"/>
      <c r="F71" s="65"/>
      <c r="G71" s="65"/>
      <c r="H71" s="65"/>
      <c r="I71" s="65"/>
    </row>
    <row r="72" spans="1:246" ht="15.75" customHeight="1" thickBot="1">
      <c r="A72" s="212" t="s">
        <v>43</v>
      </c>
      <c r="B72" s="213"/>
      <c r="C72" s="213"/>
      <c r="D72" s="213"/>
      <c r="E72" s="213"/>
      <c r="F72" s="213"/>
      <c r="G72" s="213"/>
      <c r="H72" s="213"/>
      <c r="I72" s="214"/>
    </row>
    <row r="73" spans="1:246" ht="15.75" customHeight="1">
      <c r="A73" s="215" t="s">
        <v>3</v>
      </c>
      <c r="B73" s="216"/>
      <c r="C73" s="217"/>
      <c r="D73" s="203" t="s">
        <v>4</v>
      </c>
      <c r="E73" s="234" t="s">
        <v>5</v>
      </c>
      <c r="F73" s="235"/>
      <c r="G73" s="235"/>
      <c r="H73" s="236" t="s">
        <v>6</v>
      </c>
      <c r="I73" s="203" t="s">
        <v>7</v>
      </c>
    </row>
    <row r="74" spans="1:246" ht="16.5" customHeight="1" thickBot="1">
      <c r="A74" s="218"/>
      <c r="B74" s="219"/>
      <c r="C74" s="220"/>
      <c r="D74" s="204"/>
      <c r="E74" s="74" t="s">
        <v>8</v>
      </c>
      <c r="F74" s="72" t="s">
        <v>9</v>
      </c>
      <c r="G74" s="72" t="s">
        <v>10</v>
      </c>
      <c r="H74" s="208"/>
      <c r="I74" s="233"/>
    </row>
    <row r="75" spans="1:246" ht="17.25" customHeight="1" thickBot="1">
      <c r="A75" s="212" t="s">
        <v>11</v>
      </c>
      <c r="B75" s="213"/>
      <c r="C75" s="213"/>
      <c r="D75" s="213"/>
      <c r="E75" s="213"/>
      <c r="F75" s="213"/>
      <c r="G75" s="213"/>
      <c r="H75" s="213"/>
      <c r="I75" s="214"/>
    </row>
    <row r="76" spans="1:246" ht="17.100000000000001" customHeight="1">
      <c r="A76" s="179" t="s">
        <v>76</v>
      </c>
      <c r="B76" s="180"/>
      <c r="C76" s="257"/>
      <c r="D76" s="146">
        <v>100</v>
      </c>
      <c r="E76" s="98">
        <v>8.27</v>
      </c>
      <c r="F76" s="97">
        <v>9.1199999999999992</v>
      </c>
      <c r="G76" s="107">
        <f>7.16/55*60</f>
        <v>7.8109090909090906</v>
      </c>
      <c r="H76" s="108">
        <v>168.71</v>
      </c>
      <c r="I76" s="109">
        <v>268</v>
      </c>
    </row>
    <row r="77" spans="1:246" ht="15.75" customHeight="1">
      <c r="A77" s="182" t="s">
        <v>20</v>
      </c>
      <c r="B77" s="183"/>
      <c r="C77" s="189"/>
      <c r="D77" s="3">
        <v>180</v>
      </c>
      <c r="E77" s="11">
        <f>36.78/1000*150</f>
        <v>5.5170000000000003</v>
      </c>
      <c r="F77" s="12">
        <f>30.1/1000*150</f>
        <v>4.5150000000000006</v>
      </c>
      <c r="G77" s="13">
        <f>176.3/1000*150</f>
        <v>26.445</v>
      </c>
      <c r="H77" s="104">
        <f>1123/1000*150</f>
        <v>168.45</v>
      </c>
      <c r="I77" s="7">
        <v>309</v>
      </c>
      <c r="IH77" s="61"/>
      <c r="II77" s="61"/>
      <c r="IJ77" s="61"/>
      <c r="IK77" s="61"/>
      <c r="IL77" s="61"/>
    </row>
    <row r="78" spans="1:246" s="61" customFormat="1" ht="15.75" customHeight="1">
      <c r="A78" s="182" t="s">
        <v>34</v>
      </c>
      <c r="B78" s="183"/>
      <c r="C78" s="189"/>
      <c r="D78" s="3">
        <v>30</v>
      </c>
      <c r="E78" s="11">
        <v>2.37</v>
      </c>
      <c r="F78" s="12">
        <v>0.30000000000000004</v>
      </c>
      <c r="G78" s="13">
        <v>14.49</v>
      </c>
      <c r="H78" s="105">
        <v>70.5</v>
      </c>
      <c r="I78" s="7" t="s">
        <v>15</v>
      </c>
      <c r="HP78" s="123"/>
      <c r="HQ78" s="123"/>
      <c r="HR78" s="123"/>
      <c r="HS78" s="123"/>
      <c r="HT78" s="123"/>
      <c r="HU78" s="123"/>
      <c r="HV78" s="123"/>
      <c r="HW78" s="123"/>
      <c r="HX78" s="123"/>
    </row>
    <row r="79" spans="1:246" s="61" customFormat="1" ht="15.75" customHeight="1">
      <c r="A79" s="182" t="s">
        <v>16</v>
      </c>
      <c r="B79" s="183"/>
      <c r="C79" s="189"/>
      <c r="D79" s="3">
        <v>30</v>
      </c>
      <c r="E79" s="11">
        <v>1.98</v>
      </c>
      <c r="F79" s="12">
        <v>0.36</v>
      </c>
      <c r="G79" s="13">
        <v>10.02</v>
      </c>
      <c r="H79" s="104">
        <v>52.2</v>
      </c>
      <c r="I79" s="7" t="s">
        <v>15</v>
      </c>
      <c r="HP79" s="123"/>
      <c r="HQ79" s="123"/>
      <c r="HR79" s="123"/>
      <c r="HS79" s="123"/>
      <c r="HT79" s="123"/>
      <c r="HU79" s="123"/>
      <c r="HV79" s="123"/>
      <c r="HW79" s="123"/>
      <c r="HX79" s="123"/>
    </row>
    <row r="80" spans="1:246" ht="15.75" customHeight="1" thickBot="1">
      <c r="A80" s="277" t="s">
        <v>40</v>
      </c>
      <c r="B80" s="278"/>
      <c r="C80" s="292"/>
      <c r="D80" s="136">
        <v>180</v>
      </c>
      <c r="E80" s="89">
        <v>0.12</v>
      </c>
      <c r="F80" s="90">
        <v>0.02</v>
      </c>
      <c r="G80" s="90">
        <v>10.199999999999999</v>
      </c>
      <c r="H80" s="91">
        <v>41</v>
      </c>
      <c r="I80" s="47">
        <v>376</v>
      </c>
      <c r="IH80" s="61"/>
      <c r="II80" s="61"/>
      <c r="IJ80" s="61"/>
      <c r="IK80" s="61"/>
      <c r="IL80" s="61"/>
    </row>
    <row r="81" spans="1:246" ht="15" customHeight="1" thickBot="1">
      <c r="A81" s="173" t="s">
        <v>18</v>
      </c>
      <c r="B81" s="174"/>
      <c r="C81" s="175"/>
      <c r="D81" s="85">
        <f>SUM(D76:D80)</f>
        <v>520</v>
      </c>
      <c r="E81" s="49">
        <f>SUM(E76:E80)</f>
        <v>18.257000000000001</v>
      </c>
      <c r="F81" s="50">
        <f>SUM(F76:F80)</f>
        <v>14.315</v>
      </c>
      <c r="G81" s="50">
        <f>SUM(G76:G80)</f>
        <v>68.965909090909093</v>
      </c>
      <c r="H81" s="51">
        <f>SUM(H76:H80)</f>
        <v>500.85999999999996</v>
      </c>
      <c r="I81" s="16"/>
    </row>
    <row r="82" spans="1:246" ht="15.75" customHeight="1" thickBot="1">
      <c r="A82" s="212" t="s">
        <v>19</v>
      </c>
      <c r="B82" s="213"/>
      <c r="C82" s="213"/>
      <c r="D82" s="213"/>
      <c r="E82" s="213"/>
      <c r="F82" s="213"/>
      <c r="G82" s="213"/>
      <c r="H82" s="213"/>
      <c r="I82" s="214"/>
      <c r="IH82" s="61"/>
      <c r="II82" s="61"/>
      <c r="IJ82" s="61"/>
      <c r="IK82" s="61"/>
      <c r="IL82" s="61"/>
    </row>
    <row r="83" spans="1:246" ht="16.5" customHeight="1">
      <c r="A83" s="300" t="s">
        <v>44</v>
      </c>
      <c r="B83" s="296"/>
      <c r="C83" s="297"/>
      <c r="D83" s="164">
        <v>250</v>
      </c>
      <c r="E83" s="94">
        <v>1.27</v>
      </c>
      <c r="F83" s="95">
        <v>3.99</v>
      </c>
      <c r="G83" s="95">
        <v>7.32</v>
      </c>
      <c r="H83" s="96">
        <v>76.2</v>
      </c>
      <c r="I83" s="19">
        <v>99</v>
      </c>
    </row>
    <row r="84" spans="1:246" ht="17.25" customHeight="1">
      <c r="A84" s="182" t="s">
        <v>45</v>
      </c>
      <c r="B84" s="183"/>
      <c r="C84" s="184"/>
      <c r="D84" s="3">
        <v>100</v>
      </c>
      <c r="E84" s="4">
        <v>8.7799999999999994</v>
      </c>
      <c r="F84" s="5">
        <v>4.09</v>
      </c>
      <c r="G84" s="5">
        <v>3.45</v>
      </c>
      <c r="H84" s="6">
        <v>98</v>
      </c>
      <c r="I84" s="7">
        <v>292</v>
      </c>
    </row>
    <row r="85" spans="1:246" ht="15.75" customHeight="1">
      <c r="A85" s="182" t="s">
        <v>81</v>
      </c>
      <c r="B85" s="183"/>
      <c r="C85" s="184"/>
      <c r="D85" s="3">
        <v>180</v>
      </c>
      <c r="E85" s="4">
        <f>17.08/1000*180</f>
        <v>3.0743999999999998</v>
      </c>
      <c r="F85" s="5">
        <f>27.08/1000*180</f>
        <v>4.8743999999999996</v>
      </c>
      <c r="G85" s="5">
        <f>177.15/1000*180</f>
        <v>31.887</v>
      </c>
      <c r="H85" s="6">
        <f>1027/1000*180</f>
        <v>184.85999999999999</v>
      </c>
      <c r="I85" s="7">
        <v>303</v>
      </c>
    </row>
    <row r="86" spans="1:246" ht="15.75" customHeight="1">
      <c r="A86" s="277" t="s">
        <v>92</v>
      </c>
      <c r="B86" s="278"/>
      <c r="C86" s="292"/>
      <c r="D86" s="136">
        <v>50</v>
      </c>
      <c r="E86" s="89">
        <v>4.71</v>
      </c>
      <c r="F86" s="90">
        <v>7.42</v>
      </c>
      <c r="G86" s="90">
        <v>25.58</v>
      </c>
      <c r="H86" s="91">
        <v>188</v>
      </c>
      <c r="I86" s="47" t="s">
        <v>15</v>
      </c>
    </row>
    <row r="87" spans="1:246" ht="16.5" customHeight="1">
      <c r="A87" s="182" t="s">
        <v>34</v>
      </c>
      <c r="B87" s="183"/>
      <c r="C87" s="184"/>
      <c r="D87" s="3">
        <v>30</v>
      </c>
      <c r="E87" s="11">
        <v>2.37</v>
      </c>
      <c r="F87" s="12">
        <v>0.30000000000000004</v>
      </c>
      <c r="G87" s="12">
        <v>14.49</v>
      </c>
      <c r="H87" s="6">
        <v>70.5</v>
      </c>
      <c r="I87" s="7" t="s">
        <v>15</v>
      </c>
    </row>
    <row r="88" spans="1:246" ht="17.850000000000001" customHeight="1">
      <c r="A88" s="182" t="s">
        <v>16</v>
      </c>
      <c r="B88" s="183"/>
      <c r="C88" s="184"/>
      <c r="D88" s="3">
        <v>30</v>
      </c>
      <c r="E88" s="11">
        <v>1.98</v>
      </c>
      <c r="F88" s="12">
        <v>0.36</v>
      </c>
      <c r="G88" s="12">
        <v>10.02</v>
      </c>
      <c r="H88" s="13">
        <v>52.2</v>
      </c>
      <c r="I88" s="7" t="s">
        <v>15</v>
      </c>
    </row>
    <row r="89" spans="1:246" ht="18" customHeight="1" thickBot="1">
      <c r="A89" s="299" t="s">
        <v>23</v>
      </c>
      <c r="B89" s="294"/>
      <c r="C89" s="295"/>
      <c r="D89" s="126">
        <v>180</v>
      </c>
      <c r="E89" s="125">
        <f>2.2/1000*180</f>
        <v>0.39600000000000002</v>
      </c>
      <c r="F89" s="124">
        <f>0.1/1000*180</f>
        <v>1.8000000000000002E-2</v>
      </c>
      <c r="G89" s="124">
        <f>138.84/1000*180</f>
        <v>24.991199999999999</v>
      </c>
      <c r="H89" s="127">
        <f>565/1000*180</f>
        <v>101.69999999999999</v>
      </c>
      <c r="I89" s="128">
        <v>372</v>
      </c>
    </row>
    <row r="90" spans="1:246" ht="15" customHeight="1" thickBot="1">
      <c r="A90" s="173" t="s">
        <v>24</v>
      </c>
      <c r="B90" s="174"/>
      <c r="C90" s="175"/>
      <c r="D90" s="85">
        <f>SUM(D83:D89)</f>
        <v>820</v>
      </c>
      <c r="E90" s="49">
        <f>SUM(E83:E89)</f>
        <v>22.580400000000001</v>
      </c>
      <c r="F90" s="50">
        <f>SUM(F83:F89)</f>
        <v>21.052400000000002</v>
      </c>
      <c r="G90" s="50">
        <f>SUM(G83:G89)</f>
        <v>117.73819999999998</v>
      </c>
      <c r="H90" s="51">
        <f>SUM(H83:H89)</f>
        <v>771.46</v>
      </c>
      <c r="I90" s="16"/>
      <c r="HY90" s="61"/>
      <c r="HZ90" s="61"/>
      <c r="IA90" s="61"/>
      <c r="IB90" s="61"/>
      <c r="IC90" s="61"/>
      <c r="ID90" s="61"/>
      <c r="IE90" s="61"/>
      <c r="IF90" s="61"/>
      <c r="IG90" s="61"/>
    </row>
    <row r="91" spans="1:246" ht="20.25" customHeight="1" thickBot="1">
      <c r="A91" s="312" t="s">
        <v>25</v>
      </c>
      <c r="B91" s="313"/>
      <c r="C91" s="313"/>
      <c r="D91" s="314"/>
      <c r="E91" s="117">
        <f>E81+E90</f>
        <v>40.837400000000002</v>
      </c>
      <c r="F91" s="116">
        <f>F81+F90</f>
        <v>35.367400000000004</v>
      </c>
      <c r="G91" s="116">
        <f>G81+G90</f>
        <v>186.70410909090907</v>
      </c>
      <c r="H91" s="119">
        <f>H81+H90</f>
        <v>1272.32</v>
      </c>
      <c r="I91" s="52"/>
      <c r="HY91" s="61"/>
      <c r="HZ91" s="61"/>
      <c r="IA91" s="61"/>
      <c r="IB91" s="61"/>
      <c r="IC91" s="61"/>
      <c r="ID91" s="61"/>
      <c r="IE91" s="61"/>
      <c r="IF91" s="61"/>
      <c r="IG91" s="61"/>
    </row>
    <row r="92" spans="1:246" ht="15.75" customHeight="1">
      <c r="A92" s="66"/>
      <c r="B92" s="66"/>
      <c r="C92" s="66"/>
      <c r="D92" s="67"/>
      <c r="E92" s="63"/>
      <c r="F92" s="64"/>
      <c r="G92" s="64"/>
      <c r="H92" s="64"/>
      <c r="I92" s="66"/>
      <c r="HY92" s="61"/>
      <c r="HZ92" s="61"/>
      <c r="IA92" s="61"/>
      <c r="IB92" s="61"/>
      <c r="IC92" s="61"/>
      <c r="ID92" s="61"/>
      <c r="IE92" s="61"/>
      <c r="IF92" s="61"/>
      <c r="IG92" s="61"/>
    </row>
    <row r="93" spans="1:246" s="61" customFormat="1" ht="15.75" customHeight="1">
      <c r="A93" s="193" t="s">
        <v>0</v>
      </c>
      <c r="B93" s="193"/>
      <c r="C93" s="193"/>
      <c r="D93" s="57"/>
      <c r="E93" s="65"/>
      <c r="F93" s="65"/>
      <c r="G93" s="65"/>
      <c r="H93" s="65"/>
      <c r="I93" s="65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</row>
    <row r="94" spans="1:246" ht="15.75" customHeight="1" thickBot="1">
      <c r="A94" s="193" t="s">
        <v>84</v>
      </c>
      <c r="B94" s="193"/>
      <c r="C94" s="193"/>
      <c r="D94" s="57"/>
      <c r="E94" s="65"/>
      <c r="F94" s="65"/>
      <c r="G94" s="65"/>
      <c r="H94" s="65"/>
      <c r="I94" s="65"/>
    </row>
    <row r="95" spans="1:246" ht="16.5" customHeight="1" thickBot="1">
      <c r="A95" s="212" t="s">
        <v>46</v>
      </c>
      <c r="B95" s="213"/>
      <c r="C95" s="213"/>
      <c r="D95" s="213"/>
      <c r="E95" s="213"/>
      <c r="F95" s="213"/>
      <c r="G95" s="213"/>
      <c r="H95" s="213"/>
      <c r="I95" s="214"/>
    </row>
    <row r="96" spans="1:246" ht="17.25" customHeight="1">
      <c r="A96" s="231" t="s">
        <v>3</v>
      </c>
      <c r="B96" s="231"/>
      <c r="C96" s="231"/>
      <c r="D96" s="235" t="s">
        <v>4</v>
      </c>
      <c r="E96" s="235" t="s">
        <v>5</v>
      </c>
      <c r="F96" s="235"/>
      <c r="G96" s="235"/>
      <c r="H96" s="236" t="s">
        <v>6</v>
      </c>
      <c r="I96" s="203" t="s">
        <v>7</v>
      </c>
    </row>
    <row r="97" spans="1:246" ht="17.100000000000001" customHeight="1" thickBot="1">
      <c r="A97" s="219"/>
      <c r="B97" s="219"/>
      <c r="C97" s="219"/>
      <c r="D97" s="245"/>
      <c r="E97" s="72" t="s">
        <v>8</v>
      </c>
      <c r="F97" s="72" t="s">
        <v>9</v>
      </c>
      <c r="G97" s="72" t="s">
        <v>10</v>
      </c>
      <c r="H97" s="208"/>
      <c r="I97" s="233"/>
    </row>
    <row r="98" spans="1:246" ht="15.75" customHeight="1" thickBot="1">
      <c r="A98" s="212" t="s">
        <v>11</v>
      </c>
      <c r="B98" s="213"/>
      <c r="C98" s="213"/>
      <c r="D98" s="213"/>
      <c r="E98" s="213"/>
      <c r="F98" s="213"/>
      <c r="G98" s="213"/>
      <c r="H98" s="213"/>
      <c r="I98" s="214"/>
      <c r="IH98" s="61"/>
      <c r="II98" s="61"/>
      <c r="IJ98" s="61"/>
      <c r="IK98" s="61"/>
      <c r="IL98" s="61"/>
    </row>
    <row r="99" spans="1:246" ht="15.75" customHeight="1">
      <c r="A99" s="186" t="s">
        <v>71</v>
      </c>
      <c r="B99" s="187"/>
      <c r="C99" s="188"/>
      <c r="D99" s="145">
        <v>160</v>
      </c>
      <c r="E99" s="94">
        <f>10.23/70*120</f>
        <v>17.537142857142857</v>
      </c>
      <c r="F99" s="95">
        <f>7.74/70*120</f>
        <v>13.268571428571429</v>
      </c>
      <c r="G99" s="96">
        <v>47.6</v>
      </c>
      <c r="H99" s="111">
        <f>189/70*120</f>
        <v>324</v>
      </c>
      <c r="I99" s="110">
        <v>223</v>
      </c>
      <c r="HY99" s="61"/>
      <c r="HZ99" s="61"/>
      <c r="IA99" s="61"/>
      <c r="IB99" s="61"/>
      <c r="IC99" s="61"/>
      <c r="ID99" s="61"/>
      <c r="IE99" s="61"/>
      <c r="IF99" s="61"/>
      <c r="IG99" s="61"/>
    </row>
    <row r="100" spans="1:246" ht="15.75" customHeight="1">
      <c r="A100" s="183" t="s">
        <v>47</v>
      </c>
      <c r="B100" s="183"/>
      <c r="C100" s="184"/>
      <c r="D100" s="3">
        <v>180</v>
      </c>
      <c r="E100" s="4">
        <v>0.06</v>
      </c>
      <c r="F100" s="5">
        <v>0.02</v>
      </c>
      <c r="G100" s="5">
        <v>9.99</v>
      </c>
      <c r="H100" s="6">
        <v>40</v>
      </c>
      <c r="I100" s="7">
        <v>392</v>
      </c>
    </row>
    <row r="101" spans="1:246" ht="16.5" customHeight="1">
      <c r="A101" s="183" t="s">
        <v>34</v>
      </c>
      <c r="B101" s="183"/>
      <c r="C101" s="184"/>
      <c r="D101" s="3">
        <v>30</v>
      </c>
      <c r="E101" s="11">
        <v>2.37</v>
      </c>
      <c r="F101" s="12">
        <v>0.30000000000000004</v>
      </c>
      <c r="G101" s="12">
        <v>14.49</v>
      </c>
      <c r="H101" s="6">
        <v>70.5</v>
      </c>
      <c r="I101" s="7" t="s">
        <v>15</v>
      </c>
    </row>
    <row r="102" spans="1:246" s="61" customFormat="1" ht="15.75" customHeight="1" thickBot="1">
      <c r="A102" s="171" t="s">
        <v>17</v>
      </c>
      <c r="B102" s="171"/>
      <c r="C102" s="172"/>
      <c r="D102" s="80">
        <v>130</v>
      </c>
      <c r="E102" s="81">
        <f>2.85/190*120</f>
        <v>1.8</v>
      </c>
      <c r="F102" s="82">
        <f>0.95/190*120</f>
        <v>0.6</v>
      </c>
      <c r="G102" s="82">
        <f>39.9/190*120</f>
        <v>25.2</v>
      </c>
      <c r="H102" s="83">
        <f>182.4/190*120</f>
        <v>115.2</v>
      </c>
      <c r="I102" s="84">
        <v>338</v>
      </c>
      <c r="HP102" s="68"/>
      <c r="HQ102" s="68"/>
      <c r="HR102" s="68"/>
      <c r="HS102" s="68"/>
      <c r="HT102" s="68"/>
      <c r="HU102" s="68"/>
      <c r="HV102" s="68"/>
      <c r="HW102" s="68"/>
      <c r="HX102" s="68"/>
      <c r="HY102" s="68"/>
      <c r="HZ102" s="68"/>
      <c r="IA102" s="68"/>
      <c r="IB102" s="68"/>
      <c r="IC102" s="68"/>
      <c r="ID102" s="68"/>
      <c r="IE102" s="68"/>
      <c r="IF102" s="68"/>
      <c r="IG102" s="68"/>
    </row>
    <row r="103" spans="1:246" ht="15.75" customHeight="1" thickBot="1">
      <c r="A103" s="173" t="s">
        <v>18</v>
      </c>
      <c r="B103" s="174"/>
      <c r="C103" s="175"/>
      <c r="D103" s="85">
        <f>SUM(D99:D102)</f>
        <v>500</v>
      </c>
      <c r="E103" s="49">
        <f>SUM(E99:E102)</f>
        <v>21.767142857142858</v>
      </c>
      <c r="F103" s="50">
        <f>SUM(F99:F102)</f>
        <v>14.188571428571429</v>
      </c>
      <c r="G103" s="50">
        <f>SUM(G99:G102)</f>
        <v>97.28</v>
      </c>
      <c r="H103" s="51">
        <f>SUM(H99:H102)</f>
        <v>549.70000000000005</v>
      </c>
      <c r="I103" s="16"/>
    </row>
    <row r="104" spans="1:246" ht="15.75" customHeight="1" thickBot="1">
      <c r="A104" s="212" t="s">
        <v>19</v>
      </c>
      <c r="B104" s="213"/>
      <c r="C104" s="213"/>
      <c r="D104" s="213"/>
      <c r="E104" s="213"/>
      <c r="F104" s="213"/>
      <c r="G104" s="213"/>
      <c r="H104" s="213"/>
      <c r="I104" s="214"/>
      <c r="IH104" s="61"/>
      <c r="II104" s="61"/>
      <c r="IJ104" s="61"/>
      <c r="IK104" s="61"/>
      <c r="IL104" s="61"/>
    </row>
    <row r="105" spans="1:246" ht="16.5" customHeight="1">
      <c r="A105" s="308" t="s">
        <v>48</v>
      </c>
      <c r="B105" s="309"/>
      <c r="C105" s="310"/>
      <c r="D105" s="164">
        <v>250</v>
      </c>
      <c r="E105" s="94">
        <v>1.87</v>
      </c>
      <c r="F105" s="95">
        <v>2.2599999999999998</v>
      </c>
      <c r="G105" s="95">
        <v>13.5</v>
      </c>
      <c r="H105" s="96">
        <v>91.2</v>
      </c>
      <c r="I105" s="19">
        <v>101</v>
      </c>
    </row>
    <row r="106" spans="1:246" ht="17.25" customHeight="1">
      <c r="A106" s="228" t="s">
        <v>28</v>
      </c>
      <c r="B106" s="228"/>
      <c r="C106" s="298"/>
      <c r="D106" s="25">
        <v>180</v>
      </c>
      <c r="E106" s="8">
        <v>3.2</v>
      </c>
      <c r="F106" s="9">
        <v>9.4600000000000009</v>
      </c>
      <c r="G106" s="9">
        <v>18.579999999999998</v>
      </c>
      <c r="H106" s="10">
        <v>178.61</v>
      </c>
      <c r="I106" s="25">
        <v>312</v>
      </c>
    </row>
    <row r="107" spans="1:246" ht="17.25" customHeight="1">
      <c r="A107" s="222" t="s">
        <v>83</v>
      </c>
      <c r="B107" s="222"/>
      <c r="C107" s="284"/>
      <c r="D107" s="25">
        <v>100</v>
      </c>
      <c r="E107" s="29">
        <v>8.15</v>
      </c>
      <c r="F107" s="30">
        <v>9.07</v>
      </c>
      <c r="G107" s="30">
        <v>9.85</v>
      </c>
      <c r="H107" s="31">
        <v>154</v>
      </c>
      <c r="I107" s="25">
        <v>294</v>
      </c>
    </row>
    <row r="108" spans="1:246" ht="15.75" customHeight="1">
      <c r="A108" s="183" t="s">
        <v>38</v>
      </c>
      <c r="B108" s="183"/>
      <c r="C108" s="184"/>
      <c r="D108" s="3">
        <v>30</v>
      </c>
      <c r="E108" s="11">
        <v>1.0242</v>
      </c>
      <c r="F108" s="12">
        <v>3.0024000000000002</v>
      </c>
      <c r="G108" s="12">
        <v>5.0747999999999998</v>
      </c>
      <c r="H108" s="20">
        <v>51.42</v>
      </c>
      <c r="I108" s="3"/>
    </row>
    <row r="109" spans="1:246" ht="16.5" customHeight="1">
      <c r="A109" s="183" t="s">
        <v>34</v>
      </c>
      <c r="B109" s="183"/>
      <c r="C109" s="184"/>
      <c r="D109" s="3">
        <v>30</v>
      </c>
      <c r="E109" s="11">
        <v>2.37</v>
      </c>
      <c r="F109" s="12">
        <v>0.3</v>
      </c>
      <c r="G109" s="12">
        <v>14.49</v>
      </c>
      <c r="H109" s="6">
        <v>70.5</v>
      </c>
      <c r="I109" s="7" t="s">
        <v>15</v>
      </c>
    </row>
    <row r="110" spans="1:246" ht="18" customHeight="1">
      <c r="A110" s="222" t="s">
        <v>16</v>
      </c>
      <c r="B110" s="222"/>
      <c r="C110" s="284"/>
      <c r="D110" s="25">
        <v>30</v>
      </c>
      <c r="E110" s="29">
        <v>1.98</v>
      </c>
      <c r="F110" s="30">
        <v>0.36</v>
      </c>
      <c r="G110" s="30">
        <v>10.02</v>
      </c>
      <c r="H110" s="31">
        <v>52.2</v>
      </c>
      <c r="I110" s="21" t="s">
        <v>15</v>
      </c>
    </row>
    <row r="111" spans="1:246" ht="17.25" customHeight="1" thickBot="1">
      <c r="A111" s="294" t="s">
        <v>23</v>
      </c>
      <c r="B111" s="294"/>
      <c r="C111" s="295"/>
      <c r="D111" s="126">
        <v>180</v>
      </c>
      <c r="E111" s="125">
        <f>2.2/1000*180</f>
        <v>0.39600000000000002</v>
      </c>
      <c r="F111" s="124">
        <f>0.1/1000*180</f>
        <v>1.8000000000000002E-2</v>
      </c>
      <c r="G111" s="124">
        <f>138.84/1000*180</f>
        <v>24.991199999999999</v>
      </c>
      <c r="H111" s="127">
        <f>565/1000*180</f>
        <v>101.69999999999999</v>
      </c>
      <c r="I111" s="128">
        <v>372</v>
      </c>
    </row>
    <row r="112" spans="1:246" ht="17.399999999999999" customHeight="1" thickBot="1">
      <c r="A112" s="173" t="s">
        <v>24</v>
      </c>
      <c r="B112" s="174"/>
      <c r="C112" s="175"/>
      <c r="D112" s="85">
        <f>SUM(D105:D111)</f>
        <v>800</v>
      </c>
      <c r="E112" s="49">
        <f>SUM(E105:E111)</f>
        <v>18.990200000000002</v>
      </c>
      <c r="F112" s="50">
        <f>SUM(F105:F111)</f>
        <v>24.470400000000001</v>
      </c>
      <c r="G112" s="50">
        <f>SUM(G105:G111)</f>
        <v>96.506</v>
      </c>
      <c r="H112" s="51">
        <f>SUM(H105:H111)</f>
        <v>699.63000000000011</v>
      </c>
      <c r="I112" s="16"/>
    </row>
    <row r="113" spans="1:246" ht="20.25" customHeight="1" thickBot="1">
      <c r="A113" s="173" t="s">
        <v>50</v>
      </c>
      <c r="B113" s="174"/>
      <c r="C113" s="174"/>
      <c r="D113" s="241"/>
      <c r="E113" s="49">
        <f>E103++E112</f>
        <v>40.757342857142859</v>
      </c>
      <c r="F113" s="50">
        <f>F103++F112</f>
        <v>38.658971428571434</v>
      </c>
      <c r="G113" s="50">
        <f>G103++G112</f>
        <v>193.786</v>
      </c>
      <c r="H113" s="51">
        <f>H103++H112</f>
        <v>1249.3300000000002</v>
      </c>
      <c r="I113" s="16"/>
    </row>
    <row r="114" spans="1:246" ht="15.75" customHeight="1">
      <c r="A114" s="66"/>
      <c r="B114" s="66"/>
      <c r="C114" s="66"/>
      <c r="D114" s="67"/>
      <c r="E114" s="63"/>
      <c r="F114" s="64"/>
      <c r="G114" s="64"/>
      <c r="H114" s="64"/>
      <c r="I114" s="66"/>
      <c r="IH114" s="61"/>
      <c r="II114" s="61"/>
      <c r="IJ114" s="61"/>
      <c r="IK114" s="61"/>
      <c r="IL114" s="61"/>
    </row>
    <row r="115" spans="1:246" ht="15.75" customHeight="1">
      <c r="A115" s="193" t="s">
        <v>51</v>
      </c>
      <c r="B115" s="193"/>
      <c r="C115" s="193"/>
      <c r="D115" s="60"/>
      <c r="E115" s="65"/>
      <c r="F115" s="65"/>
      <c r="G115" s="65"/>
      <c r="H115" s="65"/>
      <c r="I115" s="65"/>
    </row>
    <row r="116" spans="1:246" ht="15.75" customHeight="1" thickBot="1">
      <c r="A116" s="193" t="s">
        <v>84</v>
      </c>
      <c r="B116" s="193"/>
      <c r="C116" s="193"/>
      <c r="D116" s="60"/>
      <c r="E116" s="65"/>
      <c r="F116" s="65"/>
      <c r="G116" s="65"/>
      <c r="H116" s="65"/>
      <c r="I116" s="65"/>
    </row>
    <row r="117" spans="1:246" ht="15.75" customHeight="1" thickBot="1">
      <c r="A117" s="212" t="s">
        <v>52</v>
      </c>
      <c r="B117" s="213"/>
      <c r="C117" s="213"/>
      <c r="D117" s="213"/>
      <c r="E117" s="213"/>
      <c r="F117" s="213"/>
      <c r="G117" s="213"/>
      <c r="H117" s="213"/>
      <c r="I117" s="214"/>
      <c r="IH117" s="61"/>
      <c r="II117" s="61"/>
      <c r="IJ117" s="61"/>
      <c r="IK117" s="61"/>
      <c r="IL117" s="61"/>
    </row>
    <row r="118" spans="1:246" s="61" customFormat="1" ht="15.75" customHeight="1">
      <c r="A118" s="215" t="s">
        <v>3</v>
      </c>
      <c r="B118" s="216"/>
      <c r="C118" s="217"/>
      <c r="D118" s="234" t="s">
        <v>4</v>
      </c>
      <c r="E118" s="235" t="s">
        <v>5</v>
      </c>
      <c r="F118" s="235"/>
      <c r="G118" s="235"/>
      <c r="H118" s="235" t="s">
        <v>6</v>
      </c>
      <c r="I118" s="291" t="s">
        <v>7</v>
      </c>
      <c r="HP118" s="68"/>
      <c r="HQ118" s="68"/>
      <c r="HR118" s="68"/>
      <c r="HS118" s="68"/>
      <c r="HT118" s="68"/>
      <c r="HU118" s="68"/>
      <c r="HV118" s="68"/>
      <c r="HW118" s="68"/>
      <c r="HX118" s="68"/>
      <c r="HY118" s="68"/>
      <c r="HZ118" s="68"/>
      <c r="IA118" s="68"/>
      <c r="IB118" s="68"/>
      <c r="IC118" s="68"/>
      <c r="ID118" s="68"/>
      <c r="IE118" s="68"/>
      <c r="IF118" s="68"/>
      <c r="IG118" s="68"/>
    </row>
    <row r="119" spans="1:246" ht="16.5" customHeight="1" thickBot="1">
      <c r="A119" s="261"/>
      <c r="B119" s="262"/>
      <c r="C119" s="263"/>
      <c r="D119" s="293"/>
      <c r="E119" s="72" t="s">
        <v>8</v>
      </c>
      <c r="F119" s="72" t="s">
        <v>9</v>
      </c>
      <c r="G119" s="72" t="s">
        <v>10</v>
      </c>
      <c r="H119" s="245"/>
      <c r="I119" s="246"/>
    </row>
    <row r="120" spans="1:246" ht="16.5" customHeight="1" thickBot="1">
      <c r="A120" s="212" t="s">
        <v>11</v>
      </c>
      <c r="B120" s="213"/>
      <c r="C120" s="213"/>
      <c r="D120" s="213"/>
      <c r="E120" s="213"/>
      <c r="F120" s="213"/>
      <c r="G120" s="213"/>
      <c r="H120" s="213"/>
      <c r="I120" s="214"/>
    </row>
    <row r="121" spans="1:246" ht="17.100000000000001" customHeight="1">
      <c r="A121" s="308" t="s">
        <v>53</v>
      </c>
      <c r="B121" s="309"/>
      <c r="C121" s="310"/>
      <c r="D121" s="1">
        <v>30</v>
      </c>
      <c r="E121" s="94">
        <f>0.72/60*60</f>
        <v>0.72</v>
      </c>
      <c r="F121" s="95">
        <f>2.83/60*60</f>
        <v>2.83</v>
      </c>
      <c r="G121" s="95">
        <f>4.63/60*60</f>
        <v>4.63</v>
      </c>
      <c r="H121" s="96">
        <f>46.8/60*60</f>
        <v>46.8</v>
      </c>
      <c r="I121" s="1" t="s">
        <v>15</v>
      </c>
    </row>
    <row r="122" spans="1:246" ht="15.75" customHeight="1">
      <c r="A122" s="250" t="s">
        <v>54</v>
      </c>
      <c r="B122" s="251"/>
      <c r="C122" s="311"/>
      <c r="D122" s="3">
        <v>116</v>
      </c>
      <c r="E122" s="11">
        <f>5.39/50*120</f>
        <v>12.936</v>
      </c>
      <c r="F122" s="12">
        <f>9.6/50*120</f>
        <v>23.04</v>
      </c>
      <c r="G122" s="12">
        <f>1.02/50*120</f>
        <v>2.4480000000000004</v>
      </c>
      <c r="H122" s="13">
        <f>112/50*120</f>
        <v>268.8</v>
      </c>
      <c r="I122" s="7">
        <v>210</v>
      </c>
      <c r="IH122" s="61"/>
      <c r="II122" s="61"/>
      <c r="IJ122" s="61"/>
      <c r="IK122" s="61"/>
      <c r="IL122" s="61"/>
    </row>
    <row r="123" spans="1:246" ht="16.5" customHeight="1">
      <c r="A123" s="182" t="s">
        <v>34</v>
      </c>
      <c r="B123" s="183"/>
      <c r="C123" s="184"/>
      <c r="D123" s="3">
        <v>30</v>
      </c>
      <c r="E123" s="11">
        <v>2.37</v>
      </c>
      <c r="F123" s="12">
        <v>0.30000000000000004</v>
      </c>
      <c r="G123" s="12">
        <v>14.49</v>
      </c>
      <c r="H123" s="6">
        <v>70.5</v>
      </c>
      <c r="I123" s="7" t="s">
        <v>15</v>
      </c>
    </row>
    <row r="124" spans="1:246" ht="16.5" customHeight="1">
      <c r="A124" s="221" t="s">
        <v>16</v>
      </c>
      <c r="B124" s="222"/>
      <c r="C124" s="284"/>
      <c r="D124" s="25">
        <v>30</v>
      </c>
      <c r="E124" s="29">
        <v>1.98</v>
      </c>
      <c r="F124" s="30">
        <v>0.36</v>
      </c>
      <c r="G124" s="30">
        <v>10.02</v>
      </c>
      <c r="H124" s="31">
        <v>52.2</v>
      </c>
      <c r="I124" s="21" t="s">
        <v>15</v>
      </c>
    </row>
    <row r="125" spans="1:246" s="61" customFormat="1" ht="15.75" customHeight="1">
      <c r="A125" s="182" t="s">
        <v>47</v>
      </c>
      <c r="B125" s="183"/>
      <c r="C125" s="184"/>
      <c r="D125" s="3">
        <v>180</v>
      </c>
      <c r="E125" s="4">
        <v>0.06</v>
      </c>
      <c r="F125" s="5">
        <v>0.02</v>
      </c>
      <c r="G125" s="5">
        <v>9.99</v>
      </c>
      <c r="H125" s="6">
        <v>40</v>
      </c>
      <c r="I125" s="7">
        <v>392</v>
      </c>
      <c r="HP125" s="68"/>
      <c r="HQ125" s="68"/>
      <c r="HR125" s="68"/>
      <c r="HS125" s="68"/>
      <c r="HT125" s="68"/>
      <c r="HU125" s="68"/>
      <c r="HV125" s="68"/>
      <c r="HW125" s="68"/>
      <c r="HX125" s="68"/>
      <c r="HY125" s="68"/>
      <c r="HZ125" s="68"/>
      <c r="IA125" s="68"/>
      <c r="IB125" s="68"/>
      <c r="IC125" s="68"/>
      <c r="ID125" s="68"/>
      <c r="IE125" s="68"/>
      <c r="IF125" s="68"/>
      <c r="IG125" s="68"/>
    </row>
    <row r="126" spans="1:246" ht="15.75" customHeight="1" thickBot="1">
      <c r="A126" s="170" t="s">
        <v>17</v>
      </c>
      <c r="B126" s="171"/>
      <c r="C126" s="172"/>
      <c r="D126" s="80">
        <v>120</v>
      </c>
      <c r="E126" s="81">
        <f>0.4/100*120</f>
        <v>0.48</v>
      </c>
      <c r="F126" s="82">
        <f>0.4/100*120</f>
        <v>0.48</v>
      </c>
      <c r="G126" s="82">
        <f>9.8/100*120</f>
        <v>11.76</v>
      </c>
      <c r="H126" s="83">
        <f>47/100*120</f>
        <v>56.4</v>
      </c>
      <c r="I126" s="84">
        <v>338</v>
      </c>
    </row>
    <row r="127" spans="1:246" ht="16.5" customHeight="1" thickBot="1">
      <c r="A127" s="173" t="s">
        <v>18</v>
      </c>
      <c r="B127" s="174"/>
      <c r="C127" s="175"/>
      <c r="D127" s="114">
        <f>SUM(D121:D126)</f>
        <v>506</v>
      </c>
      <c r="E127" s="49">
        <f>SUM(E121:E126)</f>
        <v>18.545999999999999</v>
      </c>
      <c r="F127" s="50">
        <f>SUM(F121:F126)</f>
        <v>27.029999999999998</v>
      </c>
      <c r="G127" s="50">
        <f>SUM(G121:G126)</f>
        <v>53.338000000000001</v>
      </c>
      <c r="H127" s="51">
        <f>SUM(H121:H126)</f>
        <v>534.70000000000005</v>
      </c>
      <c r="I127" s="16"/>
    </row>
    <row r="128" spans="1:246" ht="16.5" customHeight="1" thickBot="1">
      <c r="A128" s="212" t="s">
        <v>19</v>
      </c>
      <c r="B128" s="213"/>
      <c r="C128" s="213"/>
      <c r="D128" s="213"/>
      <c r="E128" s="213"/>
      <c r="F128" s="213"/>
      <c r="G128" s="213"/>
      <c r="H128" s="213"/>
      <c r="I128" s="214"/>
    </row>
    <row r="129" spans="1:246" ht="16.5" customHeight="1">
      <c r="A129" s="186" t="s">
        <v>32</v>
      </c>
      <c r="B129" s="187"/>
      <c r="C129" s="187"/>
      <c r="D129" s="165">
        <v>250</v>
      </c>
      <c r="E129" s="157">
        <f>7.21/1000*250</f>
        <v>1.8025</v>
      </c>
      <c r="F129" s="157">
        <f>19.68/1000*250</f>
        <v>4.92</v>
      </c>
      <c r="G129" s="157">
        <f>43.73/1000*250</f>
        <v>10.932499999999999</v>
      </c>
      <c r="H129" s="157">
        <f>415/1000*250</f>
        <v>103.75</v>
      </c>
      <c r="I129" s="26">
        <v>82</v>
      </c>
    </row>
    <row r="130" spans="1:246" ht="17.25" customHeight="1">
      <c r="A130" s="182" t="s">
        <v>39</v>
      </c>
      <c r="B130" s="183"/>
      <c r="C130" s="184"/>
      <c r="D130" s="3">
        <v>230</v>
      </c>
      <c r="E130" s="11">
        <v>15.204000000000001</v>
      </c>
      <c r="F130" s="32">
        <v>8.8800000000000008</v>
      </c>
      <c r="G130" s="12">
        <v>32.808</v>
      </c>
      <c r="H130" s="13">
        <v>272.39999999999998</v>
      </c>
      <c r="I130" s="7">
        <v>291</v>
      </c>
    </row>
    <row r="131" spans="1:246" ht="15.75" customHeight="1">
      <c r="A131" s="221" t="s">
        <v>22</v>
      </c>
      <c r="B131" s="222"/>
      <c r="C131" s="284"/>
      <c r="D131" s="25">
        <v>30</v>
      </c>
      <c r="E131" s="11">
        <f>8.33/1000*30</f>
        <v>0.24990000000000001</v>
      </c>
      <c r="F131" s="12">
        <f>50.31/1000*30</f>
        <v>1.5093000000000001</v>
      </c>
      <c r="G131" s="12">
        <f>18.35/1000*30</f>
        <v>0.5505000000000001</v>
      </c>
      <c r="H131" s="20">
        <f>560/1000*30</f>
        <v>16.8</v>
      </c>
      <c r="I131" s="21"/>
    </row>
    <row r="132" spans="1:246" ht="16.5" customHeight="1">
      <c r="A132" s="285" t="s">
        <v>23</v>
      </c>
      <c r="B132" s="286"/>
      <c r="C132" s="287"/>
      <c r="D132" s="33">
        <v>180</v>
      </c>
      <c r="E132" s="34">
        <f>2.2/1000*180</f>
        <v>0.39600000000000002</v>
      </c>
      <c r="F132" s="22">
        <f>0.1/1000*180</f>
        <v>1.8000000000000002E-2</v>
      </c>
      <c r="G132" s="22">
        <f>138.84/1000*180</f>
        <v>24.991199999999999</v>
      </c>
      <c r="H132" s="23">
        <f>565/1000*180</f>
        <v>101.69999999999999</v>
      </c>
      <c r="I132" s="24">
        <v>372</v>
      </c>
    </row>
    <row r="133" spans="1:246" ht="18.600000000000001" customHeight="1">
      <c r="A133" s="182" t="s">
        <v>34</v>
      </c>
      <c r="B133" s="183"/>
      <c r="C133" s="184"/>
      <c r="D133" s="3">
        <v>30</v>
      </c>
      <c r="E133" s="11">
        <v>2.37</v>
      </c>
      <c r="F133" s="12">
        <v>0.30000000000000004</v>
      </c>
      <c r="G133" s="12">
        <v>14.49</v>
      </c>
      <c r="H133" s="6">
        <v>70.5</v>
      </c>
      <c r="I133" s="7" t="s">
        <v>15</v>
      </c>
    </row>
    <row r="134" spans="1:246" ht="19.5" customHeight="1">
      <c r="A134" s="221" t="s">
        <v>16</v>
      </c>
      <c r="B134" s="222"/>
      <c r="C134" s="284"/>
      <c r="D134" s="25">
        <v>30</v>
      </c>
      <c r="E134" s="29">
        <f>1.98/50*30</f>
        <v>1.1879999999999999</v>
      </c>
      <c r="F134" s="30">
        <v>0.36</v>
      </c>
      <c r="G134" s="30">
        <v>10.02</v>
      </c>
      <c r="H134" s="31">
        <v>52.2</v>
      </c>
      <c r="I134" s="21" t="s">
        <v>15</v>
      </c>
    </row>
    <row r="135" spans="1:246" ht="17.25" customHeight="1" thickBot="1">
      <c r="A135" s="277" t="s">
        <v>87</v>
      </c>
      <c r="B135" s="278"/>
      <c r="C135" s="292"/>
      <c r="D135" s="136">
        <v>50</v>
      </c>
      <c r="E135" s="89">
        <v>4.71</v>
      </c>
      <c r="F135" s="90">
        <f>7.42/50*30</f>
        <v>4.452</v>
      </c>
      <c r="G135" s="90">
        <f>25.58/50*30</f>
        <v>15.347999999999999</v>
      </c>
      <c r="H135" s="91">
        <f>188/50*3</f>
        <v>11.28</v>
      </c>
      <c r="I135" s="47" t="s">
        <v>15</v>
      </c>
    </row>
    <row r="136" spans="1:246" ht="17.100000000000001" customHeight="1" thickBot="1">
      <c r="A136" s="173" t="s">
        <v>24</v>
      </c>
      <c r="B136" s="174"/>
      <c r="C136" s="175"/>
      <c r="D136" s="85">
        <f>SUM(D129:D135)</f>
        <v>800</v>
      </c>
      <c r="E136" s="49">
        <f>SUM(E129:E135)</f>
        <v>25.920400000000001</v>
      </c>
      <c r="F136" s="50">
        <f>SUM(F129:F135)</f>
        <v>20.439300000000003</v>
      </c>
      <c r="G136" s="50">
        <f>SUM(G129:G135)</f>
        <v>109.14019999999998</v>
      </c>
      <c r="H136" s="51">
        <f>SUM(H129:H135)</f>
        <v>628.63</v>
      </c>
      <c r="I136" s="16"/>
    </row>
    <row r="137" spans="1:246" ht="16.5" customHeight="1" thickBot="1">
      <c r="A137" s="209" t="s">
        <v>25</v>
      </c>
      <c r="B137" s="210"/>
      <c r="C137" s="210"/>
      <c r="D137" s="210"/>
      <c r="E137" s="116">
        <f>E127+E136</f>
        <v>44.4664</v>
      </c>
      <c r="F137" s="116">
        <f>F127+F136</f>
        <v>47.469300000000004</v>
      </c>
      <c r="G137" s="116">
        <f>G127+G136</f>
        <v>162.47819999999999</v>
      </c>
      <c r="H137" s="119">
        <f>H127+H136</f>
        <v>1163.33</v>
      </c>
      <c r="I137" s="52"/>
    </row>
    <row r="138" spans="1:246" ht="15.75" customHeight="1">
      <c r="A138" s="66"/>
      <c r="B138" s="66"/>
      <c r="C138" s="66"/>
      <c r="D138" s="67"/>
      <c r="E138" s="63"/>
      <c r="F138" s="64"/>
      <c r="G138" s="64"/>
      <c r="H138" s="64"/>
      <c r="I138" s="66"/>
    </row>
    <row r="139" spans="1:246" ht="15.75" customHeight="1">
      <c r="A139" s="193" t="s">
        <v>51</v>
      </c>
      <c r="B139" s="193"/>
      <c r="C139" s="193"/>
      <c r="D139" s="60"/>
      <c r="E139" s="65"/>
      <c r="F139" s="65"/>
      <c r="G139" s="65"/>
      <c r="H139" s="65"/>
      <c r="I139" s="65"/>
      <c r="IH139" s="61"/>
      <c r="II139" s="61"/>
      <c r="IJ139" s="61"/>
      <c r="IK139" s="61"/>
      <c r="IL139" s="61"/>
    </row>
    <row r="140" spans="1:246" ht="16.5" customHeight="1" thickBot="1">
      <c r="A140" s="193" t="s">
        <v>84</v>
      </c>
      <c r="B140" s="193"/>
      <c r="C140" s="193"/>
      <c r="D140" s="60"/>
      <c r="E140" s="65"/>
      <c r="F140" s="65"/>
      <c r="G140" s="65"/>
      <c r="H140" s="65"/>
      <c r="I140" s="65"/>
    </row>
    <row r="141" spans="1:246" ht="16.350000000000001" customHeight="1" thickBot="1">
      <c r="A141" s="212" t="s">
        <v>55</v>
      </c>
      <c r="B141" s="213"/>
      <c r="C141" s="213"/>
      <c r="D141" s="213"/>
      <c r="E141" s="213"/>
      <c r="F141" s="213"/>
      <c r="G141" s="213"/>
      <c r="H141" s="213"/>
      <c r="I141" s="214"/>
    </row>
    <row r="142" spans="1:246" ht="16.5" customHeight="1">
      <c r="A142" s="290" t="s">
        <v>3</v>
      </c>
      <c r="B142" s="235"/>
      <c r="C142" s="291"/>
      <c r="D142" s="203" t="s">
        <v>4</v>
      </c>
      <c r="E142" s="234" t="s">
        <v>5</v>
      </c>
      <c r="F142" s="235"/>
      <c r="G142" s="235"/>
      <c r="H142" s="236" t="s">
        <v>6</v>
      </c>
      <c r="I142" s="203" t="s">
        <v>7</v>
      </c>
    </row>
    <row r="143" spans="1:246" ht="16.5" customHeight="1" thickBot="1">
      <c r="A143" s="244"/>
      <c r="B143" s="245"/>
      <c r="C143" s="246"/>
      <c r="D143" s="204"/>
      <c r="E143" s="74" t="s">
        <v>8</v>
      </c>
      <c r="F143" s="72" t="s">
        <v>9</v>
      </c>
      <c r="G143" s="72" t="s">
        <v>10</v>
      </c>
      <c r="H143" s="208"/>
      <c r="I143" s="204"/>
    </row>
    <row r="144" spans="1:246" ht="15.75" customHeight="1" thickBot="1">
      <c r="A144" s="212" t="s">
        <v>11</v>
      </c>
      <c r="B144" s="213"/>
      <c r="C144" s="213"/>
      <c r="D144" s="213"/>
      <c r="E144" s="213"/>
      <c r="F144" s="213"/>
      <c r="G144" s="213"/>
      <c r="H144" s="213"/>
      <c r="I144" s="214"/>
      <c r="IH144" s="61"/>
      <c r="II144" s="61"/>
      <c r="IJ144" s="61"/>
      <c r="IK144" s="61"/>
      <c r="IL144" s="61"/>
    </row>
    <row r="145" spans="1:246" ht="15.6" customHeight="1">
      <c r="A145" s="179" t="s">
        <v>88</v>
      </c>
      <c r="B145" s="180"/>
      <c r="C145" s="181"/>
      <c r="D145" s="1">
        <v>250</v>
      </c>
      <c r="E145" s="98">
        <v>7.6338095238095196</v>
      </c>
      <c r="F145" s="97">
        <v>12.524523809523799</v>
      </c>
      <c r="G145" s="97">
        <v>33.4540476190476</v>
      </c>
      <c r="H145" s="107">
        <v>278.21428571428601</v>
      </c>
      <c r="I145" s="19">
        <v>182</v>
      </c>
      <c r="HY145" s="61"/>
      <c r="HZ145" s="61"/>
      <c r="IA145" s="61"/>
      <c r="IB145" s="61"/>
      <c r="IC145" s="61"/>
      <c r="ID145" s="61"/>
      <c r="IE145" s="61"/>
      <c r="IF145" s="61"/>
      <c r="IG145" s="61"/>
    </row>
    <row r="146" spans="1:246" ht="15.75" customHeight="1">
      <c r="A146" s="182" t="s">
        <v>13</v>
      </c>
      <c r="B146" s="183"/>
      <c r="C146" s="184"/>
      <c r="D146" s="3">
        <v>15</v>
      </c>
      <c r="E146" s="8">
        <f>3.48/15*15</f>
        <v>3.48</v>
      </c>
      <c r="F146" s="9">
        <f>4.42/15*15</f>
        <v>4.42</v>
      </c>
      <c r="G146" s="9">
        <v>0</v>
      </c>
      <c r="H146" s="10">
        <f>54/15*15</f>
        <v>54</v>
      </c>
      <c r="I146" s="7">
        <v>15</v>
      </c>
      <c r="HY146" s="61"/>
      <c r="HZ146" s="61"/>
      <c r="IA146" s="61"/>
      <c r="IB146" s="61"/>
      <c r="IC146" s="61"/>
      <c r="ID146" s="61"/>
      <c r="IE146" s="61"/>
      <c r="IF146" s="61"/>
      <c r="IG146" s="61"/>
    </row>
    <row r="147" spans="1:246" s="61" customFormat="1" ht="15.75" customHeight="1">
      <c r="A147" s="182" t="s">
        <v>65</v>
      </c>
      <c r="B147" s="183"/>
      <c r="C147" s="184"/>
      <c r="D147" s="3">
        <v>180</v>
      </c>
      <c r="E147" s="4">
        <v>2.78</v>
      </c>
      <c r="F147" s="5">
        <v>0.67</v>
      </c>
      <c r="G147" s="5">
        <v>26</v>
      </c>
      <c r="H147" s="6">
        <v>125.11</v>
      </c>
      <c r="I147" s="7">
        <v>397</v>
      </c>
      <c r="HP147" s="68"/>
      <c r="HQ147" s="68"/>
      <c r="HR147" s="68"/>
      <c r="HS147" s="68"/>
      <c r="HT147" s="68"/>
      <c r="HU147" s="68"/>
      <c r="HV147" s="68"/>
      <c r="HW147" s="68"/>
      <c r="HX147" s="68"/>
      <c r="HY147" s="68"/>
      <c r="HZ147" s="68"/>
      <c r="IA147" s="68"/>
      <c r="IB147" s="68"/>
      <c r="IC147" s="68"/>
      <c r="ID147" s="68"/>
      <c r="IE147" s="68"/>
      <c r="IF147" s="68"/>
      <c r="IG147" s="68"/>
    </row>
    <row r="148" spans="1:246" s="61" customFormat="1" ht="15.75" customHeight="1">
      <c r="A148" s="277" t="s">
        <v>41</v>
      </c>
      <c r="B148" s="278"/>
      <c r="C148" s="292"/>
      <c r="D148" s="136">
        <v>50</v>
      </c>
      <c r="E148" s="89">
        <v>4.71</v>
      </c>
      <c r="F148" s="90">
        <v>7.42</v>
      </c>
      <c r="G148" s="90">
        <v>25.58</v>
      </c>
      <c r="H148" s="91">
        <v>188</v>
      </c>
      <c r="I148" s="47" t="s">
        <v>15</v>
      </c>
      <c r="HP148" s="68"/>
      <c r="HQ148" s="68"/>
      <c r="HR148" s="68"/>
      <c r="HS148" s="68"/>
      <c r="HT148" s="68"/>
      <c r="HU148" s="68"/>
      <c r="HV148" s="68"/>
      <c r="HW148" s="68"/>
      <c r="HX148" s="68"/>
      <c r="HY148" s="68"/>
      <c r="HZ148" s="68"/>
      <c r="IA148" s="68"/>
      <c r="IB148" s="68"/>
      <c r="IC148" s="68"/>
      <c r="ID148" s="68"/>
      <c r="IE148" s="68"/>
      <c r="IF148" s="68"/>
      <c r="IG148" s="68"/>
    </row>
    <row r="149" spans="1:246" ht="15.75" customHeight="1">
      <c r="A149" s="182" t="s">
        <v>34</v>
      </c>
      <c r="B149" s="183"/>
      <c r="C149" s="184"/>
      <c r="D149" s="3">
        <v>30</v>
      </c>
      <c r="E149" s="11">
        <v>2.37</v>
      </c>
      <c r="F149" s="12">
        <v>0.30000000000000004</v>
      </c>
      <c r="G149" s="12">
        <v>14.49</v>
      </c>
      <c r="H149" s="6">
        <v>70.5</v>
      </c>
      <c r="I149" s="7" t="s">
        <v>15</v>
      </c>
    </row>
    <row r="150" spans="1:246" ht="15.75" customHeight="1" thickBot="1">
      <c r="A150" s="238" t="s">
        <v>16</v>
      </c>
      <c r="B150" s="239"/>
      <c r="C150" s="283"/>
      <c r="D150" s="43">
        <v>30</v>
      </c>
      <c r="E150" s="44">
        <f>1.98/50*30</f>
        <v>1.1879999999999999</v>
      </c>
      <c r="F150" s="45">
        <v>0.36</v>
      </c>
      <c r="G150" s="45">
        <v>10.02</v>
      </c>
      <c r="H150" s="46">
        <v>52.2</v>
      </c>
      <c r="I150" s="47" t="s">
        <v>15</v>
      </c>
      <c r="IH150" s="61"/>
      <c r="II150" s="61"/>
      <c r="IJ150" s="61"/>
      <c r="IK150" s="61"/>
      <c r="IL150" s="61"/>
    </row>
    <row r="151" spans="1:246" ht="16.5" customHeight="1" thickBot="1">
      <c r="A151" s="173" t="s">
        <v>18</v>
      </c>
      <c r="B151" s="174"/>
      <c r="C151" s="175"/>
      <c r="D151" s="48">
        <f>SUM(D145:D150)</f>
        <v>555</v>
      </c>
      <c r="E151" s="49">
        <f>SUM(E145:E150)</f>
        <v>22.16180952380952</v>
      </c>
      <c r="F151" s="50">
        <f>SUM(F145:F150)</f>
        <v>25.694523809523805</v>
      </c>
      <c r="G151" s="50">
        <f>SUM(G145:G150)</f>
        <v>109.54404761904759</v>
      </c>
      <c r="H151" s="51">
        <f>SUM(H145:H150)</f>
        <v>768.02428571428607</v>
      </c>
      <c r="I151" s="16"/>
    </row>
    <row r="152" spans="1:246" ht="16.5" customHeight="1">
      <c r="A152" s="305" t="s">
        <v>19</v>
      </c>
      <c r="B152" s="306"/>
      <c r="C152" s="306"/>
      <c r="D152" s="306"/>
      <c r="E152" s="306"/>
      <c r="F152" s="306"/>
      <c r="G152" s="306"/>
      <c r="H152" s="306"/>
      <c r="I152" s="307"/>
    </row>
    <row r="153" spans="1:246" ht="15" customHeight="1">
      <c r="A153" s="179" t="s">
        <v>60</v>
      </c>
      <c r="B153" s="180"/>
      <c r="C153" s="181"/>
      <c r="D153" s="167">
        <v>250</v>
      </c>
      <c r="E153" s="94">
        <v>4.3899999999999997</v>
      </c>
      <c r="F153" s="95">
        <v>4.22</v>
      </c>
      <c r="G153" s="95">
        <v>13.23</v>
      </c>
      <c r="H153" s="96">
        <v>118.6</v>
      </c>
      <c r="I153" s="109">
        <v>102</v>
      </c>
    </row>
    <row r="154" spans="1:246" ht="15.75" customHeight="1">
      <c r="A154" s="182" t="s">
        <v>82</v>
      </c>
      <c r="B154" s="183"/>
      <c r="C154" s="184"/>
      <c r="D154" s="3">
        <v>180</v>
      </c>
      <c r="E154" s="8">
        <f>26.69/1000*150</f>
        <v>4.0035000000000007</v>
      </c>
      <c r="F154" s="9">
        <f>28.29/1000*150</f>
        <v>4.2435</v>
      </c>
      <c r="G154" s="9">
        <f>163.7/1000*150</f>
        <v>24.554999999999996</v>
      </c>
      <c r="H154" s="10">
        <f>1016/1000*150</f>
        <v>152.4</v>
      </c>
      <c r="I154" s="25">
        <v>312</v>
      </c>
    </row>
    <row r="155" spans="1:246" ht="16.5" customHeight="1">
      <c r="A155" s="221" t="s">
        <v>49</v>
      </c>
      <c r="B155" s="222"/>
      <c r="C155" s="222"/>
      <c r="D155" s="155">
        <v>100</v>
      </c>
      <c r="E155" s="30">
        <v>8.15</v>
      </c>
      <c r="F155" s="30">
        <v>9.07</v>
      </c>
      <c r="G155" s="30">
        <v>9.85</v>
      </c>
      <c r="H155" s="30">
        <v>154</v>
      </c>
      <c r="I155" s="162">
        <v>294</v>
      </c>
    </row>
    <row r="156" spans="1:246" ht="16.350000000000001" customHeight="1">
      <c r="A156" s="182" t="s">
        <v>38</v>
      </c>
      <c r="B156" s="183"/>
      <c r="C156" s="183"/>
      <c r="D156" s="154">
        <v>30</v>
      </c>
      <c r="E156" s="12">
        <v>1.0242</v>
      </c>
      <c r="F156" s="12">
        <v>3.0024000000000002</v>
      </c>
      <c r="G156" s="12">
        <v>5.0747999999999998</v>
      </c>
      <c r="H156" s="32">
        <v>51.42</v>
      </c>
      <c r="I156" s="163"/>
    </row>
    <row r="157" spans="1:246" ht="15" customHeight="1">
      <c r="A157" s="227" t="s">
        <v>40</v>
      </c>
      <c r="B157" s="228"/>
      <c r="C157" s="228"/>
      <c r="D157" s="156">
        <v>180</v>
      </c>
      <c r="E157" s="9">
        <v>0.12</v>
      </c>
      <c r="F157" s="9">
        <v>0.02</v>
      </c>
      <c r="G157" s="9">
        <v>10.199999999999999</v>
      </c>
      <c r="H157" s="9">
        <v>41</v>
      </c>
      <c r="I157" s="158">
        <v>376</v>
      </c>
    </row>
    <row r="158" spans="1:246" ht="17.25" customHeight="1">
      <c r="A158" s="182" t="s">
        <v>34</v>
      </c>
      <c r="B158" s="183"/>
      <c r="C158" s="183"/>
      <c r="D158" s="154">
        <v>30</v>
      </c>
      <c r="E158" s="12">
        <f>2.37/40*35</f>
        <v>2.07375</v>
      </c>
      <c r="F158" s="12">
        <f>0.3/40*35</f>
        <v>0.26250000000000001</v>
      </c>
      <c r="G158" s="12">
        <f>14.49/40*35</f>
        <v>12.678750000000001</v>
      </c>
      <c r="H158" s="5">
        <f>70.5/40*35</f>
        <v>61.6875</v>
      </c>
      <c r="I158" s="27" t="s">
        <v>15</v>
      </c>
    </row>
    <row r="159" spans="1:246" ht="17.100000000000001" customHeight="1" thickBot="1">
      <c r="A159" s="288" t="s">
        <v>16</v>
      </c>
      <c r="B159" s="289"/>
      <c r="C159" s="289"/>
      <c r="D159" s="159">
        <v>30</v>
      </c>
      <c r="E159" s="160">
        <v>1.98</v>
      </c>
      <c r="F159" s="160">
        <v>0.36</v>
      </c>
      <c r="G159" s="160">
        <v>10.02</v>
      </c>
      <c r="H159" s="160">
        <v>52.2</v>
      </c>
      <c r="I159" s="161" t="s">
        <v>15</v>
      </c>
    </row>
    <row r="160" spans="1:246" ht="15.75" customHeight="1" thickBot="1">
      <c r="A160" s="209" t="s">
        <v>24</v>
      </c>
      <c r="B160" s="210"/>
      <c r="C160" s="211"/>
      <c r="D160" s="153">
        <f>SUM(D153:D159)</f>
        <v>800</v>
      </c>
      <c r="E160" s="117">
        <f>SUM(E153:E159)</f>
        <v>21.741450000000004</v>
      </c>
      <c r="F160" s="116">
        <f>SUM(F153:F159)</f>
        <v>21.1784</v>
      </c>
      <c r="G160" s="116">
        <f>SUM(G153:G159)</f>
        <v>85.608549999999994</v>
      </c>
      <c r="H160" s="119">
        <f>SUM(H153:H159)</f>
        <v>631.30750000000012</v>
      </c>
      <c r="I160" s="52"/>
      <c r="HY160" s="61"/>
      <c r="HZ160" s="61"/>
      <c r="IA160" s="61"/>
      <c r="IB160" s="61"/>
      <c r="IC160" s="61"/>
      <c r="ID160" s="61"/>
      <c r="IE160" s="61"/>
      <c r="IF160" s="61"/>
      <c r="IG160" s="61"/>
    </row>
    <row r="161" spans="1:246" ht="17.7" customHeight="1" thickBot="1">
      <c r="A161" s="173" t="s">
        <v>25</v>
      </c>
      <c r="B161" s="174"/>
      <c r="C161" s="174"/>
      <c r="D161" s="241"/>
      <c r="E161" s="117">
        <f>E151+E160</f>
        <v>43.903259523809524</v>
      </c>
      <c r="F161" s="116">
        <f>F151+F160</f>
        <v>46.872923809523805</v>
      </c>
      <c r="G161" s="116">
        <f>G151+G160</f>
        <v>195.15259761904758</v>
      </c>
      <c r="H161" s="119">
        <f>H151+H160</f>
        <v>1399.3317857142861</v>
      </c>
      <c r="I161" s="52"/>
    </row>
    <row r="162" spans="1:246" ht="16.5" customHeight="1">
      <c r="A162" s="66"/>
      <c r="B162" s="66"/>
      <c r="C162" s="66"/>
      <c r="D162" s="67"/>
      <c r="E162" s="63"/>
      <c r="F162" s="64"/>
      <c r="G162" s="64"/>
      <c r="H162" s="64"/>
      <c r="I162" s="66"/>
    </row>
    <row r="163" spans="1:246" ht="15.75" customHeight="1">
      <c r="A163" s="193" t="s">
        <v>51</v>
      </c>
      <c r="B163" s="193"/>
      <c r="C163" s="193"/>
      <c r="D163" s="60"/>
      <c r="E163" s="65"/>
      <c r="F163" s="65"/>
      <c r="G163" s="65"/>
      <c r="H163" s="65"/>
      <c r="I163" s="65"/>
    </row>
    <row r="164" spans="1:246" ht="15.75" customHeight="1" thickBot="1">
      <c r="A164" s="193" t="s">
        <v>84</v>
      </c>
      <c r="B164" s="193"/>
      <c r="C164" s="193"/>
      <c r="D164" s="60"/>
      <c r="E164" s="65"/>
      <c r="F164" s="65"/>
      <c r="G164" s="65"/>
      <c r="H164" s="65"/>
      <c r="I164" s="65"/>
      <c r="IH164" s="61"/>
      <c r="II164" s="61"/>
      <c r="IJ164" s="61"/>
      <c r="IK164" s="61"/>
      <c r="IL164" s="61"/>
    </row>
    <row r="165" spans="1:246" ht="15.75" customHeight="1" thickBot="1">
      <c r="A165" s="212" t="s">
        <v>57</v>
      </c>
      <c r="B165" s="213"/>
      <c r="C165" s="213"/>
      <c r="D165" s="213"/>
      <c r="E165" s="213"/>
      <c r="F165" s="213"/>
      <c r="G165" s="213"/>
      <c r="H165" s="213"/>
      <c r="I165" s="214"/>
      <c r="IH165" s="61"/>
      <c r="II165" s="61"/>
      <c r="IJ165" s="61"/>
      <c r="IK165" s="61"/>
      <c r="IL165" s="61"/>
    </row>
    <row r="166" spans="1:246" ht="16.5" customHeight="1">
      <c r="A166" s="215" t="s">
        <v>3</v>
      </c>
      <c r="B166" s="216"/>
      <c r="C166" s="217"/>
      <c r="D166" s="203" t="s">
        <v>4</v>
      </c>
      <c r="E166" s="234" t="s">
        <v>5</v>
      </c>
      <c r="F166" s="235"/>
      <c r="G166" s="235"/>
      <c r="H166" s="236" t="s">
        <v>6</v>
      </c>
      <c r="I166" s="203" t="s">
        <v>7</v>
      </c>
      <c r="HY166" s="61"/>
      <c r="HZ166" s="61"/>
      <c r="IA166" s="61"/>
      <c r="IB166" s="61"/>
      <c r="IC166" s="61"/>
      <c r="ID166" s="61"/>
      <c r="IE166" s="61"/>
      <c r="IF166" s="61"/>
      <c r="IG166" s="61"/>
    </row>
    <row r="167" spans="1:246" ht="18.75" customHeight="1" thickBot="1">
      <c r="A167" s="261"/>
      <c r="B167" s="262"/>
      <c r="C167" s="263"/>
      <c r="D167" s="233"/>
      <c r="E167" s="74" t="s">
        <v>8</v>
      </c>
      <c r="F167" s="72" t="s">
        <v>9</v>
      </c>
      <c r="G167" s="72" t="s">
        <v>10</v>
      </c>
      <c r="H167" s="208"/>
      <c r="I167" s="233"/>
      <c r="HY167" s="61"/>
      <c r="HZ167" s="61"/>
      <c r="IA167" s="61"/>
      <c r="IB167" s="61"/>
      <c r="IC167" s="61"/>
      <c r="ID167" s="61"/>
      <c r="IE167" s="61"/>
      <c r="IF167" s="61"/>
      <c r="IG167" s="61"/>
    </row>
    <row r="168" spans="1:246" s="61" customFormat="1" ht="15.75" customHeight="1" thickBot="1">
      <c r="A168" s="212" t="s">
        <v>11</v>
      </c>
      <c r="B168" s="213"/>
      <c r="C168" s="213"/>
      <c r="D168" s="213"/>
      <c r="E168" s="213"/>
      <c r="F168" s="213"/>
      <c r="G168" s="213"/>
      <c r="H168" s="213"/>
      <c r="I168" s="214"/>
      <c r="HP168" s="56"/>
      <c r="HQ168" s="56"/>
      <c r="HR168" s="56"/>
      <c r="HS168" s="56"/>
      <c r="HT168" s="56"/>
      <c r="HU168" s="56"/>
      <c r="HV168" s="56"/>
      <c r="HW168" s="56"/>
      <c r="HX168" s="56"/>
    </row>
    <row r="169" spans="1:246" ht="16.5" customHeight="1">
      <c r="A169" s="179" t="s">
        <v>69</v>
      </c>
      <c r="B169" s="180"/>
      <c r="C169" s="181"/>
      <c r="D169" s="1">
        <v>100</v>
      </c>
      <c r="E169" s="94">
        <f>6.82/55*90</f>
        <v>11.16</v>
      </c>
      <c r="F169" s="95">
        <f>7.67/55*90</f>
        <v>12.550909090909089</v>
      </c>
      <c r="G169" s="95">
        <f>5.47/55*90</f>
        <v>8.9509090909090911</v>
      </c>
      <c r="H169" s="96">
        <f>115/55*90</f>
        <v>188.18181818181819</v>
      </c>
      <c r="I169" s="1">
        <v>235</v>
      </c>
    </row>
    <row r="170" spans="1:246" s="121" customFormat="1" ht="15.6" customHeight="1">
      <c r="A170" s="227" t="s">
        <v>28</v>
      </c>
      <c r="B170" s="228"/>
      <c r="C170" s="298"/>
      <c r="D170" s="25">
        <v>180</v>
      </c>
      <c r="E170" s="8">
        <v>3.2</v>
      </c>
      <c r="F170" s="9">
        <v>9.4600000000000009</v>
      </c>
      <c r="G170" s="9">
        <v>18.579999999999998</v>
      </c>
      <c r="H170" s="10">
        <v>178.61</v>
      </c>
      <c r="I170" s="25">
        <v>312</v>
      </c>
    </row>
    <row r="171" spans="1:246" s="61" customFormat="1" ht="15.75" customHeight="1">
      <c r="A171" s="182" t="s">
        <v>38</v>
      </c>
      <c r="B171" s="183"/>
      <c r="C171" s="184"/>
      <c r="D171" s="25">
        <v>30</v>
      </c>
      <c r="E171" s="11">
        <f>8.48/1000*30</f>
        <v>0.25440000000000002</v>
      </c>
      <c r="F171" s="12">
        <f>50.45/1000*30</f>
        <v>1.5135000000000001</v>
      </c>
      <c r="G171" s="12">
        <f>25.76/1000*30</f>
        <v>0.77280000000000004</v>
      </c>
      <c r="H171" s="13">
        <f>591/1000*30</f>
        <v>17.73</v>
      </c>
      <c r="I171" s="7"/>
      <c r="HP171" s="68"/>
      <c r="HQ171" s="68"/>
      <c r="HR171" s="68"/>
      <c r="HS171" s="68"/>
      <c r="HT171" s="68"/>
      <c r="HU171" s="68"/>
      <c r="HV171" s="68"/>
      <c r="HW171" s="68"/>
      <c r="HX171" s="68"/>
      <c r="HY171" s="68"/>
      <c r="HZ171" s="68"/>
      <c r="IA171" s="68"/>
      <c r="IB171" s="68"/>
      <c r="IC171" s="68"/>
      <c r="ID171" s="68"/>
      <c r="IE171" s="68"/>
      <c r="IF171" s="68"/>
      <c r="IG171" s="68"/>
    </row>
    <row r="172" spans="1:246" ht="15.75" customHeight="1">
      <c r="A172" s="182" t="s">
        <v>34</v>
      </c>
      <c r="B172" s="183"/>
      <c r="C172" s="184"/>
      <c r="D172" s="3">
        <v>30</v>
      </c>
      <c r="E172" s="11">
        <v>2.37</v>
      </c>
      <c r="F172" s="12">
        <v>0.30000000000000004</v>
      </c>
      <c r="G172" s="12">
        <v>14.49</v>
      </c>
      <c r="H172" s="6">
        <v>70.5</v>
      </c>
      <c r="I172" s="7" t="s">
        <v>15</v>
      </c>
    </row>
    <row r="173" spans="1:246" ht="15.75" customHeight="1">
      <c r="A173" s="221" t="s">
        <v>16</v>
      </c>
      <c r="B173" s="222"/>
      <c r="C173" s="284"/>
      <c r="D173" s="25">
        <v>30</v>
      </c>
      <c r="E173" s="29">
        <v>1.98</v>
      </c>
      <c r="F173" s="30">
        <v>0.36</v>
      </c>
      <c r="G173" s="30">
        <v>10.02</v>
      </c>
      <c r="H173" s="31">
        <v>52.2</v>
      </c>
      <c r="I173" s="21" t="s">
        <v>15</v>
      </c>
      <c r="IH173" s="61"/>
      <c r="II173" s="61"/>
      <c r="IJ173" s="61"/>
      <c r="IK173" s="61"/>
      <c r="IL173" s="61"/>
    </row>
    <row r="174" spans="1:246" ht="16.5" customHeight="1" thickBot="1">
      <c r="A174" s="277" t="s">
        <v>30</v>
      </c>
      <c r="B174" s="278"/>
      <c r="C174" s="292"/>
      <c r="D174" s="101" t="s">
        <v>31</v>
      </c>
      <c r="E174" s="89">
        <v>0.12</v>
      </c>
      <c r="F174" s="90">
        <v>0.02</v>
      </c>
      <c r="G174" s="90">
        <v>10.199999999999999</v>
      </c>
      <c r="H174" s="91">
        <v>41</v>
      </c>
      <c r="I174" s="47">
        <v>393</v>
      </c>
      <c r="HY174" s="61"/>
      <c r="HZ174" s="61"/>
      <c r="IA174" s="61"/>
      <c r="IB174" s="61"/>
      <c r="IC174" s="61"/>
      <c r="ID174" s="61"/>
      <c r="IE174" s="61"/>
      <c r="IF174" s="61"/>
      <c r="IG174" s="61"/>
    </row>
    <row r="175" spans="1:246" ht="16.5" customHeight="1" thickBot="1">
      <c r="A175" s="173" t="s">
        <v>18</v>
      </c>
      <c r="B175" s="174"/>
      <c r="C175" s="175"/>
      <c r="D175" s="85">
        <f>SUM(D169:D173)+187</f>
        <v>557</v>
      </c>
      <c r="E175" s="49">
        <f>SUM(E169:E174)</f>
        <v>19.084400000000002</v>
      </c>
      <c r="F175" s="50">
        <f>SUM(F169:F174)</f>
        <v>24.204409090909088</v>
      </c>
      <c r="G175" s="50">
        <f>SUM(G169:G174)</f>
        <v>63.013709090909089</v>
      </c>
      <c r="H175" s="51">
        <f>SUM(H169:H174)</f>
        <v>548.22181818181821</v>
      </c>
      <c r="I175" s="16"/>
      <c r="HY175" s="61"/>
      <c r="HZ175" s="61"/>
      <c r="IA175" s="61"/>
      <c r="IB175" s="61"/>
      <c r="IC175" s="61"/>
      <c r="ID175" s="61"/>
      <c r="IE175" s="61"/>
      <c r="IF175" s="61"/>
      <c r="IG175" s="61"/>
    </row>
    <row r="176" spans="1:246" ht="17.25" customHeight="1" thickBot="1">
      <c r="A176" s="212" t="s">
        <v>19</v>
      </c>
      <c r="B176" s="213"/>
      <c r="C176" s="213"/>
      <c r="D176" s="213"/>
      <c r="E176" s="213"/>
      <c r="F176" s="213"/>
      <c r="G176" s="213"/>
      <c r="H176" s="213"/>
      <c r="I176" s="214"/>
    </row>
    <row r="177" spans="1:246" ht="15.75" customHeight="1">
      <c r="A177" s="179" t="s">
        <v>58</v>
      </c>
      <c r="B177" s="180"/>
      <c r="C177" s="181"/>
      <c r="D177" s="1">
        <v>250</v>
      </c>
      <c r="E177" s="94">
        <f>1.61/200*250</f>
        <v>2.0125000000000002</v>
      </c>
      <c r="F177" s="95">
        <f>4.08/200*250</f>
        <v>5.1000000000000005</v>
      </c>
      <c r="G177" s="95">
        <f>9.58/200*250</f>
        <v>11.975</v>
      </c>
      <c r="H177" s="96">
        <f>85.8/200*250</f>
        <v>107.25</v>
      </c>
      <c r="I177" s="19">
        <v>96</v>
      </c>
    </row>
    <row r="178" spans="1:246" ht="16.5" customHeight="1">
      <c r="A178" s="182" t="s">
        <v>20</v>
      </c>
      <c r="B178" s="183"/>
      <c r="C178" s="189"/>
      <c r="D178" s="3">
        <v>180</v>
      </c>
      <c r="E178" s="11">
        <f>36.78/1000*150</f>
        <v>5.5170000000000003</v>
      </c>
      <c r="F178" s="12">
        <f>30.1/1000*150</f>
        <v>4.5150000000000006</v>
      </c>
      <c r="G178" s="13">
        <f>176.3/1000*150</f>
        <v>26.445</v>
      </c>
      <c r="H178" s="104">
        <f>1123/1000*150</f>
        <v>168.45</v>
      </c>
      <c r="I178" s="7">
        <v>309</v>
      </c>
    </row>
    <row r="179" spans="1:246" ht="16.350000000000001" customHeight="1">
      <c r="A179" s="221" t="s">
        <v>33</v>
      </c>
      <c r="B179" s="222"/>
      <c r="C179" s="284"/>
      <c r="D179" s="141">
        <v>100</v>
      </c>
      <c r="E179" s="140">
        <v>11.09</v>
      </c>
      <c r="F179" s="138">
        <v>11.26</v>
      </c>
      <c r="G179" s="138">
        <v>3.51</v>
      </c>
      <c r="H179" s="139">
        <v>166</v>
      </c>
      <c r="I179" s="21">
        <v>290</v>
      </c>
    </row>
    <row r="180" spans="1:246" ht="15" customHeight="1">
      <c r="A180" s="221" t="s">
        <v>29</v>
      </c>
      <c r="B180" s="222"/>
      <c r="C180" s="284"/>
      <c r="D180" s="25">
        <v>30</v>
      </c>
      <c r="E180" s="11">
        <f>11.58/1000*30</f>
        <v>0.34739999999999999</v>
      </c>
      <c r="F180" s="12">
        <f>1.85/1000*30</f>
        <v>5.5500000000000001E-2</v>
      </c>
      <c r="G180" s="12">
        <f>71.99/1000*30</f>
        <v>2.1597</v>
      </c>
      <c r="H180" s="20">
        <f>351/1000*30</f>
        <v>10.53</v>
      </c>
      <c r="I180" s="21"/>
    </row>
    <row r="181" spans="1:246" ht="15" customHeight="1">
      <c r="A181" s="285" t="s">
        <v>35</v>
      </c>
      <c r="B181" s="286"/>
      <c r="C181" s="287"/>
      <c r="D181" s="33">
        <v>180</v>
      </c>
      <c r="E181" s="34">
        <f>1.73/1000*180</f>
        <v>0.31140000000000001</v>
      </c>
      <c r="F181" s="22">
        <f>0.45/1000*180</f>
        <v>8.1000000000000003E-2</v>
      </c>
      <c r="G181" s="22">
        <f>146.85/1000*180</f>
        <v>26.432999999999996</v>
      </c>
      <c r="H181" s="23">
        <f>602/1000*180</f>
        <v>108.36</v>
      </c>
      <c r="I181" s="24">
        <v>376</v>
      </c>
    </row>
    <row r="182" spans="1:246" ht="17.100000000000001" customHeight="1">
      <c r="A182" s="182" t="s">
        <v>34</v>
      </c>
      <c r="B182" s="183"/>
      <c r="C182" s="184"/>
      <c r="D182" s="25">
        <v>30</v>
      </c>
      <c r="E182" s="11">
        <v>2.37</v>
      </c>
      <c r="F182" s="12">
        <v>0.30000000000000004</v>
      </c>
      <c r="G182" s="12">
        <v>14.49</v>
      </c>
      <c r="H182" s="6">
        <v>70.5</v>
      </c>
      <c r="I182" s="7" t="s">
        <v>15</v>
      </c>
    </row>
    <row r="183" spans="1:246" ht="15.75" customHeight="1" thickBot="1">
      <c r="A183" s="238" t="s">
        <v>16</v>
      </c>
      <c r="B183" s="239"/>
      <c r="C183" s="283"/>
      <c r="D183" s="43">
        <v>30</v>
      </c>
      <c r="E183" s="44">
        <v>1.98</v>
      </c>
      <c r="F183" s="45">
        <v>0.36</v>
      </c>
      <c r="G183" s="45">
        <v>10.02</v>
      </c>
      <c r="H183" s="46">
        <v>52.2</v>
      </c>
      <c r="I183" s="47" t="s">
        <v>15</v>
      </c>
    </row>
    <row r="184" spans="1:246" ht="16.5" customHeight="1" thickBot="1">
      <c r="A184" s="173" t="s">
        <v>24</v>
      </c>
      <c r="B184" s="174"/>
      <c r="C184" s="175"/>
      <c r="D184" s="142">
        <f>SUM(D177:D183)</f>
        <v>800</v>
      </c>
      <c r="E184" s="49">
        <f>SUM(E177:E183)</f>
        <v>23.628300000000003</v>
      </c>
      <c r="F184" s="50">
        <f>SUM(F177:F183)</f>
        <v>21.671499999999998</v>
      </c>
      <c r="G184" s="50">
        <f>SUM(G177:G183)</f>
        <v>95.032699999999991</v>
      </c>
      <c r="H184" s="51">
        <f>SUM(H177:H183)</f>
        <v>683.29</v>
      </c>
      <c r="I184" s="16"/>
    </row>
    <row r="185" spans="1:246" ht="16.5" customHeight="1" thickBot="1">
      <c r="A185" s="173" t="s">
        <v>25</v>
      </c>
      <c r="B185" s="174"/>
      <c r="C185" s="174"/>
      <c r="D185" s="241"/>
      <c r="E185" s="49">
        <f>E175+E184</f>
        <v>42.712700000000005</v>
      </c>
      <c r="F185" s="50">
        <f>F175+F184</f>
        <v>45.87590909090909</v>
      </c>
      <c r="G185" s="50">
        <f>G175+G184</f>
        <v>158.04640909090909</v>
      </c>
      <c r="H185" s="51">
        <f>H175+H184</f>
        <v>1231.5118181818182</v>
      </c>
      <c r="I185" s="16"/>
    </row>
    <row r="186" spans="1:246" ht="15.75" customHeight="1">
      <c r="A186" s="66"/>
      <c r="B186" s="66"/>
      <c r="C186" s="66"/>
      <c r="D186" s="67"/>
      <c r="E186" s="63"/>
      <c r="F186" s="64"/>
      <c r="G186" s="64"/>
      <c r="H186" s="64"/>
      <c r="I186" s="66"/>
    </row>
    <row r="187" spans="1:246" ht="15.75" customHeight="1">
      <c r="A187" s="193" t="s">
        <v>51</v>
      </c>
      <c r="B187" s="193"/>
      <c r="C187" s="193"/>
      <c r="D187" s="60"/>
      <c r="E187" s="65"/>
      <c r="F187" s="65"/>
      <c r="G187" s="65"/>
      <c r="H187" s="65"/>
      <c r="I187" s="65"/>
      <c r="IH187" s="61"/>
      <c r="II187" s="61"/>
      <c r="IJ187" s="61"/>
      <c r="IK187" s="61"/>
      <c r="IL187" s="61"/>
    </row>
    <row r="188" spans="1:246" ht="16.5" customHeight="1" thickBot="1">
      <c r="A188" s="193" t="s">
        <v>84</v>
      </c>
      <c r="B188" s="193"/>
      <c r="C188" s="193"/>
      <c r="D188" s="60"/>
      <c r="E188" s="65"/>
      <c r="F188" s="65"/>
      <c r="G188" s="65"/>
      <c r="H188" s="65"/>
      <c r="I188" s="65"/>
    </row>
    <row r="189" spans="1:246" ht="17.7" customHeight="1" thickBot="1">
      <c r="A189" s="212" t="s">
        <v>59</v>
      </c>
      <c r="B189" s="213"/>
      <c r="C189" s="213"/>
      <c r="D189" s="213"/>
      <c r="E189" s="213"/>
      <c r="F189" s="213"/>
      <c r="G189" s="213"/>
      <c r="H189" s="213"/>
      <c r="I189" s="214"/>
    </row>
    <row r="190" spans="1:246" ht="16.5" customHeight="1">
      <c r="A190" s="215" t="s">
        <v>3</v>
      </c>
      <c r="B190" s="216"/>
      <c r="C190" s="217"/>
      <c r="D190" s="203" t="s">
        <v>4</v>
      </c>
      <c r="E190" s="234" t="s">
        <v>5</v>
      </c>
      <c r="F190" s="235"/>
      <c r="G190" s="235"/>
      <c r="H190" s="236" t="s">
        <v>6</v>
      </c>
      <c r="I190" s="203" t="s">
        <v>7</v>
      </c>
    </row>
    <row r="191" spans="1:246" ht="15.6" customHeight="1" thickBot="1">
      <c r="A191" s="218"/>
      <c r="B191" s="219"/>
      <c r="C191" s="220"/>
      <c r="D191" s="204"/>
      <c r="E191" s="74" t="s">
        <v>8</v>
      </c>
      <c r="F191" s="72" t="s">
        <v>9</v>
      </c>
      <c r="G191" s="72" t="s">
        <v>10</v>
      </c>
      <c r="H191" s="208"/>
      <c r="I191" s="233"/>
    </row>
    <row r="192" spans="1:246" s="61" customFormat="1" ht="15.75" customHeight="1" thickBot="1">
      <c r="A192" s="212" t="s">
        <v>11</v>
      </c>
      <c r="B192" s="213"/>
      <c r="C192" s="213"/>
      <c r="D192" s="213"/>
      <c r="E192" s="213"/>
      <c r="F192" s="213"/>
      <c r="G192" s="213"/>
      <c r="H192" s="213"/>
      <c r="I192" s="214"/>
      <c r="HP192" s="68"/>
      <c r="HQ192" s="68"/>
      <c r="HR192" s="68"/>
      <c r="HS192" s="68"/>
      <c r="HT192" s="68"/>
      <c r="HU192" s="68"/>
      <c r="HV192" s="68"/>
      <c r="HW192" s="68"/>
      <c r="HX192" s="68"/>
      <c r="HY192" s="68"/>
      <c r="HZ192" s="68"/>
      <c r="IA192" s="68"/>
      <c r="IB192" s="68"/>
      <c r="IC192" s="68"/>
      <c r="ID192" s="68"/>
      <c r="IE192" s="68"/>
      <c r="IF192" s="68"/>
      <c r="IG192" s="68"/>
    </row>
    <row r="193" spans="1:246" ht="15.75" customHeight="1">
      <c r="A193" s="186" t="s">
        <v>79</v>
      </c>
      <c r="B193" s="187"/>
      <c r="C193" s="188"/>
      <c r="D193" s="149">
        <v>100</v>
      </c>
      <c r="E193" s="40">
        <v>8.27</v>
      </c>
      <c r="F193" s="41">
        <v>9.1199999999999992</v>
      </c>
      <c r="G193" s="42">
        <f>7.16/55*60</f>
        <v>7.8109090909090906</v>
      </c>
      <c r="H193" s="147">
        <v>168.71</v>
      </c>
      <c r="I193" s="19">
        <v>268</v>
      </c>
    </row>
    <row r="194" spans="1:246" s="121" customFormat="1" ht="15.75" customHeight="1">
      <c r="A194" s="182" t="s">
        <v>72</v>
      </c>
      <c r="B194" s="183"/>
      <c r="C194" s="189"/>
      <c r="D194" s="3">
        <v>180</v>
      </c>
      <c r="E194" s="11">
        <f>36.78/1000*150</f>
        <v>5.5170000000000003</v>
      </c>
      <c r="F194" s="12">
        <f>30.1/1000*150</f>
        <v>4.5150000000000006</v>
      </c>
      <c r="G194" s="13">
        <f>176.3/1000*150</f>
        <v>26.445</v>
      </c>
      <c r="H194" s="104">
        <f>1123/1000*150</f>
        <v>168.45</v>
      </c>
      <c r="I194" s="7">
        <v>309</v>
      </c>
      <c r="IH194" s="122"/>
      <c r="II194" s="122"/>
      <c r="IJ194" s="122"/>
      <c r="IK194" s="122"/>
      <c r="IL194" s="122"/>
    </row>
    <row r="195" spans="1:246" ht="15.75" customHeight="1">
      <c r="A195" s="182" t="s">
        <v>34</v>
      </c>
      <c r="B195" s="183"/>
      <c r="C195" s="189"/>
      <c r="D195" s="3">
        <v>30</v>
      </c>
      <c r="E195" s="11">
        <v>2.37</v>
      </c>
      <c r="F195" s="12">
        <v>0.30000000000000004</v>
      </c>
      <c r="G195" s="13">
        <v>14.49</v>
      </c>
      <c r="H195" s="105">
        <v>70.5</v>
      </c>
      <c r="I195" s="7" t="s">
        <v>15</v>
      </c>
    </row>
    <row r="196" spans="1:246" ht="16.5" customHeight="1">
      <c r="A196" s="182" t="s">
        <v>16</v>
      </c>
      <c r="B196" s="183"/>
      <c r="C196" s="189"/>
      <c r="D196" s="3">
        <v>30</v>
      </c>
      <c r="E196" s="11">
        <v>1.98</v>
      </c>
      <c r="F196" s="12">
        <v>0.36</v>
      </c>
      <c r="G196" s="13">
        <v>10.02</v>
      </c>
      <c r="H196" s="104">
        <v>52.2</v>
      </c>
      <c r="I196" s="7" t="s">
        <v>15</v>
      </c>
    </row>
    <row r="197" spans="1:246" ht="16.5" customHeight="1" thickBot="1">
      <c r="A197" s="190" t="s">
        <v>40</v>
      </c>
      <c r="B197" s="191"/>
      <c r="C197" s="192"/>
      <c r="D197" s="35">
        <v>180</v>
      </c>
      <c r="E197" s="36">
        <v>0.12</v>
      </c>
      <c r="F197" s="37">
        <v>0.02</v>
      </c>
      <c r="G197" s="38">
        <v>10.199999999999999</v>
      </c>
      <c r="H197" s="148">
        <v>41</v>
      </c>
      <c r="I197" s="39">
        <v>376</v>
      </c>
      <c r="HY197" s="61"/>
      <c r="HZ197" s="61"/>
      <c r="IA197" s="61"/>
      <c r="IB197" s="61"/>
      <c r="IC197" s="61"/>
      <c r="ID197" s="61"/>
      <c r="IE197" s="61"/>
      <c r="IF197" s="61"/>
      <c r="IG197" s="61"/>
    </row>
    <row r="198" spans="1:246" ht="18" customHeight="1" thickBot="1">
      <c r="A198" s="173" t="s">
        <v>18</v>
      </c>
      <c r="B198" s="174"/>
      <c r="C198" s="241"/>
      <c r="D198" s="48">
        <f>SUM(D193:D197)</f>
        <v>520</v>
      </c>
      <c r="E198" s="49">
        <f>SUM(E193:E197)</f>
        <v>18.257000000000001</v>
      </c>
      <c r="F198" s="50">
        <f>SUM(F193:F197)</f>
        <v>14.315</v>
      </c>
      <c r="G198" s="50">
        <f>SUM(G193:G197)</f>
        <v>68.965909090909093</v>
      </c>
      <c r="H198" s="51">
        <f>SUM(H193:H197)</f>
        <v>500.85999999999996</v>
      </c>
      <c r="I198" s="16"/>
      <c r="HY198" s="61"/>
      <c r="HZ198" s="61"/>
      <c r="IA198" s="61"/>
      <c r="IB198" s="61"/>
      <c r="IC198" s="61"/>
      <c r="ID198" s="61"/>
      <c r="IE198" s="61"/>
      <c r="IF198" s="61"/>
      <c r="IG198" s="61"/>
    </row>
    <row r="199" spans="1:246" ht="16.5" customHeight="1" thickBot="1">
      <c r="A199" s="212" t="s">
        <v>19</v>
      </c>
      <c r="B199" s="213"/>
      <c r="C199" s="213"/>
      <c r="D199" s="213"/>
      <c r="E199" s="213"/>
      <c r="F199" s="213"/>
      <c r="G199" s="213"/>
      <c r="H199" s="213"/>
      <c r="I199" s="214"/>
      <c r="HY199" s="61"/>
      <c r="HZ199" s="61"/>
      <c r="IA199" s="61"/>
      <c r="IB199" s="61"/>
      <c r="IC199" s="61"/>
      <c r="ID199" s="61"/>
      <c r="IE199" s="61"/>
      <c r="IF199" s="61"/>
      <c r="IG199" s="61"/>
    </row>
    <row r="200" spans="1:246" ht="16.350000000000001" customHeight="1">
      <c r="A200" s="315" t="s">
        <v>48</v>
      </c>
      <c r="B200" s="316"/>
      <c r="C200" s="317"/>
      <c r="D200" s="166">
        <v>250</v>
      </c>
      <c r="E200" s="94">
        <v>1.87</v>
      </c>
      <c r="F200" s="95">
        <v>2.2599999999999998</v>
      </c>
      <c r="G200" s="95">
        <v>13.5</v>
      </c>
      <c r="H200" s="96">
        <v>91.2</v>
      </c>
      <c r="I200" s="19">
        <v>101</v>
      </c>
      <c r="HY200" s="61"/>
      <c r="HZ200" s="61"/>
      <c r="IA200" s="61"/>
      <c r="IB200" s="61"/>
      <c r="IC200" s="61"/>
      <c r="ID200" s="61"/>
      <c r="IE200" s="61"/>
      <c r="IF200" s="61"/>
      <c r="IG200" s="61"/>
    </row>
    <row r="201" spans="1:246" ht="15" customHeight="1">
      <c r="A201" s="182" t="s">
        <v>42</v>
      </c>
      <c r="B201" s="183"/>
      <c r="C201" s="184"/>
      <c r="D201" s="3">
        <v>230</v>
      </c>
      <c r="E201" s="4">
        <v>12.5</v>
      </c>
      <c r="F201" s="5">
        <v>11.17</v>
      </c>
      <c r="G201" s="5">
        <v>12.9</v>
      </c>
      <c r="H201" s="6">
        <v>202</v>
      </c>
      <c r="I201" s="7">
        <v>292</v>
      </c>
    </row>
    <row r="202" spans="1:246" ht="15.75" customHeight="1">
      <c r="A202" s="221" t="s">
        <v>61</v>
      </c>
      <c r="B202" s="222"/>
      <c r="C202" s="284"/>
      <c r="D202" s="25">
        <v>30</v>
      </c>
      <c r="E202" s="11">
        <f>13.12/1000*30</f>
        <v>0.39360000000000001</v>
      </c>
      <c r="F202" s="12">
        <f>32.49/1000*30</f>
        <v>0.97470000000000012</v>
      </c>
      <c r="G202" s="12">
        <v>5.0747999999999998</v>
      </c>
      <c r="H202" s="20">
        <f>604/1000*30</f>
        <v>18.12</v>
      </c>
      <c r="I202" s="21"/>
      <c r="IH202" s="61"/>
      <c r="II202" s="61"/>
      <c r="IJ202" s="61"/>
      <c r="IK202" s="61"/>
      <c r="IL202" s="61"/>
    </row>
    <row r="203" spans="1:246" ht="15.75" customHeight="1">
      <c r="A203" s="285" t="s">
        <v>23</v>
      </c>
      <c r="B203" s="286"/>
      <c r="C203" s="287"/>
      <c r="D203" s="33">
        <v>180</v>
      </c>
      <c r="E203" s="34">
        <f>2.2/1000*180</f>
        <v>0.39600000000000002</v>
      </c>
      <c r="F203" s="22">
        <f>0.1/1000*180</f>
        <v>1.8000000000000002E-2</v>
      </c>
      <c r="G203" s="22">
        <f>138.84/1000*180</f>
        <v>24.991199999999999</v>
      </c>
      <c r="H203" s="23">
        <f>565/1000*180</f>
        <v>101.69999999999999</v>
      </c>
      <c r="I203" s="24">
        <v>372</v>
      </c>
      <c r="IH203" s="61"/>
      <c r="II203" s="61"/>
      <c r="IJ203" s="61"/>
      <c r="IK203" s="61"/>
      <c r="IL203" s="61"/>
    </row>
    <row r="204" spans="1:246" ht="16.5" customHeight="1">
      <c r="A204" s="182" t="s">
        <v>34</v>
      </c>
      <c r="B204" s="183"/>
      <c r="C204" s="184"/>
      <c r="D204" s="3">
        <v>30</v>
      </c>
      <c r="E204" s="11">
        <v>2.37</v>
      </c>
      <c r="F204" s="12">
        <v>0.30000000000000004</v>
      </c>
      <c r="G204" s="12">
        <v>14.49</v>
      </c>
      <c r="H204" s="6">
        <v>70.5</v>
      </c>
      <c r="I204" s="7" t="s">
        <v>15</v>
      </c>
    </row>
    <row r="205" spans="1:246" ht="16.5" customHeight="1" thickBot="1">
      <c r="A205" s="238" t="s">
        <v>16</v>
      </c>
      <c r="B205" s="239"/>
      <c r="C205" s="283"/>
      <c r="D205" s="43">
        <v>30</v>
      </c>
      <c r="E205" s="44">
        <v>1.98</v>
      </c>
      <c r="F205" s="45">
        <v>0.36</v>
      </c>
      <c r="G205" s="45">
        <v>10.02</v>
      </c>
      <c r="H205" s="46">
        <v>52.2</v>
      </c>
      <c r="I205" s="47" t="s">
        <v>15</v>
      </c>
      <c r="HY205" s="61"/>
      <c r="HZ205" s="61"/>
      <c r="IA205" s="61"/>
      <c r="IB205" s="61"/>
      <c r="IC205" s="61"/>
      <c r="ID205" s="61"/>
      <c r="IE205" s="61"/>
      <c r="IF205" s="61"/>
      <c r="IG205" s="61"/>
    </row>
    <row r="206" spans="1:246" ht="15.75" customHeight="1" thickBot="1">
      <c r="A206" s="173" t="s">
        <v>24</v>
      </c>
      <c r="B206" s="174"/>
      <c r="C206" s="175"/>
      <c r="D206" s="85">
        <f>SUM(D200:D205)</f>
        <v>750</v>
      </c>
      <c r="E206" s="49">
        <f>SUM(E200:E205)</f>
        <v>19.509600000000002</v>
      </c>
      <c r="F206" s="50">
        <f>SUM(F200:F205)</f>
        <v>15.082700000000001</v>
      </c>
      <c r="G206" s="50">
        <f>SUM(G200:G205)</f>
        <v>80.975999999999985</v>
      </c>
      <c r="H206" s="51">
        <f>SUM(H200:H205)</f>
        <v>535.72</v>
      </c>
      <c r="I206" s="16"/>
      <c r="IH206" s="61"/>
      <c r="II206" s="61"/>
      <c r="IJ206" s="61"/>
      <c r="IK206" s="61"/>
      <c r="IL206" s="61"/>
    </row>
    <row r="207" spans="1:246" ht="15.75" customHeight="1" thickBot="1">
      <c r="A207" s="173" t="s">
        <v>25</v>
      </c>
      <c r="B207" s="174"/>
      <c r="C207" s="174"/>
      <c r="D207" s="241"/>
      <c r="E207" s="117">
        <f>E198+E206</f>
        <v>37.766600000000004</v>
      </c>
      <c r="F207" s="116">
        <f>F198+F206</f>
        <v>29.3977</v>
      </c>
      <c r="G207" s="116">
        <f>G198+G206</f>
        <v>149.94190909090906</v>
      </c>
      <c r="H207" s="119">
        <f>H198+H206</f>
        <v>1036.58</v>
      </c>
      <c r="I207" s="16"/>
    </row>
    <row r="208" spans="1:246" s="121" customFormat="1" ht="15.6" customHeight="1">
      <c r="A208" s="66"/>
      <c r="B208" s="66"/>
      <c r="C208" s="66"/>
      <c r="D208" s="67"/>
      <c r="E208" s="63"/>
      <c r="F208" s="64"/>
      <c r="G208" s="64"/>
      <c r="H208" s="64"/>
      <c r="I208" s="66"/>
    </row>
    <row r="209" spans="1:246" ht="15" customHeight="1">
      <c r="A209" s="193" t="s">
        <v>51</v>
      </c>
      <c r="B209" s="193"/>
      <c r="C209" s="193"/>
      <c r="D209" s="60"/>
      <c r="E209" s="58"/>
      <c r="F209" s="59"/>
      <c r="G209" s="59"/>
      <c r="H209" s="59"/>
      <c r="I209" s="59"/>
      <c r="IH209" s="61"/>
      <c r="II209" s="61"/>
      <c r="IJ209" s="61"/>
      <c r="IK209" s="61"/>
      <c r="IL209" s="61"/>
    </row>
    <row r="210" spans="1:246" ht="15.6" customHeight="1" thickBot="1">
      <c r="A210" s="193" t="s">
        <v>84</v>
      </c>
      <c r="B210" s="193"/>
      <c r="C210" s="193"/>
      <c r="D210" s="60"/>
      <c r="E210" s="58"/>
      <c r="F210" s="59"/>
      <c r="G210" s="59"/>
      <c r="H210" s="59"/>
      <c r="I210" s="59"/>
    </row>
    <row r="211" spans="1:246" ht="15.75" customHeight="1" thickBot="1">
      <c r="A211" s="212" t="s">
        <v>62</v>
      </c>
      <c r="B211" s="213"/>
      <c r="C211" s="213"/>
      <c r="D211" s="213"/>
      <c r="E211" s="213"/>
      <c r="F211" s="213"/>
      <c r="G211" s="213"/>
      <c r="H211" s="213"/>
      <c r="I211" s="214"/>
      <c r="IH211" s="61"/>
      <c r="II211" s="61"/>
      <c r="IJ211" s="61"/>
      <c r="IK211" s="61"/>
      <c r="IL211" s="61"/>
    </row>
    <row r="212" spans="1:246" ht="15.75" customHeight="1">
      <c r="A212" s="197" t="s">
        <v>3</v>
      </c>
      <c r="B212" s="198"/>
      <c r="C212" s="199"/>
      <c r="D212" s="203" t="s">
        <v>4</v>
      </c>
      <c r="E212" s="234" t="s">
        <v>5</v>
      </c>
      <c r="F212" s="235"/>
      <c r="G212" s="235"/>
      <c r="H212" s="236" t="s">
        <v>6</v>
      </c>
      <c r="I212" s="203" t="s">
        <v>7</v>
      </c>
      <c r="HY212" s="61"/>
      <c r="HZ212" s="61"/>
      <c r="IA212" s="61"/>
      <c r="IB212" s="61"/>
      <c r="IC212" s="61"/>
      <c r="ID212" s="61"/>
      <c r="IE212" s="61"/>
      <c r="IF212" s="61"/>
      <c r="IG212" s="61"/>
    </row>
    <row r="213" spans="1:246" ht="15.75" customHeight="1" thickBot="1">
      <c r="A213" s="280"/>
      <c r="B213" s="281"/>
      <c r="C213" s="282"/>
      <c r="D213" s="233"/>
      <c r="E213" s="74" t="s">
        <v>8</v>
      </c>
      <c r="F213" s="72" t="s">
        <v>9</v>
      </c>
      <c r="G213" s="72" t="s">
        <v>10</v>
      </c>
      <c r="H213" s="208"/>
      <c r="I213" s="233"/>
    </row>
    <row r="214" spans="1:246" ht="16.5" customHeight="1" thickBot="1">
      <c r="A214" s="176" t="s">
        <v>11</v>
      </c>
      <c r="B214" s="177"/>
      <c r="C214" s="177"/>
      <c r="D214" s="177"/>
      <c r="E214" s="177"/>
      <c r="F214" s="177"/>
      <c r="G214" s="177"/>
      <c r="H214" s="177"/>
      <c r="I214" s="178"/>
    </row>
    <row r="215" spans="1:246" ht="17.25" customHeight="1">
      <c r="A215" s="179" t="s">
        <v>63</v>
      </c>
      <c r="B215" s="180"/>
      <c r="C215" s="181"/>
      <c r="D215" s="1">
        <v>170</v>
      </c>
      <c r="E215" s="98">
        <v>11.505599999999999</v>
      </c>
      <c r="F215" s="97">
        <v>13.532</v>
      </c>
      <c r="G215" s="97">
        <v>28.995200000000001</v>
      </c>
      <c r="H215" s="102">
        <v>284.24</v>
      </c>
      <c r="I215" s="19">
        <v>204</v>
      </c>
    </row>
    <row r="216" spans="1:246" s="61" customFormat="1" ht="14.25" customHeight="1">
      <c r="A216" s="182" t="s">
        <v>34</v>
      </c>
      <c r="B216" s="183"/>
      <c r="C216" s="184"/>
      <c r="D216" s="3">
        <v>30</v>
      </c>
      <c r="E216" s="11">
        <v>2.37</v>
      </c>
      <c r="F216" s="12">
        <v>0.30000000000000004</v>
      </c>
      <c r="G216" s="12">
        <v>14.49</v>
      </c>
      <c r="H216" s="6">
        <v>70.5</v>
      </c>
      <c r="I216" s="7" t="s">
        <v>15</v>
      </c>
    </row>
    <row r="217" spans="1:246" ht="16.5" customHeight="1">
      <c r="A217" s="182" t="s">
        <v>12</v>
      </c>
      <c r="B217" s="183"/>
      <c r="C217" s="184"/>
      <c r="D217" s="3">
        <v>180</v>
      </c>
      <c r="E217" s="4">
        <v>2.85</v>
      </c>
      <c r="F217" s="5">
        <v>2.41</v>
      </c>
      <c r="G217" s="5">
        <v>14.36</v>
      </c>
      <c r="H217" s="6">
        <v>91</v>
      </c>
      <c r="I217" s="7">
        <v>395</v>
      </c>
    </row>
    <row r="218" spans="1:246" ht="15.75" customHeight="1" thickBot="1">
      <c r="A218" s="170" t="s">
        <v>17</v>
      </c>
      <c r="B218" s="171"/>
      <c r="C218" s="172"/>
      <c r="D218" s="80">
        <v>130</v>
      </c>
      <c r="E218" s="81">
        <f>2.85/190*130</f>
        <v>1.9500000000000002</v>
      </c>
      <c r="F218" s="82">
        <f>0.95/190*130</f>
        <v>0.65</v>
      </c>
      <c r="G218" s="82">
        <f>39.9/190*130</f>
        <v>27.3</v>
      </c>
      <c r="H218" s="83">
        <f>182.4/190*110</f>
        <v>105.60000000000001</v>
      </c>
      <c r="I218" s="84">
        <v>338</v>
      </c>
    </row>
    <row r="219" spans="1:246" ht="15.75" customHeight="1" thickBot="1">
      <c r="A219" s="173" t="s">
        <v>18</v>
      </c>
      <c r="B219" s="174"/>
      <c r="C219" s="175"/>
      <c r="D219" s="85">
        <f>D215+D216+D218+187</f>
        <v>517</v>
      </c>
      <c r="E219" s="49">
        <f>SUM(E215:E218)</f>
        <v>18.675599999999999</v>
      </c>
      <c r="F219" s="50">
        <f>SUM(F215:F218)</f>
        <v>16.891999999999999</v>
      </c>
      <c r="G219" s="50">
        <f>SUM(G215:G218)</f>
        <v>85.145200000000003</v>
      </c>
      <c r="H219" s="51">
        <f>SUM(H215:H218)</f>
        <v>551.34</v>
      </c>
      <c r="I219" s="16"/>
    </row>
    <row r="220" spans="1:246" ht="15.75" customHeight="1" thickBot="1">
      <c r="A220" s="302" t="s">
        <v>19</v>
      </c>
      <c r="B220" s="303"/>
      <c r="C220" s="303"/>
      <c r="D220" s="303"/>
      <c r="E220" s="303"/>
      <c r="F220" s="303"/>
      <c r="G220" s="303"/>
      <c r="H220" s="303"/>
      <c r="I220" s="304"/>
    </row>
    <row r="221" spans="1:246" ht="15.75" customHeight="1">
      <c r="A221" s="186" t="s">
        <v>32</v>
      </c>
      <c r="B221" s="187"/>
      <c r="C221" s="301"/>
      <c r="D221" s="166">
        <v>250</v>
      </c>
      <c r="E221" s="319">
        <f>7.21/1000*250</f>
        <v>1.8025</v>
      </c>
      <c r="F221" s="157">
        <f>19.68/1000*250</f>
        <v>4.92</v>
      </c>
      <c r="G221" s="157">
        <f>43.73/1000*250</f>
        <v>10.932499999999999</v>
      </c>
      <c r="H221" s="322">
        <f>415/1000*250</f>
        <v>103.75</v>
      </c>
      <c r="I221" s="19">
        <v>82</v>
      </c>
    </row>
    <row r="222" spans="1:246" ht="15.75" customHeight="1">
      <c r="A222" s="182" t="s">
        <v>80</v>
      </c>
      <c r="B222" s="183"/>
      <c r="C222" s="184"/>
      <c r="D222" s="3">
        <v>180</v>
      </c>
      <c r="E222" s="11">
        <f>30.53/1000*150</f>
        <v>4.5795000000000003</v>
      </c>
      <c r="F222" s="12">
        <f>33.38/1000*150</f>
        <v>5.0069999999999997</v>
      </c>
      <c r="G222" s="12">
        <f>136.81/1000*150</f>
        <v>20.521500000000003</v>
      </c>
      <c r="H222" s="20">
        <f>970/1000*150</f>
        <v>145.5</v>
      </c>
      <c r="I222" s="7">
        <v>303</v>
      </c>
    </row>
    <row r="223" spans="1:246" ht="15.6">
      <c r="A223" s="221" t="s">
        <v>64</v>
      </c>
      <c r="B223" s="222"/>
      <c r="C223" s="284"/>
      <c r="D223" s="141">
        <v>100</v>
      </c>
      <c r="E223" s="140">
        <v>12.83</v>
      </c>
      <c r="F223" s="138">
        <v>14.8</v>
      </c>
      <c r="G223" s="138">
        <v>112.34</v>
      </c>
      <c r="H223" s="139">
        <v>237</v>
      </c>
      <c r="I223" s="21">
        <v>279</v>
      </c>
    </row>
    <row r="224" spans="1:246" ht="15.6" customHeight="1">
      <c r="A224" s="182" t="s">
        <v>38</v>
      </c>
      <c r="B224" s="183"/>
      <c r="C224" s="184"/>
      <c r="D224" s="25">
        <v>30</v>
      </c>
      <c r="E224" s="11">
        <f>12.33/1000*60</f>
        <v>0.73980000000000001</v>
      </c>
      <c r="F224" s="12">
        <f>0.94/1000*60</f>
        <v>5.6399999999999999E-2</v>
      </c>
      <c r="G224" s="12">
        <f>114.76/1000*60</f>
        <v>6.8856000000000002</v>
      </c>
      <c r="H224" s="20">
        <f>817/1000*60</f>
        <v>49.019999999999996</v>
      </c>
      <c r="I224" s="21"/>
    </row>
    <row r="225" spans="1:9" ht="15.6" customHeight="1">
      <c r="A225" s="227" t="s">
        <v>41</v>
      </c>
      <c r="B225" s="228"/>
      <c r="C225" s="298"/>
      <c r="D225" s="99">
        <v>50</v>
      </c>
      <c r="E225" s="8">
        <v>4.71</v>
      </c>
      <c r="F225" s="9">
        <v>7.42</v>
      </c>
      <c r="G225" s="9">
        <v>25.58</v>
      </c>
      <c r="H225" s="10">
        <v>188</v>
      </c>
      <c r="I225" s="21" t="s">
        <v>15</v>
      </c>
    </row>
    <row r="226" spans="1:9" ht="15.75" customHeight="1">
      <c r="A226" s="227" t="s">
        <v>40</v>
      </c>
      <c r="B226" s="228"/>
      <c r="C226" s="298"/>
      <c r="D226" s="99">
        <v>180</v>
      </c>
      <c r="E226" s="8">
        <v>0.12</v>
      </c>
      <c r="F226" s="9">
        <v>0.02</v>
      </c>
      <c r="G226" s="9">
        <v>10.199999999999999</v>
      </c>
      <c r="H226" s="10">
        <v>41</v>
      </c>
      <c r="I226" s="21">
        <v>376</v>
      </c>
    </row>
    <row r="227" spans="1:9" ht="15.6">
      <c r="A227" s="182" t="s">
        <v>34</v>
      </c>
      <c r="B227" s="183"/>
      <c r="C227" s="184"/>
      <c r="D227" s="3">
        <v>30</v>
      </c>
      <c r="E227" s="11">
        <v>2.37</v>
      </c>
      <c r="F227" s="12">
        <v>0.30000000000000004</v>
      </c>
      <c r="G227" s="12">
        <v>14.49</v>
      </c>
      <c r="H227" s="6">
        <v>70.5</v>
      </c>
      <c r="I227" s="7" t="s">
        <v>15</v>
      </c>
    </row>
    <row r="228" spans="1:9" ht="16.2" thickBot="1">
      <c r="A228" s="288" t="s">
        <v>16</v>
      </c>
      <c r="B228" s="289"/>
      <c r="C228" s="318"/>
      <c r="D228" s="321">
        <v>30</v>
      </c>
      <c r="E228" s="320">
        <v>1.98</v>
      </c>
      <c r="F228" s="160">
        <v>0.36</v>
      </c>
      <c r="G228" s="160">
        <v>10.02</v>
      </c>
      <c r="H228" s="323">
        <v>52.2</v>
      </c>
      <c r="I228" s="39" t="s">
        <v>15</v>
      </c>
    </row>
    <row r="229" spans="1:9" ht="16.2" thickBot="1">
      <c r="A229" s="209" t="s">
        <v>24</v>
      </c>
      <c r="B229" s="210"/>
      <c r="C229" s="211"/>
      <c r="D229" s="153">
        <f>SUM(D221:D228)</f>
        <v>850</v>
      </c>
      <c r="E229" s="117">
        <f>SUM(E221:E228)</f>
        <v>29.131800000000002</v>
      </c>
      <c r="F229" s="116">
        <f>SUM(F221:F228)</f>
        <v>32.883400000000002</v>
      </c>
      <c r="G229" s="116">
        <f>SUM(G221:G228)</f>
        <v>210.96960000000004</v>
      </c>
      <c r="H229" s="119">
        <f>SUM(H221:H228)</f>
        <v>886.97</v>
      </c>
      <c r="I229" s="52"/>
    </row>
    <row r="230" spans="1:9" ht="16.2" thickBot="1">
      <c r="A230" s="173" t="s">
        <v>25</v>
      </c>
      <c r="B230" s="174"/>
      <c r="C230" s="174"/>
      <c r="D230" s="241"/>
      <c r="E230" s="49">
        <f>E219+E229</f>
        <v>47.807400000000001</v>
      </c>
      <c r="F230" s="50">
        <f>F219+F229</f>
        <v>49.775400000000005</v>
      </c>
      <c r="G230" s="50">
        <f>G219+G229</f>
        <v>296.11480000000006</v>
      </c>
      <c r="H230" s="51">
        <f>H219+H229</f>
        <v>1438.31</v>
      </c>
      <c r="I230" s="16"/>
    </row>
    <row r="231" spans="1:9">
      <c r="A231" s="66"/>
      <c r="B231" s="66"/>
      <c r="C231" s="66"/>
      <c r="D231" s="67"/>
      <c r="E231" s="63"/>
      <c r="F231" s="64"/>
      <c r="G231" s="64"/>
      <c r="H231" s="64"/>
      <c r="I231" s="66"/>
    </row>
    <row r="232" spans="1:9" ht="18">
      <c r="A232" s="169" t="s">
        <v>73</v>
      </c>
      <c r="B232" s="169"/>
      <c r="C232" s="169"/>
      <c r="D232" s="169"/>
      <c r="E232" s="169"/>
      <c r="F232" s="169"/>
      <c r="G232" s="169"/>
      <c r="H232" s="169"/>
      <c r="I232" s="169"/>
    </row>
    <row r="233" spans="1:9" ht="18">
      <c r="A233" s="185" t="s">
        <v>91</v>
      </c>
      <c r="B233" s="185"/>
      <c r="C233" s="185"/>
      <c r="D233" s="185"/>
      <c r="E233" s="185"/>
      <c r="F233" s="185"/>
      <c r="G233" s="185"/>
      <c r="H233" s="185"/>
      <c r="I233" s="185"/>
    </row>
    <row r="234" spans="1:9" ht="18">
      <c r="A234" s="120" t="s">
        <v>68</v>
      </c>
      <c r="B234" s="120"/>
      <c r="C234" s="120"/>
      <c r="D234" s="120"/>
      <c r="E234" s="120"/>
      <c r="F234" s="120"/>
    </row>
    <row r="236" spans="1:9" ht="15.6">
      <c r="A236" s="168" t="s">
        <v>66</v>
      </c>
      <c r="B236" s="168"/>
      <c r="C236" s="168"/>
      <c r="D236" s="168"/>
      <c r="E236" s="168"/>
      <c r="F236" s="168"/>
      <c r="G236" s="168"/>
      <c r="H236" s="168"/>
      <c r="I236" s="168"/>
    </row>
    <row r="238" spans="1:9" ht="15.6">
      <c r="A238" s="168" t="s">
        <v>67</v>
      </c>
      <c r="B238" s="168"/>
      <c r="C238" s="168"/>
      <c r="D238" s="168"/>
      <c r="E238" s="168"/>
      <c r="F238" s="168"/>
      <c r="G238" s="168"/>
      <c r="H238" s="168"/>
      <c r="I238" s="168"/>
    </row>
    <row r="241" spans="4:9" ht="17.399999999999999">
      <c r="D241" s="62"/>
      <c r="E241" s="69"/>
      <c r="F241" s="69"/>
      <c r="G241" s="69"/>
      <c r="H241" s="69"/>
      <c r="I241" s="70"/>
    </row>
  </sheetData>
  <sheetProtection selectLockedCells="1" selectUnlockedCells="1"/>
  <mergeCells count="255">
    <mergeCell ref="A6:I6"/>
    <mergeCell ref="A54:C54"/>
    <mergeCell ref="A55:C55"/>
    <mergeCell ref="A56:C56"/>
    <mergeCell ref="A1:C1"/>
    <mergeCell ref="A2:C2"/>
    <mergeCell ref="A3:I3"/>
    <mergeCell ref="A4:C5"/>
    <mergeCell ref="D4:D5"/>
    <mergeCell ref="E4:G4"/>
    <mergeCell ref="H4:H5"/>
    <mergeCell ref="I4:I5"/>
    <mergeCell ref="A7:C7"/>
    <mergeCell ref="A8:C8"/>
    <mergeCell ref="A9:C9"/>
    <mergeCell ref="A10:C10"/>
    <mergeCell ref="A11:C11"/>
    <mergeCell ref="A12:C12"/>
    <mergeCell ref="A16:C16"/>
    <mergeCell ref="A17:C17"/>
    <mergeCell ref="A18:C18"/>
    <mergeCell ref="A19:C19"/>
    <mergeCell ref="A20:C20"/>
    <mergeCell ref="A13:C13"/>
    <mergeCell ref="A14:I14"/>
    <mergeCell ref="A15:C15"/>
    <mergeCell ref="A29:I29"/>
    <mergeCell ref="A30:C30"/>
    <mergeCell ref="A31:C31"/>
    <mergeCell ref="A32:C32"/>
    <mergeCell ref="A21:C21"/>
    <mergeCell ref="A22:D22"/>
    <mergeCell ref="A24:C24"/>
    <mergeCell ref="A25:C25"/>
    <mergeCell ref="A26:I26"/>
    <mergeCell ref="A27:C28"/>
    <mergeCell ref="D27:D28"/>
    <mergeCell ref="E27:G27"/>
    <mergeCell ref="H27:H28"/>
    <mergeCell ref="I27:I28"/>
    <mergeCell ref="A44:C44"/>
    <mergeCell ref="A33:C33"/>
    <mergeCell ref="A34:C34"/>
    <mergeCell ref="A35:C35"/>
    <mergeCell ref="A36:C36"/>
    <mergeCell ref="A37:I37"/>
    <mergeCell ref="A38:C38"/>
    <mergeCell ref="A45:C45"/>
    <mergeCell ref="A46:D46"/>
    <mergeCell ref="A39:C39"/>
    <mergeCell ref="A40:C40"/>
    <mergeCell ref="A41:C41"/>
    <mergeCell ref="A42:C42"/>
    <mergeCell ref="A43:C43"/>
    <mergeCell ref="A48:C48"/>
    <mergeCell ref="A49:C49"/>
    <mergeCell ref="A50:I50"/>
    <mergeCell ref="A51:C52"/>
    <mergeCell ref="D51:D52"/>
    <mergeCell ref="E51:G51"/>
    <mergeCell ref="H51:H52"/>
    <mergeCell ref="I51:I52"/>
    <mergeCell ref="A62:C62"/>
    <mergeCell ref="A57:C57"/>
    <mergeCell ref="A58:C58"/>
    <mergeCell ref="A63:C63"/>
    <mergeCell ref="A64:C64"/>
    <mergeCell ref="A65:C65"/>
    <mergeCell ref="A66:C66"/>
    <mergeCell ref="A59:C59"/>
    <mergeCell ref="A60:I60"/>
    <mergeCell ref="A61:C61"/>
    <mergeCell ref="A53:I53"/>
    <mergeCell ref="A75:I75"/>
    <mergeCell ref="A76:C76"/>
    <mergeCell ref="A77:C77"/>
    <mergeCell ref="A78:C78"/>
    <mergeCell ref="A67:C67"/>
    <mergeCell ref="A68:D68"/>
    <mergeCell ref="A70:C70"/>
    <mergeCell ref="A71:C71"/>
    <mergeCell ref="A72:I72"/>
    <mergeCell ref="A73:C74"/>
    <mergeCell ref="D73:D74"/>
    <mergeCell ref="E73:G73"/>
    <mergeCell ref="H73:H74"/>
    <mergeCell ref="I73:I74"/>
    <mergeCell ref="A84:C84"/>
    <mergeCell ref="A85:C85"/>
    <mergeCell ref="A87:C87"/>
    <mergeCell ref="A88:C88"/>
    <mergeCell ref="A89:C89"/>
    <mergeCell ref="A90:C90"/>
    <mergeCell ref="A79:C79"/>
    <mergeCell ref="A80:C80"/>
    <mergeCell ref="A81:C81"/>
    <mergeCell ref="A82:I82"/>
    <mergeCell ref="A83:C83"/>
    <mergeCell ref="A86:C86"/>
    <mergeCell ref="A98:I98"/>
    <mergeCell ref="A99:C99"/>
    <mergeCell ref="A100:C100"/>
    <mergeCell ref="A101:C101"/>
    <mergeCell ref="A91:D91"/>
    <mergeCell ref="A93:C93"/>
    <mergeCell ref="A94:C94"/>
    <mergeCell ref="A95:I95"/>
    <mergeCell ref="A96:C97"/>
    <mergeCell ref="D96:D97"/>
    <mergeCell ref="E96:G96"/>
    <mergeCell ref="H96:H97"/>
    <mergeCell ref="I96:I97"/>
    <mergeCell ref="A108:C108"/>
    <mergeCell ref="A109:C109"/>
    <mergeCell ref="A110:C110"/>
    <mergeCell ref="A111:C111"/>
    <mergeCell ref="A112:C112"/>
    <mergeCell ref="A113:D113"/>
    <mergeCell ref="A102:C102"/>
    <mergeCell ref="A103:C103"/>
    <mergeCell ref="A104:I104"/>
    <mergeCell ref="A105:C105"/>
    <mergeCell ref="A106:C106"/>
    <mergeCell ref="A107:C107"/>
    <mergeCell ref="A120:I120"/>
    <mergeCell ref="A121:C121"/>
    <mergeCell ref="A122:C122"/>
    <mergeCell ref="A123:C123"/>
    <mergeCell ref="A115:C115"/>
    <mergeCell ref="A116:C116"/>
    <mergeCell ref="A117:I117"/>
    <mergeCell ref="A118:C119"/>
    <mergeCell ref="D118:D119"/>
    <mergeCell ref="E118:G118"/>
    <mergeCell ref="H118:H119"/>
    <mergeCell ref="I118:I119"/>
    <mergeCell ref="A130:C130"/>
    <mergeCell ref="A131:C131"/>
    <mergeCell ref="A132:C132"/>
    <mergeCell ref="A133:C133"/>
    <mergeCell ref="A134:C134"/>
    <mergeCell ref="A135:C135"/>
    <mergeCell ref="A124:C124"/>
    <mergeCell ref="A125:C125"/>
    <mergeCell ref="A126:C126"/>
    <mergeCell ref="A127:C127"/>
    <mergeCell ref="A128:I128"/>
    <mergeCell ref="A129:C129"/>
    <mergeCell ref="A144:I144"/>
    <mergeCell ref="A145:C145"/>
    <mergeCell ref="A146:C146"/>
    <mergeCell ref="A147:C147"/>
    <mergeCell ref="A136:C136"/>
    <mergeCell ref="A137:D137"/>
    <mergeCell ref="A139:C139"/>
    <mergeCell ref="A140:C140"/>
    <mergeCell ref="A141:I141"/>
    <mergeCell ref="A142:C143"/>
    <mergeCell ref="D142:D143"/>
    <mergeCell ref="E142:G142"/>
    <mergeCell ref="H142:H143"/>
    <mergeCell ref="I142:I143"/>
    <mergeCell ref="A155:C155"/>
    <mergeCell ref="A157:C157"/>
    <mergeCell ref="A158:C158"/>
    <mergeCell ref="A159:C159"/>
    <mergeCell ref="A160:C160"/>
    <mergeCell ref="A161:D161"/>
    <mergeCell ref="A149:C149"/>
    <mergeCell ref="A150:C150"/>
    <mergeCell ref="A151:C151"/>
    <mergeCell ref="A152:I152"/>
    <mergeCell ref="A153:C153"/>
    <mergeCell ref="A154:C154"/>
    <mergeCell ref="A156:C156"/>
    <mergeCell ref="A168:I168"/>
    <mergeCell ref="A169:C169"/>
    <mergeCell ref="A170:C170"/>
    <mergeCell ref="A171:C171"/>
    <mergeCell ref="A163:C163"/>
    <mergeCell ref="A164:C164"/>
    <mergeCell ref="A165:I165"/>
    <mergeCell ref="A166:C167"/>
    <mergeCell ref="D166:D167"/>
    <mergeCell ref="E166:G166"/>
    <mergeCell ref="H166:H167"/>
    <mergeCell ref="I166:I167"/>
    <mergeCell ref="A178:C178"/>
    <mergeCell ref="A179:C179"/>
    <mergeCell ref="A180:C180"/>
    <mergeCell ref="A181:C181"/>
    <mergeCell ref="A182:C182"/>
    <mergeCell ref="A183:C183"/>
    <mergeCell ref="A172:C172"/>
    <mergeCell ref="A173:C173"/>
    <mergeCell ref="A174:C174"/>
    <mergeCell ref="A175:C175"/>
    <mergeCell ref="A176:I176"/>
    <mergeCell ref="A177:C177"/>
    <mergeCell ref="A184:C184"/>
    <mergeCell ref="A185:D185"/>
    <mergeCell ref="A187:C187"/>
    <mergeCell ref="A188:C188"/>
    <mergeCell ref="A189:I189"/>
    <mergeCell ref="A190:C191"/>
    <mergeCell ref="D190:D191"/>
    <mergeCell ref="E190:G190"/>
    <mergeCell ref="H190:H191"/>
    <mergeCell ref="I190:I191"/>
    <mergeCell ref="A198:C198"/>
    <mergeCell ref="A199:I199"/>
    <mergeCell ref="A200:C200"/>
    <mergeCell ref="A201:C201"/>
    <mergeCell ref="A202:C202"/>
    <mergeCell ref="A192:I192"/>
    <mergeCell ref="A193:C193"/>
    <mergeCell ref="A194:C194"/>
    <mergeCell ref="A195:C195"/>
    <mergeCell ref="A196:C196"/>
    <mergeCell ref="A197:C197"/>
    <mergeCell ref="A212:C213"/>
    <mergeCell ref="D212:D213"/>
    <mergeCell ref="E212:G212"/>
    <mergeCell ref="H212:H213"/>
    <mergeCell ref="I212:I213"/>
    <mergeCell ref="A203:C203"/>
    <mergeCell ref="A204:C204"/>
    <mergeCell ref="A205:C205"/>
    <mergeCell ref="A206:C206"/>
    <mergeCell ref="A207:D207"/>
    <mergeCell ref="A209:C209"/>
    <mergeCell ref="A148:C148"/>
    <mergeCell ref="A225:C225"/>
    <mergeCell ref="A232:I232"/>
    <mergeCell ref="A236:I236"/>
    <mergeCell ref="A238:I238"/>
    <mergeCell ref="A224:C224"/>
    <mergeCell ref="A226:C226"/>
    <mergeCell ref="A227:C227"/>
    <mergeCell ref="A228:C228"/>
    <mergeCell ref="A229:C229"/>
    <mergeCell ref="A230:D230"/>
    <mergeCell ref="A233:I233"/>
    <mergeCell ref="A218:C218"/>
    <mergeCell ref="A219:C219"/>
    <mergeCell ref="A220:I220"/>
    <mergeCell ref="A221:C221"/>
    <mergeCell ref="A222:C222"/>
    <mergeCell ref="A223:C223"/>
    <mergeCell ref="A214:I214"/>
    <mergeCell ref="A215:C215"/>
    <mergeCell ref="A216:C216"/>
    <mergeCell ref="A217:C217"/>
    <mergeCell ref="A210:C210"/>
    <mergeCell ref="A211:I211"/>
  </mergeCells>
  <printOptions horizontalCentered="1" verticalCentered="1"/>
  <pageMargins left="0" right="0" top="0" bottom="0" header="0" footer="0"/>
  <pageSetup paperSize="9" scale="110" firstPageNumber="0" orientation="landscape" horizontalDpi="4294967293" verticalDpi="300" r:id="rId1"/>
  <headerFooter alignWithMargins="0"/>
  <rowBreaks count="9" manualBreakCount="9">
    <brk id="23" max="8" man="1"/>
    <brk id="47" max="8" man="1"/>
    <brk id="69" max="8" man="1"/>
    <brk id="92" max="8" man="1"/>
    <brk id="114" max="8" man="1"/>
    <brk id="138" max="8" man="1"/>
    <brk id="162" max="8" man="1"/>
    <brk id="186" max="8" man="1"/>
    <brk id="20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Завтрак началка</vt:lpstr>
      <vt:lpstr>обед началка</vt:lpstr>
      <vt:lpstr>Льготники</vt:lpstr>
      <vt:lpstr>'Завтрак началка'!Область_печати</vt:lpstr>
      <vt:lpstr>Льготники!Область_печати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Admin</cp:lastModifiedBy>
  <cp:lastPrinted>2025-09-23T12:37:02Z</cp:lastPrinted>
  <dcterms:created xsi:type="dcterms:W3CDTF">2025-01-11T18:28:07Z</dcterms:created>
  <dcterms:modified xsi:type="dcterms:W3CDTF">2025-09-30T07:41:09Z</dcterms:modified>
</cp:coreProperties>
</file>