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196" tabRatio="956" firstSheet="8" activeTab="26"/>
  </bookViews>
  <sheets>
    <sheet name="Свод" sheetId="2" r:id="rId1"/>
    <sheet name="Азов" sheetId="1" r:id="rId2"/>
    <sheet name="Вольн" sheetId="3" r:id="rId3"/>
    <sheet name="З-ленин" sheetId="4" r:id="rId4"/>
    <sheet name="ЗаречКТ" sheetId="6" r:id="rId5"/>
    <sheet name="Зареч" sheetId="7" r:id="rId6"/>
    <sheet name="Изум" sheetId="8" r:id="rId7"/>
    <sheet name="Кондр" sheetId="9" r:id="rId8"/>
    <sheet name="Крым" sheetId="10" r:id="rId9"/>
    <sheet name="Лобан" sheetId="11" r:id="rId10"/>
    <sheet name="Луган" sheetId="12" r:id="rId11"/>
    <sheet name="Майск" sheetId="13" r:id="rId12"/>
    <sheet name="МайскКТ" sheetId="14" r:id="rId13"/>
    <sheet name="Масл" sheetId="15" r:id="rId14"/>
    <sheet name="Медвед" sheetId="16" r:id="rId15"/>
    <sheet name="Мирн" sheetId="17" r:id="rId16"/>
    <sheet name="Мартын" sheetId="18" r:id="rId17"/>
    <sheet name="Н-крым" sheetId="19" r:id="rId18"/>
    <sheet name="Н-степ" sheetId="20" r:id="rId19"/>
    <sheet name="Овощ" sheetId="21" r:id="rId20"/>
    <sheet name="Пахар" sheetId="22" r:id="rId21"/>
    <sheet name="Побед" sheetId="23" r:id="rId22"/>
    <sheet name="Прост" sheetId="24" r:id="rId23"/>
    <sheet name="Роск" sheetId="25" r:id="rId24"/>
    <sheet name="Рощин" sheetId="26" r:id="rId25"/>
    <sheet name="Светл" sheetId="27" r:id="rId26"/>
    <sheet name="Солен" sheetId="28" r:id="rId27"/>
    <sheet name="Стал" sheetId="29" r:id="rId28"/>
    <sheet name="Стеф" sheetId="30" r:id="rId29"/>
    <sheet name="Столб" sheetId="31" r:id="rId30"/>
    <sheet name="Табач" sheetId="32" r:id="rId31"/>
    <sheet name="Целин" sheetId="33" r:id="rId32"/>
    <sheet name="Чайк" sheetId="34" r:id="rId33"/>
    <sheet name="Ярков" sheetId="35" r:id="rId34"/>
    <sheet name="Яркопол" sheetId="36" r:id="rId35"/>
    <sheet name="Ясноп" sheetId="37" r:id="rId36"/>
    <sheet name="Лист1" sheetId="38" r:id="rId37"/>
  </sheets>
  <calcPr calcId="125725"/>
</workbook>
</file>

<file path=xl/calcChain.xml><?xml version="1.0" encoding="utf-8"?>
<calcChain xmlns="http://schemas.openxmlformats.org/spreadsheetml/2006/main">
  <c r="K38" i="2"/>
  <c r="L38"/>
  <c r="K4"/>
  <c r="L4"/>
  <c r="K5"/>
  <c r="L5"/>
  <c r="K6"/>
  <c r="L6"/>
  <c r="K7"/>
  <c r="L7"/>
  <c r="K8"/>
  <c r="L8"/>
  <c r="K9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K32"/>
  <c r="L32"/>
  <c r="K33"/>
  <c r="L33"/>
  <c r="K34"/>
  <c r="L34"/>
  <c r="K35"/>
  <c r="L35"/>
  <c r="K36"/>
  <c r="L36"/>
  <c r="K37"/>
  <c r="L37"/>
  <c r="L3"/>
  <c r="K3"/>
  <c r="DS38"/>
  <c r="DT38"/>
  <c r="FU36" l="1"/>
  <c r="FU31"/>
  <c r="FT9"/>
  <c r="FT13"/>
  <c r="FT27"/>
  <c r="FT26" l="1"/>
  <c r="AC4"/>
  <c r="AD4"/>
  <c r="AC5"/>
  <c r="AD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C36"/>
  <c r="AD36"/>
  <c r="AC37"/>
  <c r="AD37"/>
  <c r="AD3"/>
  <c r="AC3"/>
  <c r="GS38"/>
  <c r="GR38"/>
  <c r="FT29" l="1"/>
  <c r="FO29"/>
  <c r="FJ23" l="1"/>
  <c r="DI38"/>
  <c r="FU20" l="1"/>
  <c r="FR20" s="1"/>
  <c r="AF20" s="1"/>
  <c r="FO38"/>
  <c r="FU5"/>
  <c r="FR5" s="1"/>
  <c r="AF5" s="1"/>
  <c r="DG38"/>
  <c r="E4"/>
  <c r="F66" i="3" s="1"/>
  <c r="E5" i="2"/>
  <c r="E6"/>
  <c r="E7"/>
  <c r="E8"/>
  <c r="E9"/>
  <c r="F66" i="9" s="1"/>
  <c r="E10" i="2"/>
  <c r="E11"/>
  <c r="E12"/>
  <c r="E13"/>
  <c r="E14"/>
  <c r="E15"/>
  <c r="E16"/>
  <c r="E17"/>
  <c r="E18"/>
  <c r="E19"/>
  <c r="E20"/>
  <c r="F66" i="20" s="1"/>
  <c r="E21" i="2"/>
  <c r="E22"/>
  <c r="E23"/>
  <c r="E24"/>
  <c r="E25"/>
  <c r="F66" i="25" s="1"/>
  <c r="E26" i="2"/>
  <c r="E27"/>
  <c r="E28"/>
  <c r="F66" i="28" s="1"/>
  <c r="E29" i="2"/>
  <c r="F66" i="29" s="1"/>
  <c r="E30" i="2"/>
  <c r="E31"/>
  <c r="E32"/>
  <c r="E33"/>
  <c r="E34"/>
  <c r="E35"/>
  <c r="E36"/>
  <c r="E37"/>
  <c r="E3"/>
  <c r="F66" i="1" s="1"/>
  <c r="GC3" i="2"/>
  <c r="GJ23"/>
  <c r="GQ38"/>
  <c r="GP38"/>
  <c r="DE38"/>
  <c r="DD38"/>
  <c r="FT38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"/>
  <c r="FJ38"/>
  <c r="FJ37"/>
  <c r="FJ7"/>
  <c r="H176" i="29"/>
  <c r="H155"/>
  <c r="H153" s="1"/>
  <c r="H147" s="1"/>
  <c r="GT29" i="2"/>
  <c r="CV38"/>
  <c r="FG31"/>
  <c r="GD32"/>
  <c r="GF38"/>
  <c r="GC32"/>
  <c r="CE27"/>
  <c r="GD36"/>
  <c r="J11"/>
  <c r="F95" i="11"/>
  <c r="GO38" i="2"/>
  <c r="GN38"/>
  <c r="CD38"/>
  <c r="GK38"/>
  <c r="GC4"/>
  <c r="GC5"/>
  <c r="GC6"/>
  <c r="GC7"/>
  <c r="GC8"/>
  <c r="GC9"/>
  <c r="GC10"/>
  <c r="GC11"/>
  <c r="GC12"/>
  <c r="GC13"/>
  <c r="GC14"/>
  <c r="GC15"/>
  <c r="GC16"/>
  <c r="GC17"/>
  <c r="GC18"/>
  <c r="GC19"/>
  <c r="GC20"/>
  <c r="GC21"/>
  <c r="GC22"/>
  <c r="GC23"/>
  <c r="GC24"/>
  <c r="GC25"/>
  <c r="GC26"/>
  <c r="GC27"/>
  <c r="GC28"/>
  <c r="GC29"/>
  <c r="GC30"/>
  <c r="GC31"/>
  <c r="GC33"/>
  <c r="GC34"/>
  <c r="GC35"/>
  <c r="GC36"/>
  <c r="GC37"/>
  <c r="CB38"/>
  <c r="AW26"/>
  <c r="AX23"/>
  <c r="BS38"/>
  <c r="BQ38"/>
  <c r="G115" i="29"/>
  <c r="G49"/>
  <c r="G47" s="1"/>
  <c r="G32" s="1"/>
  <c r="GH29" i="2"/>
  <c r="G156" i="23"/>
  <c r="F121" i="26"/>
  <c r="F118" s="1"/>
  <c r="AK38" i="2"/>
  <c r="AE9"/>
  <c r="AE17"/>
  <c r="AE25"/>
  <c r="AE3"/>
  <c r="GH4"/>
  <c r="AE4"/>
  <c r="GH5"/>
  <c r="AE5"/>
  <c r="GH6"/>
  <c r="AE6"/>
  <c r="GH7"/>
  <c r="AE7"/>
  <c r="GH8"/>
  <c r="AE8"/>
  <c r="GH9"/>
  <c r="GH10"/>
  <c r="AE10"/>
  <c r="GH11"/>
  <c r="AE11"/>
  <c r="GH12"/>
  <c r="AE12"/>
  <c r="GH13"/>
  <c r="AE13"/>
  <c r="GH14"/>
  <c r="AE14"/>
  <c r="GH15"/>
  <c r="AE15"/>
  <c r="GH16"/>
  <c r="AE16"/>
  <c r="GH17"/>
  <c r="GH18"/>
  <c r="AE18"/>
  <c r="GH19"/>
  <c r="AE19"/>
  <c r="GH20"/>
  <c r="AE20"/>
  <c r="GH21"/>
  <c r="AE21"/>
  <c r="GH22"/>
  <c r="AE22"/>
  <c r="GH23"/>
  <c r="AE23"/>
  <c r="GH24"/>
  <c r="AE24"/>
  <c r="GH25"/>
  <c r="GH26"/>
  <c r="AE26"/>
  <c r="GH27"/>
  <c r="AE27"/>
  <c r="GH28"/>
  <c r="AE28"/>
  <c r="AE29"/>
  <c r="GH30"/>
  <c r="AE30"/>
  <c r="GH31"/>
  <c r="AE31"/>
  <c r="GH32"/>
  <c r="AE32"/>
  <c r="GH33"/>
  <c r="AE33"/>
  <c r="GH34"/>
  <c r="AE34"/>
  <c r="GH35"/>
  <c r="AE35"/>
  <c r="GH36"/>
  <c r="AE36"/>
  <c r="GH37"/>
  <c r="AE37"/>
  <c r="GH3"/>
  <c r="GT38"/>
  <c r="GE38"/>
  <c r="GD38"/>
  <c r="GJ38"/>
  <c r="GI38"/>
  <c r="AH4"/>
  <c r="F49" i="3" s="1"/>
  <c r="F70"/>
  <c r="F68" s="1"/>
  <c r="F65" i="6"/>
  <c r="AH8" i="2"/>
  <c r="F49" i="8" s="1"/>
  <c r="F65" i="10"/>
  <c r="F65" i="12"/>
  <c r="F70"/>
  <c r="F68" s="1"/>
  <c r="F65" i="14"/>
  <c r="F65" i="16"/>
  <c r="F65" i="18"/>
  <c r="F65" i="20"/>
  <c r="AH22" i="2"/>
  <c r="F70" i="22"/>
  <c r="F68" s="1"/>
  <c r="AH24" i="2"/>
  <c r="F70" i="24"/>
  <c r="F68" s="1"/>
  <c r="F70" i="26"/>
  <c r="F68" s="1"/>
  <c r="F70" i="28"/>
  <c r="F68" s="1"/>
  <c r="AH30" i="2"/>
  <c r="F70" i="32"/>
  <c r="F68" s="1"/>
  <c r="AH34" i="2"/>
  <c r="F70" i="34"/>
  <c r="F68" s="1"/>
  <c r="F70" i="36"/>
  <c r="F68" s="1"/>
  <c r="F70" i="1"/>
  <c r="F68" s="1"/>
  <c r="F65"/>
  <c r="GC38" i="2"/>
  <c r="GH38"/>
  <c r="AE38"/>
  <c r="S38"/>
  <c r="T38"/>
  <c r="BM38"/>
  <c r="BN38"/>
  <c r="BO38"/>
  <c r="BP38"/>
  <c r="BT38"/>
  <c r="BU38"/>
  <c r="BW38"/>
  <c r="BX38"/>
  <c r="BZ38"/>
  <c r="CA38"/>
  <c r="CC38"/>
  <c r="CG38"/>
  <c r="CH38"/>
  <c r="CM38"/>
  <c r="CN38"/>
  <c r="CO38"/>
  <c r="CP38"/>
  <c r="CQ38"/>
  <c r="CR38"/>
  <c r="CR40" s="1"/>
  <c r="CS38"/>
  <c r="CT38"/>
  <c r="CU38"/>
  <c r="CW38"/>
  <c r="CY38"/>
  <c r="CZ38"/>
  <c r="E38" s="1"/>
  <c r="DA38"/>
  <c r="DB38"/>
  <c r="DC38"/>
  <c r="DF38"/>
  <c r="DJ38"/>
  <c r="DL38"/>
  <c r="DO38"/>
  <c r="DP38"/>
  <c r="DQ38"/>
  <c r="DR38"/>
  <c r="DU38"/>
  <c r="DV38"/>
  <c r="DW38"/>
  <c r="DX38"/>
  <c r="DY38"/>
  <c r="DZ38"/>
  <c r="EA38"/>
  <c r="EB38"/>
  <c r="EC38"/>
  <c r="ED38"/>
  <c r="EE38"/>
  <c r="EF38"/>
  <c r="EG38"/>
  <c r="EH38"/>
  <c r="EI38"/>
  <c r="EJ38"/>
  <c r="EK38"/>
  <c r="J38" s="1"/>
  <c r="EL38"/>
  <c r="EM38"/>
  <c r="EN38"/>
  <c r="EO38"/>
  <c r="EP38"/>
  <c r="EQ38"/>
  <c r="ER38"/>
  <c r="ES38"/>
  <c r="ET38"/>
  <c r="EU38"/>
  <c r="EV38"/>
  <c r="EW38"/>
  <c r="EX38"/>
  <c r="EY38"/>
  <c r="EZ38"/>
  <c r="FA38"/>
  <c r="FB38"/>
  <c r="FC38"/>
  <c r="FD38"/>
  <c r="FE38"/>
  <c r="FF38"/>
  <c r="N4"/>
  <c r="N5"/>
  <c r="N6"/>
  <c r="F117" i="6" s="1"/>
  <c r="N7" i="2"/>
  <c r="N8"/>
  <c r="N9"/>
  <c r="F117" i="9" s="1"/>
  <c r="N10" i="2"/>
  <c r="F117" i="10" s="1"/>
  <c r="N11" i="2"/>
  <c r="F117" i="11" s="1"/>
  <c r="N12" i="2"/>
  <c r="N13"/>
  <c r="N14"/>
  <c r="F117" i="14" s="1"/>
  <c r="N15" i="2"/>
  <c r="F117" i="15" s="1"/>
  <c r="N16" i="2"/>
  <c r="N17"/>
  <c r="N18"/>
  <c r="F117" i="18" s="1"/>
  <c r="N19" i="2"/>
  <c r="N20"/>
  <c r="N21"/>
  <c r="F117" i="21" s="1"/>
  <c r="N22" i="2"/>
  <c r="F117" i="22" s="1"/>
  <c r="N23" i="2"/>
  <c r="N24"/>
  <c r="N25"/>
  <c r="N26"/>
  <c r="N27"/>
  <c r="F117" i="27" s="1"/>
  <c r="N28" i="2"/>
  <c r="N29"/>
  <c r="F117" i="29" s="1"/>
  <c r="N30" i="2"/>
  <c r="F117" i="30" s="1"/>
  <c r="N31" i="2"/>
  <c r="F117" i="31" s="1"/>
  <c r="N32" i="2"/>
  <c r="N33"/>
  <c r="F117" i="33" s="1"/>
  <c r="N34" i="2"/>
  <c r="N35"/>
  <c r="N36"/>
  <c r="N37"/>
  <c r="F117" i="37" s="1"/>
  <c r="N3" i="2"/>
  <c r="F96" i="6"/>
  <c r="F96" i="10"/>
  <c r="F96" i="14"/>
  <c r="F96" i="15"/>
  <c r="F96" i="22"/>
  <c r="F96" i="23"/>
  <c r="F96" i="30"/>
  <c r="F96" i="31"/>
  <c r="AE76" i="2"/>
  <c r="AE77"/>
  <c r="J4"/>
  <c r="J5"/>
  <c r="J6"/>
  <c r="F94" i="6" s="1"/>
  <c r="J7" i="2"/>
  <c r="F94" i="7" s="1"/>
  <c r="J8" i="2"/>
  <c r="F94" i="8" s="1"/>
  <c r="J9" i="2"/>
  <c r="J10"/>
  <c r="F94" i="10" s="1"/>
  <c r="J12" i="2"/>
  <c r="J13"/>
  <c r="J14"/>
  <c r="J15"/>
  <c r="F94" i="15" s="1"/>
  <c r="J16" i="2"/>
  <c r="F94" i="16" s="1"/>
  <c r="J17" i="2"/>
  <c r="J18"/>
  <c r="J19"/>
  <c r="J20"/>
  <c r="J21"/>
  <c r="J22"/>
  <c r="J23"/>
  <c r="F94" i="23" s="1"/>
  <c r="J24" i="2"/>
  <c r="F94" i="24" s="1"/>
  <c r="J25" i="2"/>
  <c r="J26"/>
  <c r="J27"/>
  <c r="J28"/>
  <c r="J29"/>
  <c r="J30"/>
  <c r="J31"/>
  <c r="F94" i="31" s="1"/>
  <c r="J32" i="2"/>
  <c r="F94" i="32" s="1"/>
  <c r="J33" i="2"/>
  <c r="J34"/>
  <c r="J35"/>
  <c r="J36"/>
  <c r="J37"/>
  <c r="J3"/>
  <c r="Y78"/>
  <c r="I176" i="29"/>
  <c r="FS38" i="2"/>
  <c r="I155" i="29"/>
  <c r="I153" s="1"/>
  <c r="I147" s="1"/>
  <c r="H110"/>
  <c r="H107" s="1"/>
  <c r="H61" s="1"/>
  <c r="G110"/>
  <c r="H49"/>
  <c r="H47" s="1"/>
  <c r="H32" s="1"/>
  <c r="F94" i="4"/>
  <c r="F94" i="9"/>
  <c r="F94" i="13"/>
  <c r="F94" i="14"/>
  <c r="F94" i="17"/>
  <c r="F94" i="18"/>
  <c r="F94" i="21"/>
  <c r="F94" i="22"/>
  <c r="F94" i="25"/>
  <c r="F94" i="26"/>
  <c r="F94" i="29"/>
  <c r="F94" i="30"/>
  <c r="F94" i="33"/>
  <c r="F94" i="34"/>
  <c r="F94" i="37"/>
  <c r="DL84" i="2"/>
  <c r="F95" i="3"/>
  <c r="F95" i="4"/>
  <c r="F95" i="6"/>
  <c r="F95" i="7"/>
  <c r="F95" i="8"/>
  <c r="F95" i="9"/>
  <c r="F95" i="10"/>
  <c r="F95" i="12"/>
  <c r="F95" i="13"/>
  <c r="F95" i="14"/>
  <c r="F95" i="15"/>
  <c r="F95" i="16"/>
  <c r="F95" i="17"/>
  <c r="F95" i="18"/>
  <c r="F95" i="19"/>
  <c r="F95" i="20"/>
  <c r="F95" i="21"/>
  <c r="F95" i="22"/>
  <c r="F95" i="23"/>
  <c r="F95" i="24"/>
  <c r="F95" i="25"/>
  <c r="F95" i="26"/>
  <c r="F95" i="27"/>
  <c r="F95" i="28"/>
  <c r="F95" i="29"/>
  <c r="F95" i="30"/>
  <c r="F95" i="31"/>
  <c r="F95" i="32"/>
  <c r="F95" i="33"/>
  <c r="F95" i="34"/>
  <c r="F95" i="35"/>
  <c r="F95" i="36"/>
  <c r="F95" i="37"/>
  <c r="F117" i="8"/>
  <c r="F117" i="12"/>
  <c r="F117" i="13"/>
  <c r="F117" i="20"/>
  <c r="F117" i="25"/>
  <c r="F117" i="32"/>
  <c r="F117" i="36"/>
  <c r="F95" i="1"/>
  <c r="FN4" i="2"/>
  <c r="AA4"/>
  <c r="FN5"/>
  <c r="FN6"/>
  <c r="AA6"/>
  <c r="FN7"/>
  <c r="AA7"/>
  <c r="FN8"/>
  <c r="AA8"/>
  <c r="FN9"/>
  <c r="FN10"/>
  <c r="AA10"/>
  <c r="FN11"/>
  <c r="AA11"/>
  <c r="FN12"/>
  <c r="FN13"/>
  <c r="FN14"/>
  <c r="AA14"/>
  <c r="FN15"/>
  <c r="AA15"/>
  <c r="FN16"/>
  <c r="AA16"/>
  <c r="FN17"/>
  <c r="FN18"/>
  <c r="AA18"/>
  <c r="FN19"/>
  <c r="AA19"/>
  <c r="FN20"/>
  <c r="FN21"/>
  <c r="FN22"/>
  <c r="AA22"/>
  <c r="FN23"/>
  <c r="AA23"/>
  <c r="FN24"/>
  <c r="AA24"/>
  <c r="FN25"/>
  <c r="FN26"/>
  <c r="AA26"/>
  <c r="FN27"/>
  <c r="AA27"/>
  <c r="FN28"/>
  <c r="FN29"/>
  <c r="FN30"/>
  <c r="AA30"/>
  <c r="FN31"/>
  <c r="AA31"/>
  <c r="FN32"/>
  <c r="AA32"/>
  <c r="FN33"/>
  <c r="FN34"/>
  <c r="AA34"/>
  <c r="FN35"/>
  <c r="AA35"/>
  <c r="FN36"/>
  <c r="AA36"/>
  <c r="FN37"/>
  <c r="FN3"/>
  <c r="FR37"/>
  <c r="AF37"/>
  <c r="F110" i="37"/>
  <c r="FR36" i="2"/>
  <c r="AF36" s="1"/>
  <c r="G155" i="36" s="1"/>
  <c r="G153" s="1"/>
  <c r="FR35" i="2"/>
  <c r="AF35"/>
  <c r="F110" i="35"/>
  <c r="FR34" i="2"/>
  <c r="AF34"/>
  <c r="F110" i="34"/>
  <c r="FR33" i="2"/>
  <c r="AF33"/>
  <c r="F110" i="33"/>
  <c r="FR32" i="2"/>
  <c r="AF32"/>
  <c r="F110" i="32"/>
  <c r="FR31" i="2"/>
  <c r="AF31" s="1"/>
  <c r="FR30"/>
  <c r="AF30"/>
  <c r="F110" i="30"/>
  <c r="FR29" i="2"/>
  <c r="AF29" s="1"/>
  <c r="F110" i="29" s="1"/>
  <c r="FR28" i="2"/>
  <c r="AF28"/>
  <c r="FR27"/>
  <c r="AF27" s="1"/>
  <c r="FR26"/>
  <c r="AF26"/>
  <c r="F110" i="26" s="1"/>
  <c r="FR25" i="2"/>
  <c r="AF25"/>
  <c r="F110" i="25"/>
  <c r="FR24" i="2"/>
  <c r="AF24"/>
  <c r="F110" i="24"/>
  <c r="FR23" i="2"/>
  <c r="AF23"/>
  <c r="F110" i="23"/>
  <c r="FR22" i="2"/>
  <c r="AF22"/>
  <c r="F110" i="22"/>
  <c r="FR21" i="2"/>
  <c r="AF21"/>
  <c r="F110" i="21"/>
  <c r="FR19" i="2"/>
  <c r="AF19"/>
  <c r="F110" i="19"/>
  <c r="FR18" i="2"/>
  <c r="AF18"/>
  <c r="F110" i="18"/>
  <c r="FR17" i="2"/>
  <c r="AF17"/>
  <c r="F110" i="17"/>
  <c r="FR16" i="2"/>
  <c r="AF16"/>
  <c r="F110" i="16"/>
  <c r="FR15" i="2"/>
  <c r="AF15"/>
  <c r="F110" i="15"/>
  <c r="FR14" i="2"/>
  <c r="FR13"/>
  <c r="AF13" s="1"/>
  <c r="FR12"/>
  <c r="AF12"/>
  <c r="F110" i="12"/>
  <c r="FR11" i="2"/>
  <c r="AF11"/>
  <c r="F110" i="11"/>
  <c r="FR10" i="2"/>
  <c r="AF10"/>
  <c r="F110" i="10"/>
  <c r="FR9" i="2"/>
  <c r="AF9" s="1"/>
  <c r="FR8"/>
  <c r="AF8"/>
  <c r="F110" i="8"/>
  <c r="FR7" i="2"/>
  <c r="AF7"/>
  <c r="F110" i="7"/>
  <c r="FR6" i="2"/>
  <c r="AF6"/>
  <c r="F110" i="6"/>
  <c r="FR4" i="2"/>
  <c r="AF4"/>
  <c r="FR3"/>
  <c r="AF3" s="1"/>
  <c r="M38"/>
  <c r="F66" i="4"/>
  <c r="F66" i="21"/>
  <c r="F66" i="32"/>
  <c r="F66" i="33"/>
  <c r="F96" i="17"/>
  <c r="F96" i="20"/>
  <c r="F96" i="21"/>
  <c r="F96" i="24"/>
  <c r="F96" i="25"/>
  <c r="F96" i="28"/>
  <c r="F96" i="29"/>
  <c r="F96" i="32"/>
  <c r="F96" i="33"/>
  <c r="F96" i="36"/>
  <c r="F96" i="37"/>
  <c r="F106" i="13"/>
  <c r="F105" s="1"/>
  <c r="FG3" i="2"/>
  <c r="D3" s="1"/>
  <c r="F117" i="3"/>
  <c r="F117" i="17"/>
  <c r="F117" i="26"/>
  <c r="G144" i="25"/>
  <c r="G143" s="1"/>
  <c r="G144" i="24"/>
  <c r="G143" s="1"/>
  <c r="G144" i="23"/>
  <c r="G143" s="1"/>
  <c r="G144" i="22"/>
  <c r="G142" s="1"/>
  <c r="G144" i="21"/>
  <c r="G143" s="1"/>
  <c r="G142" s="1"/>
  <c r="G144" i="20"/>
  <c r="G143" s="1"/>
  <c r="G144" i="19"/>
  <c r="G143" s="1"/>
  <c r="G144" i="18"/>
  <c r="G142" s="1"/>
  <c r="G144" i="17"/>
  <c r="G144" i="16"/>
  <c r="G143" s="1"/>
  <c r="G144" i="15"/>
  <c r="G143" s="1"/>
  <c r="G144" i="14"/>
  <c r="G142" s="1"/>
  <c r="G144" i="13"/>
  <c r="G142" s="1"/>
  <c r="G144" i="12"/>
  <c r="G143" s="1"/>
  <c r="G144" i="11"/>
  <c r="G143" s="1"/>
  <c r="G144" i="10"/>
  <c r="G144" i="9"/>
  <c r="G143" s="1"/>
  <c r="G144" i="8"/>
  <c r="G143" s="1"/>
  <c r="G144" i="7"/>
  <c r="G143" s="1"/>
  <c r="G144" i="6"/>
  <c r="G144" i="4"/>
  <c r="G143" s="1"/>
  <c r="G144" i="3"/>
  <c r="G143" s="1"/>
  <c r="G144" i="1"/>
  <c r="G143" s="1"/>
  <c r="G144" i="27"/>
  <c r="G142" s="1"/>
  <c r="G144" i="28"/>
  <c r="G142" s="1"/>
  <c r="G144" i="29"/>
  <c r="G142" s="1"/>
  <c r="G144" i="30"/>
  <c r="G143" s="1"/>
  <c r="G144" i="31"/>
  <c r="G143" s="1"/>
  <c r="G144" i="32"/>
  <c r="G142" s="1"/>
  <c r="G144" i="33"/>
  <c r="G143" s="1"/>
  <c r="G144" i="34"/>
  <c r="G143" s="1"/>
  <c r="G144" i="35"/>
  <c r="G143" s="1"/>
  <c r="G142" s="1"/>
  <c r="G144" i="36"/>
  <c r="G142" s="1"/>
  <c r="G144" i="37"/>
  <c r="G143" s="1"/>
  <c r="G142" s="1"/>
  <c r="G144" i="26"/>
  <c r="G143" s="1"/>
  <c r="G142" s="1"/>
  <c r="AW38" i="2"/>
  <c r="AX38"/>
  <c r="BA76"/>
  <c r="AY4"/>
  <c r="F30" i="3"/>
  <c r="AY5" i="2"/>
  <c r="F30" i="4"/>
  <c r="AY6" i="2"/>
  <c r="F30" i="6"/>
  <c r="AY7" i="2"/>
  <c r="F30" i="7"/>
  <c r="AY8" i="2"/>
  <c r="F30" i="8"/>
  <c r="AY9" i="2"/>
  <c r="F30" i="9"/>
  <c r="AY10" i="2"/>
  <c r="F30" i="10"/>
  <c r="AY11" i="2"/>
  <c r="F30" i="11"/>
  <c r="AY12" i="2"/>
  <c r="F30" i="12"/>
  <c r="AY13" i="2"/>
  <c r="F30" i="13"/>
  <c r="AY14" i="2"/>
  <c r="F30" i="14"/>
  <c r="AY15" i="2"/>
  <c r="F30" i="15"/>
  <c r="AY16" i="2"/>
  <c r="F30" i="16"/>
  <c r="AY17" i="2"/>
  <c r="F30" i="17"/>
  <c r="AY18" i="2"/>
  <c r="F30" i="18"/>
  <c r="AY19" i="2"/>
  <c r="F30" i="19"/>
  <c r="AY20" i="2"/>
  <c r="F30" i="20"/>
  <c r="AY21" i="2"/>
  <c r="F30" i="21"/>
  <c r="AY22" i="2"/>
  <c r="F30" i="22"/>
  <c r="AY23" i="2"/>
  <c r="F30" i="23"/>
  <c r="AY24" i="2"/>
  <c r="F30" i="24"/>
  <c r="AY25" i="2"/>
  <c r="F30" i="25"/>
  <c r="AY26" i="2"/>
  <c r="F30" i="26"/>
  <c r="AY27" i="2"/>
  <c r="F30" i="27"/>
  <c r="AY28" i="2"/>
  <c r="F30" i="28"/>
  <c r="AY29" i="2"/>
  <c r="F30" i="29"/>
  <c r="AY30" i="2"/>
  <c r="F30" i="30"/>
  <c r="AY31" i="2"/>
  <c r="F30" i="31"/>
  <c r="AY32" i="2"/>
  <c r="F30" i="32"/>
  <c r="AY33" i="2"/>
  <c r="F30" i="33"/>
  <c r="AY34" i="2"/>
  <c r="F30" i="34"/>
  <c r="AY35" i="2"/>
  <c r="F30" i="35"/>
  <c r="AY36" i="2"/>
  <c r="F30" i="36"/>
  <c r="AY37" i="2"/>
  <c r="F30" i="37"/>
  <c r="AY3" i="2"/>
  <c r="F30" i="1"/>
  <c r="AB76" i="2"/>
  <c r="AC76"/>
  <c r="AB77"/>
  <c r="AC77"/>
  <c r="Z78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"/>
  <c r="F70" i="29"/>
  <c r="F68" s="1"/>
  <c r="V38" i="2"/>
  <c r="W38"/>
  <c r="X38"/>
  <c r="F96" i="3"/>
  <c r="F96" i="4"/>
  <c r="F96" i="7"/>
  <c r="F96" i="8"/>
  <c r="F96" i="9"/>
  <c r="F96" i="11"/>
  <c r="F96" i="12"/>
  <c r="F96" i="18"/>
  <c r="F96" i="19"/>
  <c r="F96" i="26"/>
  <c r="F96" i="27"/>
  <c r="F96" i="34"/>
  <c r="F96" i="35"/>
  <c r="F94" i="3"/>
  <c r="F94" i="11"/>
  <c r="F94" i="12"/>
  <c r="F94" i="19"/>
  <c r="F94" i="20"/>
  <c r="F94" i="27"/>
  <c r="F94" i="28"/>
  <c r="F94" i="35"/>
  <c r="F94" i="36"/>
  <c r="F66" i="6"/>
  <c r="F66" i="7"/>
  <c r="F66" i="10"/>
  <c r="F66" i="11"/>
  <c r="F66" i="13"/>
  <c r="F66" i="14"/>
  <c r="F66" i="15"/>
  <c r="F66" i="17"/>
  <c r="F66" i="18"/>
  <c r="F66" i="19"/>
  <c r="F66" i="22"/>
  <c r="F66" i="23"/>
  <c r="F66" i="26"/>
  <c r="F66" i="27"/>
  <c r="F66" i="30"/>
  <c r="F66" i="31"/>
  <c r="F66" i="34"/>
  <c r="F66" i="35"/>
  <c r="FI38" i="2"/>
  <c r="FH38"/>
  <c r="F38"/>
  <c r="H3"/>
  <c r="G3"/>
  <c r="FP38"/>
  <c r="FN38"/>
  <c r="AA38" s="1"/>
  <c r="G5"/>
  <c r="F65" i="4"/>
  <c r="H5" i="2"/>
  <c r="F70" i="4"/>
  <c r="F68" s="1"/>
  <c r="G6" i="2"/>
  <c r="H6"/>
  <c r="F70" i="6"/>
  <c r="F68" s="1"/>
  <c r="G7" i="2"/>
  <c r="F65" i="7"/>
  <c r="H7" i="2"/>
  <c r="F70" i="7"/>
  <c r="F68" s="1"/>
  <c r="G8" i="2"/>
  <c r="H8"/>
  <c r="F70" i="8"/>
  <c r="F68" s="1"/>
  <c r="G9" i="2"/>
  <c r="F65" i="9"/>
  <c r="H9" i="2"/>
  <c r="F70" i="9"/>
  <c r="F68" s="1"/>
  <c r="G10" i="2"/>
  <c r="H10"/>
  <c r="F70" i="10"/>
  <c r="F68" s="1"/>
  <c r="G11" i="2"/>
  <c r="F65" i="11"/>
  <c r="H11" i="2"/>
  <c r="F70" i="11"/>
  <c r="F68" s="1"/>
  <c r="G12" i="2"/>
  <c r="H12"/>
  <c r="G13"/>
  <c r="F65" i="13"/>
  <c r="H13" i="2"/>
  <c r="F70" i="13"/>
  <c r="F68" s="1"/>
  <c r="G14" i="2"/>
  <c r="H14"/>
  <c r="F70" i="14"/>
  <c r="F68" s="1"/>
  <c r="G15" i="2"/>
  <c r="F65" i="15"/>
  <c r="H15" i="2"/>
  <c r="F70" i="15"/>
  <c r="F68" s="1"/>
  <c r="G16" i="2"/>
  <c r="H16"/>
  <c r="F70" i="16"/>
  <c r="F68" s="1"/>
  <c r="G17" i="2"/>
  <c r="F65" i="17"/>
  <c r="H17" i="2"/>
  <c r="F70" i="17"/>
  <c r="F68" s="1"/>
  <c r="G18" i="2"/>
  <c r="H18"/>
  <c r="F70" i="18"/>
  <c r="F68" s="1"/>
  <c r="G19" i="2"/>
  <c r="F65" i="19"/>
  <c r="H19" i="2"/>
  <c r="F70" i="19"/>
  <c r="F68" s="1"/>
  <c r="G20" i="2"/>
  <c r="H20"/>
  <c r="F70" i="20"/>
  <c r="F68" s="1"/>
  <c r="G21" i="2"/>
  <c r="F65" i="21"/>
  <c r="H21" i="2"/>
  <c r="F70" i="21"/>
  <c r="F68" s="1"/>
  <c r="G22" i="2"/>
  <c r="F65" i="22"/>
  <c r="H22" i="2"/>
  <c r="G23"/>
  <c r="F65" i="23"/>
  <c r="H23" i="2"/>
  <c r="F70" i="23"/>
  <c r="F68" s="1"/>
  <c r="G24" i="2"/>
  <c r="F65" i="24"/>
  <c r="H24" i="2"/>
  <c r="G25"/>
  <c r="F65" i="25"/>
  <c r="H25" i="2"/>
  <c r="F70" i="25"/>
  <c r="F68" s="1"/>
  <c r="G26" i="2"/>
  <c r="F65" i="26"/>
  <c r="H26" i="2"/>
  <c r="G27"/>
  <c r="F65" i="27"/>
  <c r="H27" i="2"/>
  <c r="F70" i="27"/>
  <c r="F68" s="1"/>
  <c r="G28" i="2"/>
  <c r="F65" i="28"/>
  <c r="H28" i="2"/>
  <c r="G29"/>
  <c r="F65" i="29"/>
  <c r="H29" i="2"/>
  <c r="G30"/>
  <c r="H30"/>
  <c r="F70" i="30"/>
  <c r="F68" s="1"/>
  <c r="G31" i="2"/>
  <c r="F65" i="31"/>
  <c r="H31" i="2"/>
  <c r="F70" i="31"/>
  <c r="F68" s="1"/>
  <c r="G32" i="2"/>
  <c r="F65" i="32"/>
  <c r="H32" i="2"/>
  <c r="G33"/>
  <c r="F65" i="33"/>
  <c r="H33" i="2"/>
  <c r="F70" i="33"/>
  <c r="F68" s="1"/>
  <c r="G34" i="2"/>
  <c r="F65" i="34"/>
  <c r="H34" i="2"/>
  <c r="G35"/>
  <c r="F65" i="35"/>
  <c r="H35" i="2"/>
  <c r="F70" i="35"/>
  <c r="F68" s="1"/>
  <c r="G36" i="2"/>
  <c r="F65" i="36"/>
  <c r="H36" i="2"/>
  <c r="G37"/>
  <c r="F65" i="37"/>
  <c r="H37" i="2"/>
  <c r="F70" i="37"/>
  <c r="F68" s="1"/>
  <c r="H4" i="2"/>
  <c r="G4"/>
  <c r="F106" i="29"/>
  <c r="F105" s="1"/>
  <c r="G156" i="1"/>
  <c r="AG38" i="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BK4"/>
  <c r="BK5"/>
  <c r="BK6"/>
  <c r="BK7"/>
  <c r="BK8"/>
  <c r="BK9"/>
  <c r="BK10"/>
  <c r="BK11"/>
  <c r="BK12"/>
  <c r="BK13"/>
  <c r="BK14"/>
  <c r="BK15"/>
  <c r="BK16"/>
  <c r="BK17"/>
  <c r="BK18"/>
  <c r="BK19"/>
  <c r="BK20"/>
  <c r="BK21"/>
  <c r="BK22"/>
  <c r="BK23"/>
  <c r="BK24"/>
  <c r="BK25"/>
  <c r="BK26"/>
  <c r="BK27"/>
  <c r="BK28"/>
  <c r="BK29"/>
  <c r="BK30"/>
  <c r="BK31"/>
  <c r="BK32"/>
  <c r="BK33"/>
  <c r="BK34"/>
  <c r="BK35"/>
  <c r="BK36"/>
  <c r="BK37"/>
  <c r="BK3"/>
  <c r="AM38"/>
  <c r="AA37"/>
  <c r="AF14"/>
  <c r="AA9"/>
  <c r="AA12"/>
  <c r="AA13"/>
  <c r="AA17"/>
  <c r="AA20"/>
  <c r="AA21"/>
  <c r="AA25"/>
  <c r="AA28"/>
  <c r="AA29"/>
  <c r="AA33"/>
  <c r="AA3"/>
  <c r="H176" i="4"/>
  <c r="H155"/>
  <c r="H153" s="1"/>
  <c r="H147" s="1"/>
  <c r="G115"/>
  <c r="G107" s="1"/>
  <c r="G61" s="1"/>
  <c r="G47"/>
  <c r="G32" s="1"/>
  <c r="FG4" i="2"/>
  <c r="D4"/>
  <c r="G151" i="3" s="1"/>
  <c r="G149" s="1"/>
  <c r="FG5" i="2"/>
  <c r="D5" s="1"/>
  <c r="FG6"/>
  <c r="D6"/>
  <c r="FG7"/>
  <c r="D7" s="1"/>
  <c r="FG8"/>
  <c r="D8"/>
  <c r="GX8" s="1"/>
  <c r="FG9"/>
  <c r="D9" s="1"/>
  <c r="FG10"/>
  <c r="D10"/>
  <c r="FG11"/>
  <c r="D11" s="1"/>
  <c r="FG12"/>
  <c r="D12"/>
  <c r="F115" i="12" s="1"/>
  <c r="FG13" i="2"/>
  <c r="D13" s="1"/>
  <c r="FG14"/>
  <c r="D14"/>
  <c r="FG15"/>
  <c r="D15" s="1"/>
  <c r="FG16"/>
  <c r="D16"/>
  <c r="F115" i="16" s="1"/>
  <c r="FG17" i="2"/>
  <c r="D17" s="1"/>
  <c r="FG18"/>
  <c r="D18"/>
  <c r="FG19"/>
  <c r="D19" s="1"/>
  <c r="FG20"/>
  <c r="D20"/>
  <c r="G151" i="20" s="1"/>
  <c r="G149" s="1"/>
  <c r="FG21" i="2"/>
  <c r="D21" s="1"/>
  <c r="FG22"/>
  <c r="D22"/>
  <c r="FG23"/>
  <c r="D23" s="1"/>
  <c r="FG24"/>
  <c r="D24"/>
  <c r="GX24" s="1"/>
  <c r="FG25"/>
  <c r="D25" s="1"/>
  <c r="FG26"/>
  <c r="D26"/>
  <c r="FG27"/>
  <c r="D27" s="1"/>
  <c r="FG28"/>
  <c r="D28"/>
  <c r="F115" i="28" s="1"/>
  <c r="FG29" i="2"/>
  <c r="D29" s="1"/>
  <c r="FG30"/>
  <c r="D30"/>
  <c r="D31"/>
  <c r="G151" i="31" s="1"/>
  <c r="G149" s="1"/>
  <c r="FG32" i="2"/>
  <c r="D32"/>
  <c r="G151" i="32" s="1"/>
  <c r="G149" s="1"/>
  <c r="FG33" i="2"/>
  <c r="D33" s="1"/>
  <c r="FG34"/>
  <c r="D34"/>
  <c r="FG35"/>
  <c r="D35" s="1"/>
  <c r="FG36"/>
  <c r="D36"/>
  <c r="F115" i="36" s="1"/>
  <c r="FG37" i="2"/>
  <c r="D37" s="1"/>
  <c r="FG38"/>
  <c r="AA5"/>
  <c r="P38"/>
  <c r="F117" i="7"/>
  <c r="F117" i="19"/>
  <c r="F117" i="23"/>
  <c r="F117" i="35"/>
  <c r="G156" i="12"/>
  <c r="AQ38" i="2"/>
  <c r="F50" i="33"/>
  <c r="F50" i="34"/>
  <c r="F50" i="35"/>
  <c r="F50" i="36"/>
  <c r="F50" i="37"/>
  <c r="F50" i="32"/>
  <c r="F50" i="31"/>
  <c r="F50" i="30"/>
  <c r="F50" i="29"/>
  <c r="F50" i="28"/>
  <c r="F50" i="27"/>
  <c r="F50" i="25"/>
  <c r="F50" i="24"/>
  <c r="F50" i="23"/>
  <c r="F50" i="22"/>
  <c r="F50" i="21"/>
  <c r="F50" i="20"/>
  <c r="F50" i="19"/>
  <c r="F50" i="18"/>
  <c r="F50" i="17"/>
  <c r="F50" i="16"/>
  <c r="F50" i="15"/>
  <c r="F50" i="14"/>
  <c r="F50" i="13"/>
  <c r="F50" i="12"/>
  <c r="F50" i="11"/>
  <c r="F50" i="10"/>
  <c r="F50" i="9"/>
  <c r="F50" i="8"/>
  <c r="F50" i="7"/>
  <c r="F50" i="6"/>
  <c r="F50" i="4"/>
  <c r="F50" i="3"/>
  <c r="F50" i="1"/>
  <c r="F50" i="26"/>
  <c r="G156"/>
  <c r="AB4" i="2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"/>
  <c r="AN38"/>
  <c r="BC38"/>
  <c r="BD38"/>
  <c r="BE38"/>
  <c r="BF38"/>
  <c r="BG38"/>
  <c r="BH38"/>
  <c r="BI38"/>
  <c r="BJ38"/>
  <c r="AI38"/>
  <c r="AL4"/>
  <c r="G171" i="3"/>
  <c r="G165" s="1"/>
  <c r="AL5" i="2"/>
  <c r="F44" i="4"/>
  <c r="AL6" i="2"/>
  <c r="G171" i="6"/>
  <c r="G165" s="1"/>
  <c r="AL7" i="2"/>
  <c r="G171" i="7"/>
  <c r="G165" s="1"/>
  <c r="AL8" i="2"/>
  <c r="G171" i="8"/>
  <c r="G165" s="1"/>
  <c r="AL9" i="2"/>
  <c r="G171" i="9"/>
  <c r="G165" s="1"/>
  <c r="AL10" i="2"/>
  <c r="AL11"/>
  <c r="G171" i="11"/>
  <c r="G165" s="1"/>
  <c r="AL12" i="2"/>
  <c r="F44" i="12"/>
  <c r="AL13" i="2"/>
  <c r="AL14"/>
  <c r="G171" i="14"/>
  <c r="G165" s="1"/>
  <c r="AL15" i="2"/>
  <c r="G171" i="15"/>
  <c r="G165" s="1"/>
  <c r="AL16" i="2"/>
  <c r="G171" i="16"/>
  <c r="G165" s="1"/>
  <c r="AL17" i="2"/>
  <c r="AL18"/>
  <c r="F44" i="18"/>
  <c r="AL19" i="2"/>
  <c r="F44" i="19"/>
  <c r="AL20" i="2"/>
  <c r="G171" i="20"/>
  <c r="G165" s="1"/>
  <c r="AL21" i="2"/>
  <c r="G171" i="21"/>
  <c r="G165" s="1"/>
  <c r="AL22" i="2"/>
  <c r="G171" i="22"/>
  <c r="G165" s="1"/>
  <c r="AL23" i="2"/>
  <c r="F44" i="23"/>
  <c r="AL24" i="2"/>
  <c r="AL25"/>
  <c r="G171" i="25"/>
  <c r="G165" s="1"/>
  <c r="AL26" i="2"/>
  <c r="F44" i="26"/>
  <c r="AL27" i="2"/>
  <c r="G171" i="27"/>
  <c r="G165" s="1"/>
  <c r="AL28" i="2"/>
  <c r="G171" i="28"/>
  <c r="G165" s="1"/>
  <c r="AL29" i="2"/>
  <c r="G171" i="29"/>
  <c r="G165" s="1"/>
  <c r="AL30" i="2"/>
  <c r="G171" i="30"/>
  <c r="G165" s="1"/>
  <c r="AL31" i="2"/>
  <c r="G171" i="31"/>
  <c r="G165" s="1"/>
  <c r="AL32" i="2"/>
  <c r="G171" i="32"/>
  <c r="G165" s="1"/>
  <c r="AL33" i="2"/>
  <c r="G171" i="33"/>
  <c r="G165" s="1"/>
  <c r="AL34" i="2"/>
  <c r="AL35"/>
  <c r="G171" i="35"/>
  <c r="G165" s="1"/>
  <c r="AL36" i="2"/>
  <c r="G171" i="36"/>
  <c r="G165" s="1"/>
  <c r="AL37" i="2"/>
  <c r="G171" i="37"/>
  <c r="G165" s="1"/>
  <c r="G158"/>
  <c r="F121"/>
  <c r="F118" s="1"/>
  <c r="F87"/>
  <c r="F83" s="1"/>
  <c r="F45"/>
  <c r="F34"/>
  <c r="I32"/>
  <c r="H32"/>
  <c r="G32"/>
  <c r="D8"/>
  <c r="A186" s="1"/>
  <c r="G158" i="36"/>
  <c r="F121"/>
  <c r="F118" s="1"/>
  <c r="F87"/>
  <c r="F83" s="1"/>
  <c r="F45"/>
  <c r="F34"/>
  <c r="I32"/>
  <c r="H32"/>
  <c r="G32"/>
  <c r="D8"/>
  <c r="G158" i="35"/>
  <c r="F121"/>
  <c r="F118" s="1"/>
  <c r="F87"/>
  <c r="F85" s="1"/>
  <c r="F45"/>
  <c r="F34"/>
  <c r="I32"/>
  <c r="H32"/>
  <c r="G32"/>
  <c r="D8"/>
  <c r="A186" s="1"/>
  <c r="G158" i="34"/>
  <c r="F121"/>
  <c r="F118" s="1"/>
  <c r="F87"/>
  <c r="F83" s="1"/>
  <c r="F45"/>
  <c r="F34"/>
  <c r="I32"/>
  <c r="H32"/>
  <c r="G32"/>
  <c r="D8"/>
  <c r="G158" i="33"/>
  <c r="F121"/>
  <c r="F118" s="1"/>
  <c r="F87"/>
  <c r="F83" s="1"/>
  <c r="F45"/>
  <c r="F34"/>
  <c r="I32"/>
  <c r="H32"/>
  <c r="G32"/>
  <c r="D8"/>
  <c r="C13" s="1"/>
  <c r="G158" i="32"/>
  <c r="F121"/>
  <c r="F118" s="1"/>
  <c r="F87"/>
  <c r="F85" s="1"/>
  <c r="F45"/>
  <c r="F34"/>
  <c r="I32"/>
  <c r="H32"/>
  <c r="G32"/>
  <c r="D8"/>
  <c r="C13" s="1"/>
  <c r="G158" i="31"/>
  <c r="F121"/>
  <c r="F118" s="1"/>
  <c r="F87"/>
  <c r="F83" s="1"/>
  <c r="F45"/>
  <c r="F34"/>
  <c r="I32"/>
  <c r="H32"/>
  <c r="G32"/>
  <c r="D8"/>
  <c r="C13" s="1"/>
  <c r="G158" i="30"/>
  <c r="F121"/>
  <c r="F118" s="1"/>
  <c r="F87"/>
  <c r="F83" s="1"/>
  <c r="F45"/>
  <c r="F34"/>
  <c r="I32"/>
  <c r="H32"/>
  <c r="G32"/>
  <c r="D8"/>
  <c r="G158" i="29"/>
  <c r="F121"/>
  <c r="F118" s="1"/>
  <c r="F87"/>
  <c r="F83" s="1"/>
  <c r="F45"/>
  <c r="F34"/>
  <c r="I32"/>
  <c r="D8"/>
  <c r="C13" s="1"/>
  <c r="G158" i="28"/>
  <c r="F121"/>
  <c r="F118" s="1"/>
  <c r="F87"/>
  <c r="F85" s="1"/>
  <c r="F45"/>
  <c r="F34"/>
  <c r="I32"/>
  <c r="H32"/>
  <c r="G32"/>
  <c r="D8"/>
  <c r="C13" s="1"/>
  <c r="G158" i="27"/>
  <c r="F121"/>
  <c r="F118" s="1"/>
  <c r="F87"/>
  <c r="F85" s="1"/>
  <c r="F45"/>
  <c r="F34"/>
  <c r="I32"/>
  <c r="H32"/>
  <c r="G32"/>
  <c r="D8"/>
  <c r="C13" s="1"/>
  <c r="G158" i="26"/>
  <c r="F87"/>
  <c r="F45"/>
  <c r="F34"/>
  <c r="I32"/>
  <c r="H32"/>
  <c r="G32"/>
  <c r="D8"/>
  <c r="A186" s="1"/>
  <c r="G158" i="25"/>
  <c r="F121"/>
  <c r="F118" s="1"/>
  <c r="F87"/>
  <c r="F85" s="1"/>
  <c r="F45"/>
  <c r="F34"/>
  <c r="I32"/>
  <c r="H32"/>
  <c r="G32"/>
  <c r="D8"/>
  <c r="C13" s="1"/>
  <c r="G158" i="24"/>
  <c r="F121"/>
  <c r="F118" s="1"/>
  <c r="F87"/>
  <c r="F45"/>
  <c r="F34"/>
  <c r="I32"/>
  <c r="H32"/>
  <c r="G32"/>
  <c r="D8"/>
  <c r="C13" s="1"/>
  <c r="G158" i="23"/>
  <c r="F121"/>
  <c r="F118" s="1"/>
  <c r="F87"/>
  <c r="F85" s="1"/>
  <c r="F45"/>
  <c r="F34"/>
  <c r="I32"/>
  <c r="H32"/>
  <c r="G32"/>
  <c r="D8"/>
  <c r="A186" s="1"/>
  <c r="G158" i="22"/>
  <c r="F121"/>
  <c r="F118" s="1"/>
  <c r="F87"/>
  <c r="F83" s="1"/>
  <c r="F45"/>
  <c r="F34"/>
  <c r="I32"/>
  <c r="H32"/>
  <c r="G32"/>
  <c r="D8"/>
  <c r="C13" s="1"/>
  <c r="G158" i="21"/>
  <c r="F121"/>
  <c r="F118" s="1"/>
  <c r="F87"/>
  <c r="F83" s="1"/>
  <c r="F45"/>
  <c r="F34"/>
  <c r="I32"/>
  <c r="H32"/>
  <c r="G32"/>
  <c r="D8"/>
  <c r="C13" s="1"/>
  <c r="G158" i="20"/>
  <c r="F121"/>
  <c r="F118" s="1"/>
  <c r="F87"/>
  <c r="F83" s="1"/>
  <c r="F45"/>
  <c r="F34"/>
  <c r="I32"/>
  <c r="H32"/>
  <c r="G32"/>
  <c r="D8"/>
  <c r="C13" s="1"/>
  <c r="G158" i="19"/>
  <c r="F121"/>
  <c r="F118" s="1"/>
  <c r="F87"/>
  <c r="F85" s="1"/>
  <c r="F45"/>
  <c r="F34"/>
  <c r="I32"/>
  <c r="H32"/>
  <c r="G32"/>
  <c r="D8"/>
  <c r="C13" s="1"/>
  <c r="G158" i="18"/>
  <c r="F121"/>
  <c r="F118" s="1"/>
  <c r="F87"/>
  <c r="F83" s="1"/>
  <c r="F45"/>
  <c r="F34"/>
  <c r="I32"/>
  <c r="H32"/>
  <c r="G32"/>
  <c r="D8"/>
  <c r="A186" s="1"/>
  <c r="G158" i="17"/>
  <c r="F121"/>
  <c r="F118" s="1"/>
  <c r="F87"/>
  <c r="F83" s="1"/>
  <c r="F45"/>
  <c r="F34"/>
  <c r="I32"/>
  <c r="H32"/>
  <c r="G32"/>
  <c r="D8"/>
  <c r="A186" s="1"/>
  <c r="G158" i="16"/>
  <c r="F121"/>
  <c r="F118" s="1"/>
  <c r="F87"/>
  <c r="F83" s="1"/>
  <c r="F45"/>
  <c r="F34"/>
  <c r="I32"/>
  <c r="H32"/>
  <c r="G32"/>
  <c r="D8"/>
  <c r="C13" s="1"/>
  <c r="G158" i="15"/>
  <c r="D8"/>
  <c r="A186" s="1"/>
  <c r="D8" i="14"/>
  <c r="A186" s="1"/>
  <c r="D8" i="13"/>
  <c r="A186" s="1"/>
  <c r="D8" i="12"/>
  <c r="C13" s="1"/>
  <c r="D8" i="11"/>
  <c r="D8" i="10"/>
  <c r="C13" s="1"/>
  <c r="D8" i="9"/>
  <c r="A186" s="1"/>
  <c r="D8" i="8"/>
  <c r="C13" s="1"/>
  <c r="D8" i="7"/>
  <c r="D8" i="6"/>
  <c r="C13" s="1"/>
  <c r="D8" i="4"/>
  <c r="C13" s="1"/>
  <c r="D8" i="3"/>
  <c r="A186" s="1"/>
  <c r="D8" i="1"/>
  <c r="C13" s="1"/>
  <c r="F121" i="15"/>
  <c r="F118" s="1"/>
  <c r="F87"/>
  <c r="F45"/>
  <c r="F34"/>
  <c r="I32"/>
  <c r="H32"/>
  <c r="G32"/>
  <c r="G158" i="14"/>
  <c r="F121"/>
  <c r="F118" s="1"/>
  <c r="F87"/>
  <c r="F83" s="1"/>
  <c r="F45"/>
  <c r="F34"/>
  <c r="I32"/>
  <c r="H32"/>
  <c r="G32"/>
  <c r="G158" i="13"/>
  <c r="F121"/>
  <c r="F118" s="1"/>
  <c r="F96"/>
  <c r="F87"/>
  <c r="F83" s="1"/>
  <c r="F45"/>
  <c r="F34"/>
  <c r="I32"/>
  <c r="H32"/>
  <c r="G32"/>
  <c r="G158" i="12"/>
  <c r="F121"/>
  <c r="F118" s="1"/>
  <c r="F87"/>
  <c r="F83" s="1"/>
  <c r="F45"/>
  <c r="F34"/>
  <c r="I32"/>
  <c r="H32"/>
  <c r="G32"/>
  <c r="G158" i="11"/>
  <c r="F121"/>
  <c r="F118" s="1"/>
  <c r="F87"/>
  <c r="F83" s="1"/>
  <c r="F45"/>
  <c r="F34"/>
  <c r="I32"/>
  <c r="H32"/>
  <c r="G32"/>
  <c r="G158" i="10"/>
  <c r="F121"/>
  <c r="F118" s="1"/>
  <c r="F87"/>
  <c r="F83" s="1"/>
  <c r="F45"/>
  <c r="F34"/>
  <c r="I32"/>
  <c r="H32"/>
  <c r="G32"/>
  <c r="G158" i="9"/>
  <c r="F121"/>
  <c r="F118" s="1"/>
  <c r="F87"/>
  <c r="F83" s="1"/>
  <c r="F45"/>
  <c r="F34"/>
  <c r="I32"/>
  <c r="H32"/>
  <c r="G32"/>
  <c r="G158" i="8"/>
  <c r="F121"/>
  <c r="F118" s="1"/>
  <c r="F87"/>
  <c r="F85" s="1"/>
  <c r="F45"/>
  <c r="F34"/>
  <c r="I32"/>
  <c r="H32"/>
  <c r="G32"/>
  <c r="G158" i="7"/>
  <c r="F121"/>
  <c r="F118" s="1"/>
  <c r="F87"/>
  <c r="F83" s="1"/>
  <c r="F45"/>
  <c r="F34"/>
  <c r="I32"/>
  <c r="H32"/>
  <c r="G32"/>
  <c r="G158" i="6"/>
  <c r="F121"/>
  <c r="F118" s="1"/>
  <c r="F87"/>
  <c r="F85" s="1"/>
  <c r="F45"/>
  <c r="F34"/>
  <c r="I32"/>
  <c r="H32"/>
  <c r="G32"/>
  <c r="G158" i="4"/>
  <c r="F121"/>
  <c r="F118" s="1"/>
  <c r="F87"/>
  <c r="F85" s="1"/>
  <c r="F45"/>
  <c r="F34"/>
  <c r="I32"/>
  <c r="H32"/>
  <c r="G158" i="3"/>
  <c r="F121"/>
  <c r="F118" s="1"/>
  <c r="F87"/>
  <c r="F85" s="1"/>
  <c r="F45"/>
  <c r="F34"/>
  <c r="I32"/>
  <c r="H32"/>
  <c r="G32"/>
  <c r="AT4" i="2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"/>
  <c r="G142" i="1"/>
  <c r="BB38" i="2"/>
  <c r="BA38"/>
  <c r="G158" i="1"/>
  <c r="F121"/>
  <c r="F118" s="1"/>
  <c r="F87"/>
  <c r="F83" s="1"/>
  <c r="F45"/>
  <c r="AL3" i="2"/>
  <c r="F44" i="1"/>
  <c r="FZ38" i="2"/>
  <c r="GA38"/>
  <c r="GZ38"/>
  <c r="GM38"/>
  <c r="GB38"/>
  <c r="F34" i="1"/>
  <c r="G32"/>
  <c r="H32"/>
  <c r="I32"/>
  <c r="F96"/>
  <c r="F44" i="25"/>
  <c r="F44" i="20"/>
  <c r="F44" i="36"/>
  <c r="F44" i="9"/>
  <c r="F44" i="33"/>
  <c r="F66" i="12"/>
  <c r="G155" i="35"/>
  <c r="G153" s="1"/>
  <c r="F44" i="37"/>
  <c r="G171" i="12"/>
  <c r="G165" s="1"/>
  <c r="G171" i="4"/>
  <c r="G165" s="1"/>
  <c r="F44" i="21"/>
  <c r="G171" i="1"/>
  <c r="G165" s="1"/>
  <c r="F44" i="8"/>
  <c r="F44" i="16"/>
  <c r="F44" i="28"/>
  <c r="F44" i="30"/>
  <c r="G171" i="26"/>
  <c r="G165" s="1"/>
  <c r="F44" i="27"/>
  <c r="F44" i="14"/>
  <c r="F44" i="22"/>
  <c r="F44" i="6"/>
  <c r="F44" i="15"/>
  <c r="G171" i="19"/>
  <c r="G165" s="1"/>
  <c r="AH15" i="2"/>
  <c r="FX15" s="1"/>
  <c r="AH6"/>
  <c r="FX6" s="1"/>
  <c r="F44" i="7"/>
  <c r="G171" i="23"/>
  <c r="G165" s="1"/>
  <c r="F44" i="31"/>
  <c r="G155" i="16"/>
  <c r="G153" s="1"/>
  <c r="G155" i="14"/>
  <c r="G153" s="1"/>
  <c r="F44" i="3"/>
  <c r="U38" i="2"/>
  <c r="F44" i="11"/>
  <c r="I38" i="2"/>
  <c r="G155" i="28"/>
  <c r="G153" s="1"/>
  <c r="AB78" i="2"/>
  <c r="AH18"/>
  <c r="FX18" s="1"/>
  <c r="F110" i="3"/>
  <c r="G155"/>
  <c r="G153" s="1"/>
  <c r="AH21" i="2"/>
  <c r="F49" i="21" s="1"/>
  <c r="F110" i="14"/>
  <c r="G155" i="25"/>
  <c r="G153" s="1"/>
  <c r="AH17" i="2"/>
  <c r="F49" i="17" s="1"/>
  <c r="G155" i="21"/>
  <c r="G153" s="1"/>
  <c r="AH37" i="2"/>
  <c r="F49" i="37" s="1"/>
  <c r="F47" s="1"/>
  <c r="F110" i="28"/>
  <c r="AB38" i="2"/>
  <c r="F44" i="13"/>
  <c r="G171"/>
  <c r="G165" s="1"/>
  <c r="G171" i="10"/>
  <c r="G165" s="1"/>
  <c r="F44"/>
  <c r="G155" i="32"/>
  <c r="G153" s="1"/>
  <c r="AH32" i="2"/>
  <c r="F49" i="32" s="1"/>
  <c r="F47" s="1"/>
  <c r="F96" i="16"/>
  <c r="F66" i="24"/>
  <c r="G155" i="30"/>
  <c r="G153" s="1"/>
  <c r="AH10" i="2"/>
  <c r="F49" i="10" s="1"/>
  <c r="G155"/>
  <c r="G153" s="1"/>
  <c r="AC78" i="2"/>
  <c r="AH16"/>
  <c r="F49" i="16" s="1"/>
  <c r="G155" i="34"/>
  <c r="G153" s="1"/>
  <c r="G155" i="33"/>
  <c r="G153" s="1"/>
  <c r="AH25" i="2"/>
  <c r="F49" i="25" s="1"/>
  <c r="G155" i="17"/>
  <c r="G153" s="1"/>
  <c r="G155" i="22"/>
  <c r="G153" s="1"/>
  <c r="G155" i="18"/>
  <c r="G153" s="1"/>
  <c r="AH14" i="2"/>
  <c r="FX14" s="1"/>
  <c r="G155" i="6"/>
  <c r="G153" s="1"/>
  <c r="G171" i="17"/>
  <c r="G165" s="1"/>
  <c r="F44"/>
  <c r="F44" i="34"/>
  <c r="G171"/>
  <c r="G165" s="1"/>
  <c r="G155" i="24"/>
  <c r="G153" s="1"/>
  <c r="G171"/>
  <c r="G165" s="1"/>
  <c r="F44"/>
  <c r="G155" i="12"/>
  <c r="G153" s="1"/>
  <c r="AH23" i="2"/>
  <c r="F49" i="23" s="1"/>
  <c r="G155"/>
  <c r="G153" s="1"/>
  <c r="AH19" i="2"/>
  <c r="F49" i="19" s="1"/>
  <c r="G155"/>
  <c r="G153" s="1"/>
  <c r="G155" i="11"/>
  <c r="G153" s="1"/>
  <c r="AH11" i="2"/>
  <c r="G155" i="7"/>
  <c r="G153" s="1"/>
  <c r="AH7" i="2"/>
  <c r="FX7" s="1"/>
  <c r="F117" i="16"/>
  <c r="BK38" i="2"/>
  <c r="BK40"/>
  <c r="G155" i="8"/>
  <c r="G153" s="1"/>
  <c r="G155" i="37"/>
  <c r="G153" s="1"/>
  <c r="G38" i="2"/>
  <c r="AH28"/>
  <c r="F49" i="28" s="1"/>
  <c r="H38" i="2"/>
  <c r="AH35"/>
  <c r="G155" i="15"/>
  <c r="G153" s="1"/>
  <c r="AY38" i="2"/>
  <c r="AL38"/>
  <c r="AH33"/>
  <c r="FX33" s="1"/>
  <c r="F44" i="29"/>
  <c r="F44" i="32"/>
  <c r="F44" i="35"/>
  <c r="G171" i="18"/>
  <c r="G165" s="1"/>
  <c r="F94" i="1"/>
  <c r="F66" i="37"/>
  <c r="F117" i="4"/>
  <c r="G143" i="14"/>
  <c r="F117" i="28"/>
  <c r="F117" i="24"/>
  <c r="F117" i="1"/>
  <c r="FX37" i="2"/>
  <c r="F49" i="18"/>
  <c r="F49" i="14"/>
  <c r="F49" i="11"/>
  <c r="FX11" i="2"/>
  <c r="F49" i="35"/>
  <c r="F47" s="1"/>
  <c r="FX35" i="2"/>
  <c r="FX10"/>
  <c r="R38"/>
  <c r="Q38"/>
  <c r="N38" l="1"/>
  <c r="F85" i="13"/>
  <c r="F85" i="36"/>
  <c r="G155" i="26"/>
  <c r="G153" s="1"/>
  <c r="FX23" i="2"/>
  <c r="F49" i="15"/>
  <c r="F47" s="1"/>
  <c r="F49" i="33"/>
  <c r="F47" s="1"/>
  <c r="F49" i="6"/>
  <c r="G143" i="32"/>
  <c r="F63" i="13"/>
  <c r="AH12" i="2"/>
  <c r="FX12" s="1"/>
  <c r="AC38"/>
  <c r="F92" i="32"/>
  <c r="O15" i="2"/>
  <c r="Y15" s="1"/>
  <c r="F42" i="15" s="1"/>
  <c r="F40" s="1"/>
  <c r="O23" i="2"/>
  <c r="Y23" s="1"/>
  <c r="F42" i="23" s="1"/>
  <c r="F40" s="1"/>
  <c r="F115" i="24"/>
  <c r="F107" s="1"/>
  <c r="GX34" i="2"/>
  <c r="F47" i="18"/>
  <c r="F85" i="33"/>
  <c r="F92" i="35"/>
  <c r="F83" i="27"/>
  <c r="F85" i="10"/>
  <c r="F83" i="4"/>
  <c r="F92" i="27"/>
  <c r="AH29" i="2"/>
  <c r="FX29" s="1"/>
  <c r="G155" i="29"/>
  <c r="G153" s="1"/>
  <c r="AH9" i="2"/>
  <c r="F110" i="9"/>
  <c r="G155"/>
  <c r="G153" s="1"/>
  <c r="AH36" i="2"/>
  <c r="F49" i="36" s="1"/>
  <c r="F47" s="1"/>
  <c r="F83" i="35"/>
  <c r="F47" i="21"/>
  <c r="F92" i="1"/>
  <c r="F47" i="25"/>
  <c r="F47" i="16"/>
  <c r="G142" i="11"/>
  <c r="F83" i="6"/>
  <c r="G142" i="8"/>
  <c r="G143" i="29"/>
  <c r="F85" i="30"/>
  <c r="F92" i="31"/>
  <c r="F92" i="10"/>
  <c r="A186" i="4"/>
  <c r="A186" i="12"/>
  <c r="F115" i="32"/>
  <c r="F107" s="1"/>
  <c r="GX32" i="2"/>
  <c r="A186" i="22"/>
  <c r="G142" i="16"/>
  <c r="F63" i="21"/>
  <c r="F92"/>
  <c r="F63" i="22"/>
  <c r="F47" i="14"/>
  <c r="F83" i="32"/>
  <c r="C13" i="18"/>
  <c r="G143" i="27"/>
  <c r="O34" i="2"/>
  <c r="Y34" s="1"/>
  <c r="F42" i="34" s="1"/>
  <c r="F40" s="1"/>
  <c r="G151" i="26"/>
  <c r="G149" s="1"/>
  <c r="O18" i="2"/>
  <c r="Y18" s="1"/>
  <c r="F42" i="18" s="1"/>
  <c r="F40" s="1"/>
  <c r="F32" s="1"/>
  <c r="GX10" i="2"/>
  <c r="GX31"/>
  <c r="GX27"/>
  <c r="F117" i="34"/>
  <c r="GX30" i="2"/>
  <c r="O22"/>
  <c r="Y22" s="1"/>
  <c r="AO22" s="1"/>
  <c r="GY22" s="1"/>
  <c r="G151" i="14"/>
  <c r="G149" s="1"/>
  <c r="G147" s="1"/>
  <c r="G175" s="1"/>
  <c r="G176" s="1"/>
  <c r="O6" i="2"/>
  <c r="Y6" s="1"/>
  <c r="F42" i="6" s="1"/>
  <c r="F40" s="1"/>
  <c r="GX37" i="2"/>
  <c r="F115" i="37"/>
  <c r="F107" s="1"/>
  <c r="G151"/>
  <c r="G149" s="1"/>
  <c r="G147" s="1"/>
  <c r="O37" i="2"/>
  <c r="Y37" s="1"/>
  <c r="F42" i="37" s="1"/>
  <c r="F40" s="1"/>
  <c r="F32" s="1"/>
  <c r="F115" i="21"/>
  <c r="F107" s="1"/>
  <c r="GX21" i="2"/>
  <c r="F115" i="4"/>
  <c r="G151"/>
  <c r="G149" s="1"/>
  <c r="GX5" i="2"/>
  <c r="O35"/>
  <c r="Y35" s="1"/>
  <c r="AO35" s="1"/>
  <c r="GY35" s="1"/>
  <c r="G151" i="35"/>
  <c r="G149" s="1"/>
  <c r="G147" s="1"/>
  <c r="GX35" i="2"/>
  <c r="F115" i="35"/>
  <c r="F107" s="1"/>
  <c r="O19" i="2"/>
  <c r="Y19" s="1"/>
  <c r="AO19" s="1"/>
  <c r="GY19" s="1"/>
  <c r="F115" i="19"/>
  <c r="F107" s="1"/>
  <c r="O11" i="2"/>
  <c r="Y11" s="1"/>
  <c r="F42" i="11" s="1"/>
  <c r="F40" s="1"/>
  <c r="G151"/>
  <c r="G149" s="1"/>
  <c r="G147" s="1"/>
  <c r="G175" s="1"/>
  <c r="G176" s="1"/>
  <c r="F115"/>
  <c r="F107" s="1"/>
  <c r="GX11" i="2"/>
  <c r="GX7"/>
  <c r="F115" i="7"/>
  <c r="F107" s="1"/>
  <c r="F115" i="29"/>
  <c r="F107" s="1"/>
  <c r="O29" i="2"/>
  <c r="Y29" s="1"/>
  <c r="F42" i="29" s="1"/>
  <c r="F40" s="1"/>
  <c r="G151"/>
  <c r="G149" s="1"/>
  <c r="G147" s="1"/>
  <c r="G175" s="1"/>
  <c r="G176" s="1"/>
  <c r="O13" i="2"/>
  <c r="Y13" s="1"/>
  <c r="F42" i="13" s="1"/>
  <c r="F40" s="1"/>
  <c r="F115"/>
  <c r="G151" i="1"/>
  <c r="G149" s="1"/>
  <c r="GX3" i="2"/>
  <c r="F115" i="1"/>
  <c r="GX33" i="2"/>
  <c r="F115" i="33"/>
  <c r="F107" s="1"/>
  <c r="GX25" i="2"/>
  <c r="F115" i="25"/>
  <c r="F107" s="1"/>
  <c r="O17" i="2"/>
  <c r="Y17" s="1"/>
  <c r="AO17" s="1"/>
  <c r="GY17" s="1"/>
  <c r="F115" i="17"/>
  <c r="F107" s="1"/>
  <c r="F115" i="9"/>
  <c r="GX9" i="2"/>
  <c r="GX22"/>
  <c r="F115" i="14"/>
  <c r="F107" s="1"/>
  <c r="F115" i="6"/>
  <c r="F107" s="1"/>
  <c r="G151" i="16"/>
  <c r="G149" s="1"/>
  <c r="G147" s="1"/>
  <c r="F115" i="20"/>
  <c r="GX12" i="2"/>
  <c r="GX14"/>
  <c r="F115" i="31"/>
  <c r="G151" i="17"/>
  <c r="G149" s="1"/>
  <c r="G147" s="1"/>
  <c r="GX17" i="2"/>
  <c r="G151" i="9"/>
  <c r="G149" s="1"/>
  <c r="F115" i="27"/>
  <c r="G151" i="7"/>
  <c r="G149" s="1"/>
  <c r="G147" s="1"/>
  <c r="G175" s="1"/>
  <c r="G176" s="1"/>
  <c r="G151" i="19"/>
  <c r="G149" s="1"/>
  <c r="G147" s="1"/>
  <c r="G175" s="1"/>
  <c r="G176" s="1"/>
  <c r="G151" i="13"/>
  <c r="G149" s="1"/>
  <c r="GX29" i="2"/>
  <c r="GX13"/>
  <c r="F115" i="15"/>
  <c r="F107" s="1"/>
  <c r="F115" i="23"/>
  <c r="F107" s="1"/>
  <c r="O7" i="2"/>
  <c r="Y7" s="1"/>
  <c r="AO7" s="1"/>
  <c r="GY7" s="1"/>
  <c r="GX19"/>
  <c r="G151" i="21"/>
  <c r="G149" s="1"/>
  <c r="G147" s="1"/>
  <c r="G175" s="1"/>
  <c r="G176" s="1"/>
  <c r="GX23" i="2"/>
  <c r="G151" i="15"/>
  <c r="G149" s="1"/>
  <c r="G147" s="1"/>
  <c r="G175" s="1"/>
  <c r="G176" s="1"/>
  <c r="GX15" i="2"/>
  <c r="G151" i="25"/>
  <c r="G149" s="1"/>
  <c r="G147" s="1"/>
  <c r="G175" s="1"/>
  <c r="G176" s="1"/>
  <c r="G151" i="34"/>
  <c r="G149" s="1"/>
  <c r="G147" s="1"/>
  <c r="O25" i="2"/>
  <c r="Y25" s="1"/>
  <c r="AO25" s="1"/>
  <c r="GY25" s="1"/>
  <c r="G151" i="23"/>
  <c r="G149" s="1"/>
  <c r="G147" s="1"/>
  <c r="GX36" i="2"/>
  <c r="G151" i="28"/>
  <c r="G149" s="1"/>
  <c r="G147" s="1"/>
  <c r="G151" i="27"/>
  <c r="G149" s="1"/>
  <c r="O26" i="2"/>
  <c r="Y26" s="1"/>
  <c r="F42" i="26" s="1"/>
  <c r="F40" s="1"/>
  <c r="O27" i="2"/>
  <c r="Y27" s="1"/>
  <c r="F42" i="27" s="1"/>
  <c r="F40" s="1"/>
  <c r="O33" i="2"/>
  <c r="Y33" s="1"/>
  <c r="AO33" s="1"/>
  <c r="GY33" s="1"/>
  <c r="O21"/>
  <c r="Y21" s="1"/>
  <c r="F42" i="21" s="1"/>
  <c r="F40" s="1"/>
  <c r="O5" i="2"/>
  <c r="Y5" s="1"/>
  <c r="F42" i="4" s="1"/>
  <c r="F40" s="1"/>
  <c r="C13" i="23"/>
  <c r="A186" i="32"/>
  <c r="FX34" i="2"/>
  <c r="F49" i="34"/>
  <c r="F47" s="1"/>
  <c r="FX30" i="2"/>
  <c r="F49" i="30"/>
  <c r="F47" s="1"/>
  <c r="F49" i="24"/>
  <c r="F47" s="1"/>
  <c r="FX24" i="2"/>
  <c r="F49" i="22"/>
  <c r="F47" s="1"/>
  <c r="FX22" i="2"/>
  <c r="FX19"/>
  <c r="F49" i="12"/>
  <c r="F47" s="1"/>
  <c r="AD38" i="2"/>
  <c r="F63" i="14"/>
  <c r="FX32" i="2"/>
  <c r="FX16"/>
  <c r="FX8"/>
  <c r="F49" i="7"/>
  <c r="F47" s="1"/>
  <c r="F65" i="30"/>
  <c r="F63" s="1"/>
  <c r="F65" i="8"/>
  <c r="F65" i="3"/>
  <c r="F63" s="1"/>
  <c r="F63" i="35"/>
  <c r="F63" i="27"/>
  <c r="FX17" i="2"/>
  <c r="F47" i="19"/>
  <c r="F47" i="28"/>
  <c r="G142" i="9"/>
  <c r="F63" i="10"/>
  <c r="F92" i="23"/>
  <c r="F92" i="15"/>
  <c r="F47" i="23"/>
  <c r="G142" i="4"/>
  <c r="A186" i="27"/>
  <c r="F92" i="20"/>
  <c r="F92" i="14"/>
  <c r="F92" i="33"/>
  <c r="F92" i="25"/>
  <c r="G107" i="29"/>
  <c r="G61" s="1"/>
  <c r="F85" i="34"/>
  <c r="F92" i="19"/>
  <c r="F110" i="20"/>
  <c r="G155"/>
  <c r="G153" s="1"/>
  <c r="G147" s="1"/>
  <c r="G175" s="1"/>
  <c r="G176" s="1"/>
  <c r="AH20" i="2"/>
  <c r="F49" i="20" s="1"/>
  <c r="F47" s="1"/>
  <c r="F83" i="8"/>
  <c r="A186" i="28"/>
  <c r="F85" i="12"/>
  <c r="F63" i="19"/>
  <c r="F92" i="24"/>
  <c r="F92" i="18"/>
  <c r="G143"/>
  <c r="G142" i="15"/>
  <c r="A186" i="24"/>
  <c r="F83" i="23"/>
  <c r="F92" i="36"/>
  <c r="F92" i="34"/>
  <c r="F92" i="28"/>
  <c r="F92" i="26"/>
  <c r="F92" i="9"/>
  <c r="F92" i="30"/>
  <c r="F92" i="22"/>
  <c r="F92" i="6"/>
  <c r="F110" i="36"/>
  <c r="F107" s="1"/>
  <c r="G155" i="31"/>
  <c r="G153" s="1"/>
  <c r="G147" s="1"/>
  <c r="G175" s="1"/>
  <c r="G176" s="1"/>
  <c r="AH31" i="2"/>
  <c r="F110" i="31"/>
  <c r="G155" i="27"/>
  <c r="G153" s="1"/>
  <c r="AH27" i="2"/>
  <c r="F110" i="27"/>
  <c r="AH26" i="2"/>
  <c r="AH13"/>
  <c r="F110" i="13"/>
  <c r="G155"/>
  <c r="G153" s="1"/>
  <c r="G155" i="4"/>
  <c r="G153" s="1"/>
  <c r="F110"/>
  <c r="AH5" i="2"/>
  <c r="F49" i="4" s="1"/>
  <c r="F47" s="1"/>
  <c r="FU38" i="2"/>
  <c r="FR38" s="1"/>
  <c r="G155" i="1"/>
  <c r="G153" s="1"/>
  <c r="F110"/>
  <c r="AH3" i="2"/>
  <c r="FX3" s="1"/>
  <c r="F66" i="16"/>
  <c r="F63" s="1"/>
  <c r="F63" i="11"/>
  <c r="FX21" i="2"/>
  <c r="FX25"/>
  <c r="O20"/>
  <c r="Y20" s="1"/>
  <c r="AO20" s="1"/>
  <c r="GY20" s="1"/>
  <c r="O32"/>
  <c r="Y32" s="1"/>
  <c r="F42" i="32" s="1"/>
  <c r="F40" s="1"/>
  <c r="F32" s="1"/>
  <c r="O28" i="2"/>
  <c r="Y28" s="1"/>
  <c r="AO28" s="1"/>
  <c r="GY28" s="1"/>
  <c r="O9"/>
  <c r="Y9" s="1"/>
  <c r="F42" i="9" s="1"/>
  <c r="F40" s="1"/>
  <c r="F66" i="8"/>
  <c r="F63" i="18"/>
  <c r="F66" i="36"/>
  <c r="F63" s="1"/>
  <c r="FX4" i="2"/>
  <c r="F63" i="23"/>
  <c r="FX20" i="2"/>
  <c r="FX28"/>
  <c r="O8"/>
  <c r="Y8" s="1"/>
  <c r="AO8" s="1"/>
  <c r="GY8" s="1"/>
  <c r="F63" i="33"/>
  <c r="F63" i="4"/>
  <c r="F42" i="7"/>
  <c r="F40" s="1"/>
  <c r="F42" i="25"/>
  <c r="F40" s="1"/>
  <c r="F42" i="20"/>
  <c r="F40" s="1"/>
  <c r="O36" i="2"/>
  <c r="Y36" s="1"/>
  <c r="O24"/>
  <c r="Y24" s="1"/>
  <c r="GX20"/>
  <c r="O4"/>
  <c r="Y4" s="1"/>
  <c r="G151" i="10"/>
  <c r="G149" s="1"/>
  <c r="G147" s="1"/>
  <c r="GX18" i="2"/>
  <c r="F115" i="22"/>
  <c r="F107" s="1"/>
  <c r="G151" i="12"/>
  <c r="G149" s="1"/>
  <c r="G147" s="1"/>
  <c r="G175" s="1"/>
  <c r="G176" s="1"/>
  <c r="O14" i="2"/>
  <c r="Y14" s="1"/>
  <c r="F115" i="18"/>
  <c r="F107" s="1"/>
  <c r="D38" i="2"/>
  <c r="G151" i="8"/>
  <c r="G149" s="1"/>
  <c r="G147" s="1"/>
  <c r="G151" i="36"/>
  <c r="G149" s="1"/>
  <c r="G147" s="1"/>
  <c r="G138" s="1"/>
  <c r="O16" i="2"/>
  <c r="Y16" s="1"/>
  <c r="O10"/>
  <c r="Y10" s="1"/>
  <c r="G151" i="18"/>
  <c r="G149" s="1"/>
  <c r="G147" s="1"/>
  <c r="G151" i="6"/>
  <c r="G149" s="1"/>
  <c r="G147" s="1"/>
  <c r="G175" s="1"/>
  <c r="G176" s="1"/>
  <c r="GX6" i="2"/>
  <c r="G151" i="30"/>
  <c r="G149" s="1"/>
  <c r="G147" s="1"/>
  <c r="G175" s="1"/>
  <c r="G176" s="1"/>
  <c r="F115" i="34"/>
  <c r="F115" i="10"/>
  <c r="F107" s="1"/>
  <c r="F115" i="26"/>
  <c r="F107" s="1"/>
  <c r="G151" i="33"/>
  <c r="G149" s="1"/>
  <c r="G147" s="1"/>
  <c r="GX4" i="2"/>
  <c r="O12"/>
  <c r="Y12" s="1"/>
  <c r="G151" i="24"/>
  <c r="G149" s="1"/>
  <c r="G147" s="1"/>
  <c r="G175" s="1"/>
  <c r="G176" s="1"/>
  <c r="F115" i="8"/>
  <c r="F107" s="1"/>
  <c r="F115" i="3"/>
  <c r="F107" s="1"/>
  <c r="O30" i="2"/>
  <c r="Y30" s="1"/>
  <c r="F115" i="30"/>
  <c r="F107" s="1"/>
  <c r="O3" i="2"/>
  <c r="Y3" s="1"/>
  <c r="GX26"/>
  <c r="GX28"/>
  <c r="G151" i="22"/>
  <c r="G149" s="1"/>
  <c r="G147" s="1"/>
  <c r="G138" s="1"/>
  <c r="GX16" i="2"/>
  <c r="O31"/>
  <c r="Y31" s="1"/>
  <c r="H175" i="4"/>
  <c r="H138"/>
  <c r="F85" i="11"/>
  <c r="F85" i="29"/>
  <c r="G142" i="33"/>
  <c r="C13" i="14"/>
  <c r="C13" i="3"/>
  <c r="F83"/>
  <c r="F85" i="7"/>
  <c r="F85" i="9"/>
  <c r="A186" i="16"/>
  <c r="F85" i="37"/>
  <c r="F63" i="12"/>
  <c r="G143" i="13"/>
  <c r="F47" i="11"/>
  <c r="G143" i="28"/>
  <c r="F85" i="14"/>
  <c r="A186" i="21"/>
  <c r="A188" i="29"/>
  <c r="F85" i="18"/>
  <c r="A186" i="6"/>
  <c r="G142" i="31"/>
  <c r="F83" i="25"/>
  <c r="C13" i="35"/>
  <c r="G142" i="19"/>
  <c r="G142" i="34"/>
  <c r="F85" i="31"/>
  <c r="A186" i="19"/>
  <c r="G142" i="7"/>
  <c r="G142" i="30"/>
  <c r="G147" i="3"/>
  <c r="G175" s="1"/>
  <c r="G176" s="1"/>
  <c r="F83" i="28"/>
  <c r="F85" i="16"/>
  <c r="G142" i="23"/>
  <c r="G142" i="25"/>
  <c r="F47" i="8"/>
  <c r="F107" i="16"/>
  <c r="G147" i="32"/>
  <c r="G175" s="1"/>
  <c r="G176" s="1"/>
  <c r="F107" i="12"/>
  <c r="F47" i="17"/>
  <c r="F63" i="32"/>
  <c r="F63" i="28"/>
  <c r="F63" i="9"/>
  <c r="F92" i="17"/>
  <c r="F92" i="4"/>
  <c r="F63" i="20"/>
  <c r="F92" i="7"/>
  <c r="F107" i="28"/>
  <c r="F47" i="3"/>
  <c r="G142" i="20"/>
  <c r="F63" i="17"/>
  <c r="F63" i="6"/>
  <c r="F63" i="1"/>
  <c r="F63" i="26"/>
  <c r="F92" i="11"/>
  <c r="F92" i="12"/>
  <c r="F92" i="3"/>
  <c r="G143" i="22"/>
  <c r="C13" i="26"/>
  <c r="A186" i="31"/>
  <c r="A186" i="33"/>
  <c r="A186" i="10"/>
  <c r="C13" i="17"/>
  <c r="A186" i="1"/>
  <c r="C13" i="37"/>
  <c r="A186" i="8"/>
  <c r="A186" i="20"/>
  <c r="I138" i="29"/>
  <c r="I175"/>
  <c r="F83" i="26"/>
  <c r="F85"/>
  <c r="G143" i="10"/>
  <c r="G142"/>
  <c r="H138" i="29"/>
  <c r="H175"/>
  <c r="C13" i="7"/>
  <c r="A186"/>
  <c r="F83" i="15"/>
  <c r="F85"/>
  <c r="F85" i="24"/>
  <c r="F83"/>
  <c r="G142" i="6"/>
  <c r="G143"/>
  <c r="G143" i="17"/>
  <c r="G142"/>
  <c r="A186" i="11"/>
  <c r="C13"/>
  <c r="C13" i="30"/>
  <c r="A186"/>
  <c r="C13" i="34"/>
  <c r="A186"/>
  <c r="A186" i="36"/>
  <c r="C13"/>
  <c r="F63" i="37"/>
  <c r="G142" i="3"/>
  <c r="G143" i="36"/>
  <c r="F63" i="25"/>
  <c r="F92" i="37"/>
  <c r="F92" i="29"/>
  <c r="F92" i="13"/>
  <c r="F47" i="10"/>
  <c r="F47" i="6"/>
  <c r="C13" i="13"/>
  <c r="F85" i="21"/>
  <c r="G142" i="24"/>
  <c r="F85" i="17"/>
  <c r="F83" i="19"/>
  <c r="F85" i="20"/>
  <c r="F85" i="22"/>
  <c r="A186" i="25"/>
  <c r="F63" i="34"/>
  <c r="F63" i="24"/>
  <c r="F63" i="15"/>
  <c r="F63" i="7"/>
  <c r="F63" i="29"/>
  <c r="C13" i="15"/>
  <c r="C13" i="9"/>
  <c r="G142" i="12"/>
  <c r="F85" i="1"/>
  <c r="F63" i="31"/>
  <c r="F92" i="16"/>
  <c r="F92" i="8"/>
  <c r="AO18" i="2" l="1"/>
  <c r="GY18" s="1"/>
  <c r="O38"/>
  <c r="O42" s="1"/>
  <c r="G147" i="26"/>
  <c r="G138" s="1"/>
  <c r="L139" s="1"/>
  <c r="F32" i="15"/>
  <c r="FX5" i="2"/>
  <c r="FX36"/>
  <c r="G147" i="13"/>
  <c r="G175" s="1"/>
  <c r="G176" s="1"/>
  <c r="L139" i="36"/>
  <c r="F42" i="8"/>
  <c r="F40" s="1"/>
  <c r="F32" s="1"/>
  <c r="AO11" i="2"/>
  <c r="GY11" s="1"/>
  <c r="AO21"/>
  <c r="GY21" s="1"/>
  <c r="AO15"/>
  <c r="GY15" s="1"/>
  <c r="AO6"/>
  <c r="GY6" s="1"/>
  <c r="AO23"/>
  <c r="GY23" s="1"/>
  <c r="AO13"/>
  <c r="GY13" s="1"/>
  <c r="AO34"/>
  <c r="GY34" s="1"/>
  <c r="F42" i="35"/>
  <c r="F40" s="1"/>
  <c r="F32" s="1"/>
  <c r="F107" i="34"/>
  <c r="F61" s="1"/>
  <c r="G138" i="3"/>
  <c r="L139" s="1"/>
  <c r="F32" i="25"/>
  <c r="F32" i="23"/>
  <c r="F107" i="27"/>
  <c r="F61" s="1"/>
  <c r="F61" i="35"/>
  <c r="F61" i="21"/>
  <c r="F49" i="29"/>
  <c r="F47" s="1"/>
  <c r="F32" s="1"/>
  <c r="F49" i="9"/>
  <c r="F47" s="1"/>
  <c r="F32" s="1"/>
  <c r="FX9" i="2"/>
  <c r="G147" i="9"/>
  <c r="G175" s="1"/>
  <c r="G176" s="1"/>
  <c r="F107"/>
  <c r="F61" s="1"/>
  <c r="F61" i="23"/>
  <c r="F32" i="21"/>
  <c r="G138" i="24"/>
  <c r="L139" s="1"/>
  <c r="F61" i="10"/>
  <c r="F107" i="31"/>
  <c r="F61" s="1"/>
  <c r="G138" i="35"/>
  <c r="L139" s="1"/>
  <c r="G175"/>
  <c r="G176" s="1"/>
  <c r="AO32" i="2"/>
  <c r="GY32" s="1"/>
  <c r="AO37"/>
  <c r="GY37" s="1"/>
  <c r="F42" i="33"/>
  <c r="F40" s="1"/>
  <c r="F32" s="1"/>
  <c r="AO29" i="2"/>
  <c r="GY29" s="1"/>
  <c r="G147" i="4"/>
  <c r="G175" s="1"/>
  <c r="G176" s="1"/>
  <c r="F61" i="3"/>
  <c r="F61" i="22"/>
  <c r="G175" i="36"/>
  <c r="G176" s="1"/>
  <c r="F107" i="1"/>
  <c r="F61" s="1"/>
  <c r="G147" i="27"/>
  <c r="G175" s="1"/>
  <c r="G176" s="1"/>
  <c r="F42" i="22"/>
  <c r="F40" s="1"/>
  <c r="F32" s="1"/>
  <c r="L138" s="1"/>
  <c r="F61" i="25"/>
  <c r="L138" s="1"/>
  <c r="F42" i="17"/>
  <c r="F40" s="1"/>
  <c r="F32" s="1"/>
  <c r="G147" i="1"/>
  <c r="G138" s="1"/>
  <c r="F107" i="20"/>
  <c r="F61" s="1"/>
  <c r="G138" i="11"/>
  <c r="L139" s="1"/>
  <c r="F107" i="13"/>
  <c r="F61" s="1"/>
  <c r="F42" i="19"/>
  <c r="F40" s="1"/>
  <c r="F32" s="1"/>
  <c r="F107" i="4"/>
  <c r="F61" s="1"/>
  <c r="G175" i="23"/>
  <c r="G176" s="1"/>
  <c r="G138"/>
  <c r="L139" s="1"/>
  <c r="G138" i="25"/>
  <c r="L139" s="1"/>
  <c r="AO9" i="2"/>
  <c r="GY9" s="1"/>
  <c r="AO26"/>
  <c r="GY26" s="1"/>
  <c r="F61" i="11"/>
  <c r="F32" i="20"/>
  <c r="G138" i="19"/>
  <c r="L139" s="1"/>
  <c r="F32" i="11"/>
  <c r="F32" i="4"/>
  <c r="AO27" i="2"/>
  <c r="GY27" s="1"/>
  <c r="F32" i="34"/>
  <c r="F32" i="7"/>
  <c r="F63" i="8"/>
  <c r="F61" s="1"/>
  <c r="F61" i="30"/>
  <c r="F61" i="14"/>
  <c r="G138" i="29"/>
  <c r="L139" s="1"/>
  <c r="F61" i="12"/>
  <c r="F61" i="6"/>
  <c r="F61" i="33"/>
  <c r="F61" i="7"/>
  <c r="G138"/>
  <c r="L139" s="1"/>
  <c r="G138" i="20"/>
  <c r="G138" i="6"/>
  <c r="L139" s="1"/>
  <c r="G138" i="14"/>
  <c r="L139" s="1"/>
  <c r="L139" i="22"/>
  <c r="G138" i="34"/>
  <c r="FX31" i="2"/>
  <c r="F49" i="31"/>
  <c r="F47" s="1"/>
  <c r="G138"/>
  <c r="FX27" i="2"/>
  <c r="F49" i="27"/>
  <c r="F47" s="1"/>
  <c r="F32" s="1"/>
  <c r="FX26" i="2"/>
  <c r="F49" i="26"/>
  <c r="F47" s="1"/>
  <c r="F32" s="1"/>
  <c r="FX13" i="2"/>
  <c r="F49" i="13"/>
  <c r="F47" s="1"/>
  <c r="F32" s="1"/>
  <c r="AF38" i="2"/>
  <c r="AF39" s="1"/>
  <c r="FP39"/>
  <c r="AO5"/>
  <c r="GY5" s="1"/>
  <c r="AH38"/>
  <c r="F49" i="1"/>
  <c r="F47" s="1"/>
  <c r="F42" i="28"/>
  <c r="F40" s="1"/>
  <c r="F32" s="1"/>
  <c r="F61"/>
  <c r="F32" i="6"/>
  <c r="AO31" i="2"/>
  <c r="GY31" s="1"/>
  <c r="F42" i="31"/>
  <c r="F40" s="1"/>
  <c r="F42" i="3"/>
  <c r="F40" s="1"/>
  <c r="F32" s="1"/>
  <c r="AO4" i="2"/>
  <c r="GY4" s="1"/>
  <c r="F42" i="1"/>
  <c r="F40" s="1"/>
  <c r="AO3" i="2"/>
  <c r="AO10"/>
  <c r="GY10" s="1"/>
  <c r="F42" i="10"/>
  <c r="F40" s="1"/>
  <c r="F32" s="1"/>
  <c r="F42" i="30"/>
  <c r="F40" s="1"/>
  <c r="F32" s="1"/>
  <c r="AO30" i="2"/>
  <c r="GY30" s="1"/>
  <c r="F42" i="12"/>
  <c r="F40" s="1"/>
  <c r="F32" s="1"/>
  <c r="AO12" i="2"/>
  <c r="GY12" s="1"/>
  <c r="G138" i="8"/>
  <c r="L139" s="1"/>
  <c r="G175"/>
  <c r="G176" s="1"/>
  <c r="F42" i="14"/>
  <c r="F40" s="1"/>
  <c r="F32" s="1"/>
  <c r="AO14" i="2"/>
  <c r="GY14" s="1"/>
  <c r="F42" i="24"/>
  <c r="F40" s="1"/>
  <c r="F32" s="1"/>
  <c r="AO24" i="2"/>
  <c r="GY24" s="1"/>
  <c r="G138" i="15"/>
  <c r="L139" s="1"/>
  <c r="AO16" i="2"/>
  <c r="GY16" s="1"/>
  <c r="F42" i="16"/>
  <c r="F40" s="1"/>
  <c r="F32" s="1"/>
  <c r="F42" i="36"/>
  <c r="F40" s="1"/>
  <c r="F32" s="1"/>
  <c r="AO36" i="2"/>
  <c r="GY36" s="1"/>
  <c r="F61" i="26"/>
  <c r="F61" i="17"/>
  <c r="F61" i="32"/>
  <c r="L138" s="1"/>
  <c r="G175" i="18"/>
  <c r="G176" s="1"/>
  <c r="G138"/>
  <c r="L139" s="1"/>
  <c r="F61" i="36"/>
  <c r="F61" i="19"/>
  <c r="F61" i="16"/>
  <c r="G138" i="12"/>
  <c r="L139" s="1"/>
  <c r="F61" i="24"/>
  <c r="G175" i="22"/>
  <c r="G176" s="1"/>
  <c r="G138" i="32"/>
  <c r="L139" s="1"/>
  <c r="G138" i="30"/>
  <c r="L139" s="1"/>
  <c r="G175" i="34"/>
  <c r="G176" s="1"/>
  <c r="G138" i="21"/>
  <c r="L139" s="1"/>
  <c r="F61" i="29"/>
  <c r="G138" i="28"/>
  <c r="L139" s="1"/>
  <c r="G175"/>
  <c r="G176" s="1"/>
  <c r="G138" i="33"/>
  <c r="L139" s="1"/>
  <c r="G175"/>
  <c r="G176" s="1"/>
  <c r="G175" i="10"/>
  <c r="G176" s="1"/>
  <c r="G138"/>
  <c r="L139" s="1"/>
  <c r="G138" i="16"/>
  <c r="L139" s="1"/>
  <c r="G175"/>
  <c r="G176" s="1"/>
  <c r="G175" i="37"/>
  <c r="G176" s="1"/>
  <c r="G138"/>
  <c r="L139" s="1"/>
  <c r="G138" i="17"/>
  <c r="L139" s="1"/>
  <c r="G175"/>
  <c r="G176" s="1"/>
  <c r="F61" i="37"/>
  <c r="L138" s="1"/>
  <c r="F61" i="15"/>
  <c r="F61" i="18"/>
  <c r="L138" s="1"/>
  <c r="Y38" i="2" l="1"/>
  <c r="U39"/>
  <c r="G175" i="26"/>
  <c r="G176" s="1"/>
  <c r="L138" i="15"/>
  <c r="L139" i="31"/>
  <c r="G138" i="13"/>
  <c r="L139" s="1"/>
  <c r="L139" i="34"/>
  <c r="G138" i="4"/>
  <c r="L139" s="1"/>
  <c r="L138" i="35"/>
  <c r="G138" i="9"/>
  <c r="L139" s="1"/>
  <c r="L139" i="1"/>
  <c r="L138" i="23"/>
  <c r="L138" i="33"/>
  <c r="L138" i="21"/>
  <c r="L138" i="8"/>
  <c r="L138" i="14"/>
  <c r="L138" i="10"/>
  <c r="L138" i="11"/>
  <c r="L138" i="29"/>
  <c r="L138" i="34"/>
  <c r="L138" i="20"/>
  <c r="G138" i="27"/>
  <c r="L139" s="1"/>
  <c r="L138" i="3"/>
  <c r="G175" i="1"/>
  <c r="G176" s="1"/>
  <c r="L139" i="20"/>
  <c r="L138" i="6"/>
  <c r="L138" i="7"/>
  <c r="L138" i="30"/>
  <c r="L138" i="28"/>
  <c r="L138" i="4"/>
  <c r="L138" i="19"/>
  <c r="L138" i="12"/>
  <c r="L138" i="9"/>
  <c r="L138" i="36"/>
  <c r="F32" i="1"/>
  <c r="F32" i="31"/>
  <c r="L138" s="1"/>
  <c r="L138" i="26"/>
  <c r="L138" i="13"/>
  <c r="L138" i="27"/>
  <c r="AH40" i="2"/>
  <c r="FX38"/>
  <c r="L138" i="16"/>
  <c r="L138" i="17"/>
  <c r="AO38" i="2"/>
  <c r="AO40" s="1"/>
  <c r="GY3"/>
  <c r="L138" i="24"/>
  <c r="L138" i="1"/>
</calcChain>
</file>

<file path=xl/comments1.xml><?xml version="1.0" encoding="utf-8"?>
<comments xmlns="http://schemas.openxmlformats.org/spreadsheetml/2006/main">
  <authors>
    <author>УОМС</author>
  </authors>
  <commentList>
    <comment ref="FJ36" authorId="0">
      <text>
        <r>
          <rPr>
            <b/>
            <sz val="9"/>
            <color indexed="81"/>
            <rFont val="Tahoma"/>
            <family val="2"/>
            <charset val="204"/>
          </rPr>
          <t>УОМС:</t>
        </r>
        <r>
          <rPr>
            <sz val="9"/>
            <color indexed="81"/>
            <rFont val="Tahoma"/>
            <family val="2"/>
            <charset val="204"/>
          </rPr>
          <t xml:space="preserve">
24.06.2022
</t>
        </r>
      </text>
    </comment>
  </commentList>
</comments>
</file>

<file path=xl/sharedStrings.xml><?xml version="1.0" encoding="utf-8"?>
<sst xmlns="http://schemas.openxmlformats.org/spreadsheetml/2006/main" count="13351" uniqueCount="395">
  <si>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</si>
  <si>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</si>
  <si>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</si>
  <si>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</si>
  <si>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</si>
  <si>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</si>
  <si>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</si>
  <si>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</si>
  <si>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</si>
  <si>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</si>
  <si>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</si>
  <si>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</si>
  <si>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</si>
  <si>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</si>
  <si>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</si>
  <si>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</si>
  <si>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</si>
  <si>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</si>
  <si>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</si>
  <si>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</si>
  <si>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</si>
  <si>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</si>
  <si>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</si>
  <si>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</si>
  <si>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</si>
  <si>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</si>
  <si>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</si>
  <si>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</si>
  <si>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</si>
  <si>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</si>
  <si>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</si>
  <si>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</si>
  <si>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</si>
  <si>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</si>
  <si>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</si>
  <si>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</si>
  <si>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</si>
  <si>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</si>
  <si>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</si>
  <si>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</si>
  <si>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</si>
  <si>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</si>
  <si>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</si>
  <si>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</si>
  <si>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</si>
  <si>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</si>
  <si>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</si>
  <si>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</si>
  <si>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</si>
  <si>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</si>
  <si>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</si>
  <si>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</si>
  <si>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</si>
  <si>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</si>
  <si>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</si>
  <si>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</si>
  <si>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</si>
  <si>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</si>
  <si>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</si>
  <si>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</si>
  <si>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</si>
  <si>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</si>
  <si>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</si>
  <si>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</si>
  <si>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</si>
  <si>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</si>
  <si>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</si>
  <si>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</si>
  <si>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</si>
  <si>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</si>
  <si>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</si>
  <si>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</si>
  <si>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</si>
  <si>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</si>
  <si>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</si>
  <si>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</si>
  <si>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</si>
  <si>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</si>
  <si>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</si>
  <si>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</si>
  <si>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</si>
  <si>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</si>
  <si>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</si>
  <si>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</si>
  <si>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</si>
  <si>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</si>
  <si>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</si>
  <si>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</si>
  <si>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</si>
  <si>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</si>
  <si>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</si>
  <si>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</si>
  <si>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</si>
  <si>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</si>
  <si>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</si>
  <si>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</si>
  <si>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</si>
  <si>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</si>
  <si>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</si>
  <si>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</si>
  <si>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</si>
  <si>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</si>
  <si>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</si>
  <si>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</si>
  <si>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</si>
  <si>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</si>
  <si>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</si>
  <si>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</si>
  <si>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</si>
  <si>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</si>
  <si>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</si>
  <si>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</si>
  <si>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</si>
  <si>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</si>
  <si>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</si>
  <si>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</si>
  <si>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260/4</t>
  </si>
  <si>
    <t>Местный бюджет отдельн КБК</t>
  </si>
  <si>
    <t>Зарплата</t>
  </si>
  <si>
    <t>Итого</t>
  </si>
  <si>
    <t>ИТОГО</t>
  </si>
  <si>
    <t>родит+возмещ</t>
  </si>
  <si>
    <t>пеня</t>
  </si>
  <si>
    <t>Увел 11</t>
  </si>
  <si>
    <t>МОУ "Азовская школа-гимназия им.Николая Саввы"</t>
  </si>
  <si>
    <t>МОУ "Вольновская школа"</t>
  </si>
  <si>
    <t>МБОУ "Заветленинская школа- детский сад"</t>
  </si>
  <si>
    <t>МБОУ "Зареченская школа с крымско-татарским языком обучения-детский сад"</t>
  </si>
  <si>
    <t>МОУ "Зареченская русская школа"</t>
  </si>
  <si>
    <t>МОУ "Изумрудновская школа"</t>
  </si>
  <si>
    <t>МОУ "Кондратьевская школа"</t>
  </si>
  <si>
    <t>МОУ "Крымская школа"</t>
  </si>
  <si>
    <t>МБОУ "Лобановская школа- детский сад</t>
  </si>
  <si>
    <t>МОУОДО "Луганская школа-детский сад"</t>
  </si>
  <si>
    <t>МОУ "Майская русская школа"</t>
  </si>
  <si>
    <t>МОУ "Майская школа с крымско-татарским языком обучения"</t>
  </si>
  <si>
    <t>МОУ "Масловская школа"</t>
  </si>
  <si>
    <t>МОУ "Медведевская школа"</t>
  </si>
  <si>
    <t>МОУ "Мирновская школа"</t>
  </si>
  <si>
    <t>МОУ "Мартыновская школа"</t>
  </si>
  <si>
    <t>МОУ "Новокрымская школа"</t>
  </si>
  <si>
    <t>МОУ "Новостепновская школа"</t>
  </si>
  <si>
    <t>МОУ "Овощновская школа"</t>
  </si>
  <si>
    <t>МБОУ "Пахаревская школа- детский сад</t>
  </si>
  <si>
    <t>МОУ "Победненская школа"</t>
  </si>
  <si>
    <t>МОУ "Просторненская школа"</t>
  </si>
  <si>
    <t>МОУ "Роскошненская школа"</t>
  </si>
  <si>
    <t>МБОУ "Рощинская школа- детский сад</t>
  </si>
  <si>
    <t>МОУ "Светловская школа"</t>
  </si>
  <si>
    <t>МОУ "Соленоозерная школа"</t>
  </si>
  <si>
    <t>МОУ "Стальновская школа"</t>
  </si>
  <si>
    <t>МОУ "Стефановская школа"</t>
  </si>
  <si>
    <t>МОУ "Столбовская школа"</t>
  </si>
  <si>
    <t>МБОУ "Табачненская школа- детский сад"</t>
  </si>
  <si>
    <t>МОУ "Целиновская школа"</t>
  </si>
  <si>
    <t>МБОУ "Чайкинская школа- детский сад</t>
  </si>
  <si>
    <t>МОУ "Ярковская школа"</t>
  </si>
  <si>
    <t>МОУ "Яркополенская школа"</t>
  </si>
  <si>
    <t>МБОУ "Яснополянская школа- детский сад"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</si>
  <si>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</si>
  <si>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</si>
  <si>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</si>
  <si>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</si>
  <si>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</si>
  <si>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</si>
  <si>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 xml:space="preserve">Итого </t>
  </si>
  <si>
    <t>Итого
 местный</t>
  </si>
  <si>
    <t>Итого 
муниципалка</t>
  </si>
  <si>
    <t>Родител.
плата</t>
  </si>
  <si>
    <t>Компенсация затрат</t>
  </si>
  <si>
    <t>Штрафы</t>
  </si>
  <si>
    <t>Всего прочие</t>
  </si>
  <si>
    <t>КФО5+6</t>
  </si>
  <si>
    <t>Итого прочие244</t>
  </si>
  <si>
    <t>Кап.
Вложения 400</t>
  </si>
  <si>
    <t>Уголь</t>
  </si>
  <si>
    <t>Продукты</t>
  </si>
  <si>
    <t>Итого
 муниц</t>
  </si>
  <si>
    <t xml:space="preserve">Договора, заключ в 2019г на 2020 РПпродукты </t>
  </si>
  <si>
    <t xml:space="preserve"> Р.П.Головко</t>
  </si>
  <si>
    <t xml:space="preserve">Начальник  управления образования,молодежи и спорта  </t>
  </si>
  <si>
    <t xml:space="preserve">Управление образования,молодежи и спорта Джанкойского района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</si>
  <si>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</si>
  <si>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</si>
  <si>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</si>
  <si>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</si>
  <si>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</si>
  <si>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</si>
  <si>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</si>
  <si>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</si>
  <si>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</si>
  <si>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</si>
  <si>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</si>
  <si>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</si>
  <si>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</si>
  <si>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</si>
  <si>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</si>
  <si>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</si>
  <si>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</si>
  <si>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</si>
  <si>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</si>
  <si>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</si>
  <si>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</si>
  <si>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</si>
  <si>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Респ
</t>
  </si>
  <si>
    <t xml:space="preserve">                                                                            (подпись)        (расшифровка подписи)</t>
  </si>
  <si>
    <t>(наименование должности уполномоченного лица)</t>
  </si>
  <si>
    <t>от</t>
  </si>
  <si>
    <t>Муниципальное общеобразовательное учреждение</t>
  </si>
  <si>
    <t>Муниципальное бюджетное общеобразовательное учреждение</t>
  </si>
  <si>
    <r>
      <t xml:space="preserve"> Учреждение              </t>
    </r>
    <r>
      <rPr>
        <b/>
        <sz val="11"/>
        <color theme="1"/>
        <rFont val="Times New Roman"/>
        <family val="1"/>
        <charset val="204"/>
      </rPr>
      <t xml:space="preserve">"Азовская школа-гимназия имени Николая Саввы" </t>
    </r>
    <r>
      <rPr>
        <b/>
        <sz val="11"/>
        <color theme="1"/>
        <rFont val="Courier New"/>
        <family val="3"/>
        <charset val="204"/>
      </rPr>
      <t xml:space="preserve"> </t>
    </r>
    <r>
      <rPr>
        <sz val="11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</si>
  <si>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       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"Вольновская школа"</t>
    </r>
    <r>
      <rPr>
        <sz val="11"/>
        <color theme="1"/>
        <rFont val="Courier New"/>
        <family val="3"/>
        <charset val="204"/>
      </rPr>
      <t xml:space="preserve">  </t>
    </r>
    <r>
      <rPr>
        <sz val="10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</si>
  <si>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"Завет-Ленинская школа-детский сад" 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</si>
  <si>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с крымско-татарским языком обучения"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</si>
  <si>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</si>
  <si>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"Изумрудновская школа"   </t>
    </r>
    <r>
      <rPr>
        <sz val="10"/>
        <color theme="1"/>
        <rFont val="Courier New"/>
        <family val="3"/>
        <charset val="204"/>
      </rPr>
      <t xml:space="preserve">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</si>
  <si>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 xml:space="preserve"> "Кондратьевская школа"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</si>
  <si>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 </t>
    </r>
    <r>
      <rPr>
        <b/>
        <sz val="11"/>
        <color theme="1"/>
        <rFont val="Times New Roman"/>
        <family val="1"/>
        <charset val="204"/>
      </rPr>
      <t>"Крымская школа"</t>
    </r>
    <r>
      <rPr>
        <sz val="10"/>
        <color theme="1"/>
        <rFont val="Courier New"/>
        <family val="3"/>
        <charset val="204"/>
      </rPr>
      <t xml:space="preserve">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</si>
  <si>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"Лобановская школа-детский сад" </t>
    </r>
    <r>
      <rPr>
        <sz val="10"/>
        <color theme="1"/>
        <rFont val="Courier New"/>
        <family val="3"/>
        <charset val="204"/>
      </rPr>
      <t xml:space="preserve">        </t>
    </r>
  </si>
  <si>
    <t xml:space="preserve">         Муниципальное образовательное учреждение общего и дошкольного образования</t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</si>
  <si>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"Луганская школа-детский сад"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</si>
  <si>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</t>
    </r>
    <r>
      <rPr>
        <b/>
        <sz val="11"/>
        <color theme="1"/>
        <rFont val="Times New Roman"/>
        <family val="1"/>
        <charset val="204"/>
      </rPr>
      <t>"Майская школа"</t>
    </r>
    <r>
      <rPr>
        <sz val="10"/>
        <color theme="1"/>
        <rFont val="Courier New"/>
        <family val="3"/>
        <charset val="204"/>
      </rPr>
      <t xml:space="preserve">               </t>
    </r>
  </si>
  <si>
    <t>МОУ "Майская школа"</t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</si>
  <si>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"Масловская школа-детский сад"</t>
    </r>
    <r>
      <rPr>
        <sz val="10"/>
        <color theme="1"/>
        <rFont val="Courier New"/>
        <family val="3"/>
        <charset val="204"/>
      </rPr>
      <t xml:space="preserve"> 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</si>
  <si>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"Медведевская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</si>
  <si>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"Мирновская школа"</t>
    </r>
  </si>
  <si>
    <r>
      <t xml:space="preserve"> Учреждение                </t>
    </r>
    <r>
      <rPr>
        <b/>
        <sz val="11"/>
        <color theme="1"/>
        <rFont val="Times New Roman"/>
        <family val="1"/>
        <charset val="204"/>
      </rPr>
      <t xml:space="preserve"> "Мартыновская школа имени Николая Колоколова" </t>
    </r>
    <r>
      <rPr>
        <sz val="10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</si>
  <si>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"Новокрымская школа"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</si>
  <si>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"Новостепновская школа"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</si>
  <si>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  "</t>
    </r>
    <r>
      <rPr>
        <b/>
        <sz val="11"/>
        <color theme="1"/>
        <rFont val="Times New Roman"/>
        <family val="1"/>
        <charset val="204"/>
      </rPr>
      <t>Овощновская школа</t>
    </r>
    <r>
      <rPr>
        <sz val="10"/>
        <color theme="1"/>
        <rFont val="Courier New"/>
        <family val="3"/>
        <charset val="204"/>
      </rPr>
      <t xml:space="preserve">"              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</si>
  <si>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«Пахаревкая школа –детский сад»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</si>
  <si>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"Победненская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</si>
  <si>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</t>
    </r>
    <r>
      <rPr>
        <b/>
        <sz val="11"/>
        <color theme="1"/>
        <rFont val="Times New Roman"/>
        <family val="1"/>
        <charset val="204"/>
      </rPr>
      <t xml:space="preserve"> "Рощинская школа-детский сад"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</si>
  <si>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          </t>
    </r>
    <r>
      <rPr>
        <b/>
        <sz val="11"/>
        <color theme="1"/>
        <rFont val="Times New Roman"/>
        <family val="1"/>
        <charset val="204"/>
      </rPr>
      <t xml:space="preserve"> "Светловская школа"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</si>
  <si>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"Табачненская школа-детский сад"     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</si>
  <si>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"Стальновская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</si>
  <si>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"Столбовская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</si>
  <si>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>"Целиновская школа"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</si>
  <si>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   "Чайкинская школа-детский сад"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</si>
  <si>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"Яснополянская школа- детский сад"  </t>
    </r>
    <r>
      <rPr>
        <sz val="10"/>
        <color theme="1"/>
        <rFont val="Courier New"/>
        <family val="3"/>
        <charset val="204"/>
      </rPr>
      <t xml:space="preserve">          </t>
    </r>
  </si>
  <si>
    <t>Всего по
 всем КФО</t>
  </si>
  <si>
    <r>
      <t xml:space="preserve"> Учреждение                 </t>
    </r>
    <r>
      <rPr>
        <b/>
        <sz val="11"/>
        <color theme="1"/>
        <rFont val="Times New Roman"/>
        <family val="1"/>
        <charset val="204"/>
      </rPr>
      <t xml:space="preserve">"Просторненская школа имени Ивана Яцуненко" 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</si>
  <si>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</si>
  <si>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>"Ярковская школа имени Михаила Чупилко"</t>
    </r>
  </si>
  <si>
    <t>Леваньков И.А.</t>
  </si>
  <si>
    <t>коман+дистан.обуч. 112</t>
  </si>
  <si>
    <t>853</t>
  </si>
  <si>
    <t>26500.1</t>
  </si>
  <si>
    <t>2.1</t>
  </si>
  <si>
    <t>подгот.
орган упр сил РСЧС 07022020120050611</t>
  </si>
  <si>
    <t>853/291</t>
  </si>
  <si>
    <t>851/291</t>
  </si>
  <si>
    <t>852/291</t>
  </si>
  <si>
    <t>оздоровл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</si>
  <si>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</si>
  <si>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</si>
  <si>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</si>
  <si>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</si>
  <si>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</si>
  <si>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</si>
  <si>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</si>
  <si>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</si>
  <si>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</si>
  <si>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Прочие доходы</t>
  </si>
  <si>
    <t>Бушманова А.Н.</t>
  </si>
  <si>
    <t xml:space="preserve">904070202701L3040612
 </t>
  </si>
  <si>
    <t>Горячее питание ФБ</t>
  </si>
  <si>
    <t>Кравец Е.В.</t>
  </si>
  <si>
    <t xml:space="preserve">в том числе: 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</si>
  <si>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</si>
  <si>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</si>
  <si>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</si>
  <si>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</si>
  <si>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"Яркополенская школа-детский сад"    </t>
    </r>
    <r>
      <rPr>
        <sz val="10"/>
        <color theme="1"/>
        <rFont val="Courier New"/>
        <family val="3"/>
        <charset val="204"/>
      </rPr>
      <t xml:space="preserve">         </t>
    </r>
  </si>
  <si>
    <t>Договора, заключ в 2020г на 2021 муниципалка</t>
  </si>
  <si>
    <t>РЭС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</si>
  <si>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"Роскошненская школа-детский сад"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</si>
  <si>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 xml:space="preserve">  "Стефановская школа-детский сад" </t>
    </r>
    <r>
      <rPr>
        <sz val="10"/>
        <color theme="1"/>
        <rFont val="Courier New"/>
        <family val="3"/>
        <charset val="204"/>
      </rPr>
      <t xml:space="preserve">               </t>
    </r>
  </si>
  <si>
    <t>244</t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</si>
  <si>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</si>
  <si>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</si>
  <si>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</si>
  <si>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прочую закупку товаров, работ и услуг</t>
  </si>
  <si>
    <t>Иные 243</t>
  </si>
  <si>
    <t>Респуб243</t>
  </si>
  <si>
    <t>Местный бюджет ИНЫЕ ЦЕЛИ 07020220100590612</t>
  </si>
  <si>
    <t>07020270320440611</t>
  </si>
  <si>
    <t>Итого 244</t>
  </si>
  <si>
    <t>установка ограждения243</t>
  </si>
  <si>
    <t>Итого 243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</si>
  <si>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</si>
  <si>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</si>
  <si>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</si>
  <si>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</si>
  <si>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</si>
  <si>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</si>
  <si>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</si>
  <si>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</si>
  <si>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</si>
  <si>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</si>
  <si>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</si>
  <si>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</si>
  <si>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</si>
  <si>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Гранты,
 благотвор</t>
  </si>
  <si>
    <t xml:space="preserve">
 904070202215S0810612</t>
  </si>
  <si>
    <t>022Е250970</t>
  </si>
  <si>
    <t>1.4.2.1.1</t>
  </si>
  <si>
    <t>из них: нацпроект</t>
  </si>
  <si>
    <t>831/297</t>
  </si>
  <si>
    <t>Оборуд.пищеблока
24.06</t>
  </si>
  <si>
    <t xml:space="preserve">Договора, заключ в 2021г на 2022 иные модуль </t>
  </si>
  <si>
    <t>Компен. сел.пед+
 компен переехавшим</t>
  </si>
  <si>
    <t>852/291 госпошлина</t>
  </si>
  <si>
    <t>(уполномоченное лицо учреждения) __И.о.иректора_____ ________________________ Халилаева С.М.____</t>
  </si>
  <si>
    <t>Синяк И.А.</t>
  </si>
  <si>
    <t>Куртнезиров Р.З</t>
  </si>
  <si>
    <t>19.12.2021</t>
  </si>
  <si>
    <t>26.12.22</t>
  </si>
  <si>
    <t>на 2024 г. первый год планового периода</t>
  </si>
  <si>
    <t>Классное руковод 612,
 Советники</t>
  </si>
  <si>
    <t>Остаток средств на начало текущего финансового года КФО2</t>
  </si>
  <si>
    <t>Итого Остаток средств на начало текущего финансового года</t>
  </si>
  <si>
    <t>Остаток средств на начало текущего финансового года КФО 5,6</t>
  </si>
  <si>
    <t>Капитальный
 ремонт</t>
  </si>
  <si>
    <t>11.05.23</t>
  </si>
  <si>
    <r>
      <t xml:space="preserve"> Учреждение     </t>
    </r>
    <r>
      <rPr>
        <b/>
        <sz val="11"/>
        <color theme="1"/>
        <rFont val="Times New Roman"/>
        <family val="1"/>
        <charset val="204"/>
      </rPr>
      <t>"Майская школа с крымскотатарским языком обучения имени Номана Челебиджихана"</t>
    </r>
    <r>
      <rPr>
        <sz val="10"/>
        <color theme="1"/>
        <rFont val="Courier New"/>
        <family val="3"/>
        <charset val="204"/>
      </rPr>
      <t xml:space="preserve">               </t>
    </r>
  </si>
  <si>
    <t>Школьное инициативное бюджетирование</t>
  </si>
  <si>
    <t>070202221S0Ш01612</t>
  </si>
  <si>
    <t>налог на имущество 851/291</t>
  </si>
  <si>
    <t>Расходы на реализацию
 мероприятий по модернизации школьных систем образования муниципального образования Джанкойский район Республики Крым 904070202220L7500612</t>
  </si>
  <si>
    <t>26500.2</t>
  </si>
  <si>
    <t>26500.3</t>
  </si>
  <si>
    <t>853/293</t>
  </si>
  <si>
    <t>01.11.23</t>
  </si>
  <si>
    <t>Маненко О.А.</t>
  </si>
  <si>
    <t>09.11.2023</t>
  </si>
  <si>
    <t>15.11.2023</t>
  </si>
  <si>
    <t>17.11</t>
  </si>
  <si>
    <t>08.12.2023</t>
  </si>
  <si>
    <t>15.12.23</t>
  </si>
  <si>
    <t>18.12</t>
  </si>
  <si>
    <t>21.12.</t>
  </si>
  <si>
    <t xml:space="preserve"> Местный 2024</t>
  </si>
  <si>
    <t>Республ 2024</t>
  </si>
  <si>
    <t>на 2026 г. второй год планового периода</t>
  </si>
  <si>
    <t>на 2025 г. первый год планового периода</t>
  </si>
  <si>
    <t xml:space="preserve">                               План финансово-хозяйственной деятельности на 2024_ г. </t>
  </si>
  <si>
    <t>на 2024 г. текущий финансовый год</t>
  </si>
  <si>
    <t xml:space="preserve">Классное руковод 612
</t>
  </si>
  <si>
    <t xml:space="preserve">
 Советники</t>
  </si>
  <si>
    <t>111</t>
  </si>
  <si>
    <t>119</t>
  </si>
  <si>
    <t>070202205SK750612</t>
  </si>
  <si>
    <t>070202220L7500612</t>
  </si>
  <si>
    <t>Иные цели
 Республ 244</t>
  </si>
  <si>
    <t>Иные цели 
243</t>
  </si>
  <si>
    <t>Льгот пит</t>
  </si>
  <si>
    <t>спортплощадка
 НАЦПРОЕКТ</t>
  </si>
  <si>
    <t>0702022Е250980612</t>
  </si>
  <si>
    <t>Расходы на реализацию
 мероприятий по модернизации школьных систем образования 244</t>
  </si>
  <si>
    <t>2025
243</t>
  </si>
  <si>
    <t>2025
  244</t>
  </si>
  <si>
    <t xml:space="preserve"> Местный 2024 Первоначальный</t>
  </si>
  <si>
    <t>Расходы на реализацию
 мероприятий по модернизации школьных систем образования 243 измен 04.03.24</t>
  </si>
  <si>
    <t>приобретение модул.зданий</t>
  </si>
  <si>
    <t>904070202205М370Р612</t>
  </si>
  <si>
    <t>Субсидии бюджетам муниципальных образований Республики Крым на капитальный ремонт муниципальных образовательных учреждений (средства г. Москва)</t>
  </si>
  <si>
    <t>03.04.24</t>
  </si>
  <si>
    <t>11.04.24</t>
  </si>
  <si>
    <t>02.05.2024</t>
  </si>
  <si>
    <t>19.04.2024</t>
  </si>
  <si>
    <t>ПСД капремонт/капремонт крыши/технадзор</t>
  </si>
  <si>
    <t>14.05.2024</t>
  </si>
  <si>
    <t>20.05.24</t>
  </si>
  <si>
    <t>07.06.24</t>
  </si>
  <si>
    <t>Трудовой лагерь 07.06.24</t>
  </si>
  <si>
    <t>01.07.2024</t>
  </si>
  <si>
    <t>05.07.2024</t>
  </si>
  <si>
    <t>А.В.Приходько</t>
  </si>
  <si>
    <t>12,07,2023</t>
  </si>
  <si>
    <t xml:space="preserve">01.08.2024 </t>
  </si>
  <si>
    <t>01/08/2024</t>
  </si>
  <si>
    <t>15.08.24</t>
  </si>
  <si>
    <t>28.08.24</t>
  </si>
  <si>
    <t>18,09,2024</t>
  </si>
  <si>
    <t>капитальный ремонт отопления</t>
  </si>
  <si>
    <t>Жовтюк Н.Л.</t>
  </si>
  <si>
    <t>02.10.24</t>
  </si>
  <si>
    <t>23.10.2024</t>
  </si>
  <si>
    <t>28.10.24</t>
  </si>
  <si>
    <t>11.11.2024</t>
  </si>
  <si>
    <t>Вознаграждение советникам</t>
  </si>
  <si>
    <t>благоустройство/техобследование</t>
  </si>
  <si>
    <t>"22"ноября 2024 г.</t>
  </si>
  <si>
    <t>22.11.2024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</si>
</sst>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.00_р_._-;\-* #,##0.00_р_._-;_-* &quot;-&quot;??_р_._-;_-@_-"/>
    <numFmt numFmtId="166" formatCode="#,##0.00\ _₽"/>
  </numFmts>
  <fonts count="39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0" fillId="0" borderId="0"/>
    <xf numFmtId="0" fontId="31" fillId="0" borderId="0"/>
    <xf numFmtId="0" fontId="6" fillId="0" borderId="0"/>
    <xf numFmtId="0" fontId="29" fillId="0" borderId="0"/>
    <xf numFmtId="165" fontId="6" fillId="0" borderId="0" applyFont="0" applyFill="0" applyBorder="0" applyAlignment="0" applyProtection="0"/>
  </cellStyleXfs>
  <cellXfs count="32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7" borderId="6" xfId="0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8" borderId="0" xfId="0" applyNumberFormat="1" applyFill="1" applyBorder="1"/>
    <xf numFmtId="14" fontId="0" fillId="0" borderId="0" xfId="0" applyNumberFormat="1"/>
    <xf numFmtId="0" fontId="10" fillId="0" borderId="17" xfId="0" applyFont="1" applyBorder="1"/>
    <xf numFmtId="0" fontId="0" fillId="0" borderId="13" xfId="0" applyFill="1" applyBorder="1" applyAlignment="1">
      <alignment wrapText="1"/>
    </xf>
    <xf numFmtId="0" fontId="0" fillId="2" borderId="13" xfId="0" applyFill="1" applyBorder="1"/>
    <xf numFmtId="0" fontId="0" fillId="8" borderId="0" xfId="0" applyFill="1"/>
    <xf numFmtId="0" fontId="0" fillId="0" borderId="11" xfId="0" applyBorder="1" applyAlignment="1"/>
    <xf numFmtId="49" fontId="0" fillId="0" borderId="14" xfId="0" applyNumberFormat="1" applyBorder="1" applyAlignment="1"/>
    <xf numFmtId="0" fontId="0" fillId="8" borderId="0" xfId="0" applyFill="1" applyBorder="1"/>
    <xf numFmtId="0" fontId="0" fillId="0" borderId="18" xfId="0" applyBorder="1"/>
    <xf numFmtId="0" fontId="11" fillId="4" borderId="13" xfId="0" applyNumberFormat="1" applyFont="1" applyFill="1" applyBorder="1" applyAlignment="1" applyProtection="1">
      <alignment wrapText="1"/>
      <protection hidden="1"/>
    </xf>
    <xf numFmtId="4" fontId="0" fillId="0" borderId="13" xfId="0" applyNumberFormat="1" applyBorder="1"/>
    <xf numFmtId="2" fontId="0" fillId="0" borderId="13" xfId="0" applyNumberFormat="1" applyBorder="1"/>
    <xf numFmtId="4" fontId="0" fillId="0" borderId="0" xfId="0" applyNumberFormat="1"/>
    <xf numFmtId="4" fontId="0" fillId="0" borderId="0" xfId="0" applyNumberFormat="1" applyBorder="1"/>
    <xf numFmtId="1" fontId="0" fillId="0" borderId="0" xfId="0" applyNumberFormat="1"/>
    <xf numFmtId="1" fontId="0" fillId="0" borderId="13" xfId="0" applyNumberFormat="1" applyBorder="1"/>
    <xf numFmtId="2" fontId="0" fillId="0" borderId="0" xfId="0" applyNumberFormat="1"/>
    <xf numFmtId="1" fontId="0" fillId="9" borderId="13" xfId="0" applyNumberFormat="1" applyFill="1" applyBorder="1"/>
    <xf numFmtId="2" fontId="0" fillId="2" borderId="13" xfId="0" applyNumberFormat="1" applyFill="1" applyBorder="1"/>
    <xf numFmtId="1" fontId="0" fillId="0" borderId="14" xfId="0" applyNumberFormat="1" applyBorder="1"/>
    <xf numFmtId="4" fontId="0" fillId="0" borderId="16" xfId="0" applyNumberFormat="1" applyBorder="1" applyAlignment="1">
      <alignment horizontal="center"/>
    </xf>
    <xf numFmtId="0" fontId="11" fillId="0" borderId="13" xfId="0" applyNumberFormat="1" applyFont="1" applyFill="1" applyBorder="1" applyAlignment="1" applyProtection="1">
      <alignment wrapText="1"/>
      <protection hidden="1"/>
    </xf>
    <xf numFmtId="0" fontId="13" fillId="0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2" fontId="0" fillId="4" borderId="13" xfId="0" applyNumberFormat="1" applyFill="1" applyBorder="1"/>
    <xf numFmtId="2" fontId="0" fillId="0" borderId="0" xfId="0" applyNumberFormat="1" applyBorder="1"/>
    <xf numFmtId="4" fontId="0" fillId="0" borderId="13" xfId="0" applyNumberFormat="1" applyFill="1" applyBorder="1"/>
    <xf numFmtId="0" fontId="13" fillId="2" borderId="13" xfId="0" applyFont="1" applyFill="1" applyBorder="1" applyAlignment="1">
      <alignment wrapText="1"/>
    </xf>
    <xf numFmtId="0" fontId="0" fillId="0" borderId="20" xfId="0" applyBorder="1"/>
    <xf numFmtId="0" fontId="0" fillId="0" borderId="3" xfId="0" applyBorder="1"/>
    <xf numFmtId="4" fontId="0" fillId="0" borderId="8" xfId="0" applyNumberFormat="1" applyBorder="1"/>
    <xf numFmtId="3" fontId="0" fillId="0" borderId="0" xfId="0" applyNumberFormat="1"/>
    <xf numFmtId="3" fontId="11" fillId="4" borderId="21" xfId="1" applyNumberFormat="1" applyFont="1" applyFill="1" applyBorder="1" applyAlignment="1" applyProtection="1"/>
    <xf numFmtId="1" fontId="0" fillId="4" borderId="15" xfId="0" applyNumberFormat="1" applyFill="1" applyBorder="1"/>
    <xf numFmtId="0" fontId="9" fillId="7" borderId="0" xfId="0" applyFont="1" applyFill="1" applyBorder="1" applyAlignment="1">
      <alignment horizontal="center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13" xfId="0" applyBorder="1" applyAlignment="1"/>
    <xf numFmtId="0" fontId="9" fillId="7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8" borderId="2" xfId="0" applyNumberFormat="1" applyFont="1" applyFill="1" applyBorder="1" applyAlignment="1">
      <alignment horizontal="left" vertical="top" wrapText="1"/>
    </xf>
    <xf numFmtId="4" fontId="1" fillId="8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0" fontId="15" fillId="4" borderId="0" xfId="0" applyFont="1" applyFill="1"/>
    <xf numFmtId="0" fontId="11" fillId="4" borderId="13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0" fontId="0" fillId="0" borderId="11" xfId="0" applyBorder="1"/>
    <xf numFmtId="0" fontId="17" fillId="0" borderId="11" xfId="0" applyFont="1" applyBorder="1"/>
    <xf numFmtId="0" fontId="18" fillId="0" borderId="11" xfId="0" applyFont="1" applyBorder="1" applyAlignment="1"/>
    <xf numFmtId="0" fontId="19" fillId="0" borderId="11" xfId="0" applyFont="1" applyBorder="1"/>
    <xf numFmtId="0" fontId="0" fillId="0" borderId="4" xfId="0" applyBorder="1"/>
    <xf numFmtId="0" fontId="21" fillId="0" borderId="4" xfId="0" applyFont="1" applyBorder="1"/>
    <xf numFmtId="0" fontId="0" fillId="0" borderId="0" xfId="0" applyBorder="1"/>
    <xf numFmtId="0" fontId="20" fillId="0" borderId="0" xfId="0" applyFont="1"/>
    <xf numFmtId="0" fontId="0" fillId="0" borderId="0" xfId="0" applyAlignment="1">
      <alignment horizontal="right"/>
    </xf>
    <xf numFmtId="14" fontId="0" fillId="0" borderId="13" xfId="0" applyNumberFormat="1" applyBorder="1"/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2" fontId="0" fillId="0" borderId="14" xfId="0" applyNumberFormat="1" applyBorder="1"/>
    <xf numFmtId="0" fontId="0" fillId="0" borderId="13" xfId="0" applyFill="1" applyBorder="1" applyAlignment="1"/>
    <xf numFmtId="49" fontId="0" fillId="0" borderId="13" xfId="0" applyNumberFormat="1" applyBorder="1"/>
    <xf numFmtId="4" fontId="1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13" xfId="0" applyFont="1" applyBorder="1"/>
    <xf numFmtId="1" fontId="1" fillId="3" borderId="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4" fontId="1" fillId="8" borderId="2" xfId="0" applyNumberFormat="1" applyFont="1" applyFill="1" applyBorder="1" applyAlignment="1">
      <alignment horizontal="left" vertical="top" wrapText="1" indent="1"/>
    </xf>
    <xf numFmtId="0" fontId="0" fillId="11" borderId="13" xfId="0" applyFill="1" applyBorder="1"/>
    <xf numFmtId="0" fontId="0" fillId="4" borderId="19" xfId="0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0" fontId="0" fillId="4" borderId="13" xfId="0" applyFill="1" applyBorder="1"/>
    <xf numFmtId="3" fontId="12" fillId="4" borderId="13" xfId="0" applyNumberFormat="1" applyFont="1" applyFill="1" applyBorder="1"/>
    <xf numFmtId="0" fontId="0" fillId="12" borderId="0" xfId="0" applyFill="1" applyAlignment="1"/>
    <xf numFmtId="0" fontId="0" fillId="12" borderId="22" xfId="0" applyFill="1" applyBorder="1"/>
    <xf numFmtId="2" fontId="0" fillId="12" borderId="16" xfId="0" applyNumberFormat="1" applyFill="1" applyBorder="1"/>
    <xf numFmtId="2" fontId="0" fillId="9" borderId="13" xfId="0" applyNumberFormat="1" applyFill="1" applyBorder="1"/>
    <xf numFmtId="0" fontId="0" fillId="12" borderId="13" xfId="0" applyFill="1" applyBorder="1" applyAlignment="1">
      <alignment wrapText="1"/>
    </xf>
    <xf numFmtId="4" fontId="0" fillId="12" borderId="13" xfId="0" applyNumberFormat="1" applyFill="1" applyBorder="1"/>
    <xf numFmtId="0" fontId="0" fillId="13" borderId="13" xfId="0" applyFill="1" applyBorder="1" applyAlignment="1">
      <alignment wrapText="1"/>
    </xf>
    <xf numFmtId="4" fontId="0" fillId="13" borderId="13" xfId="0" applyNumberFormat="1" applyFill="1" applyBorder="1"/>
    <xf numFmtId="0" fontId="0" fillId="12" borderId="13" xfId="0" applyFill="1" applyBorder="1" applyAlignment="1">
      <alignment horizontal="center"/>
    </xf>
    <xf numFmtId="4" fontId="0" fillId="2" borderId="13" xfId="0" applyNumberFormat="1" applyFill="1" applyBorder="1"/>
    <xf numFmtId="0" fontId="25" fillId="10" borderId="0" xfId="0" applyFont="1" applyFill="1" applyBorder="1" applyAlignment="1">
      <alignment horizontal="center" wrapText="1"/>
    </xf>
    <xf numFmtId="0" fontId="12" fillId="10" borderId="23" xfId="0" applyFont="1" applyFill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7" fillId="0" borderId="0" xfId="0" applyFont="1"/>
    <xf numFmtId="0" fontId="0" fillId="0" borderId="13" xfId="0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/>
    <xf numFmtId="0" fontId="0" fillId="0" borderId="23" xfId="0" applyFill="1" applyBorder="1"/>
    <xf numFmtId="3" fontId="0" fillId="0" borderId="13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5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wrapText="1"/>
    </xf>
    <xf numFmtId="0" fontId="0" fillId="0" borderId="22" xfId="0" applyBorder="1"/>
    <xf numFmtId="14" fontId="0" fillId="0" borderId="13" xfId="0" applyNumberFormat="1" applyBorder="1" applyAlignment="1">
      <alignment wrapText="1"/>
    </xf>
    <xf numFmtId="0" fontId="0" fillId="0" borderId="13" xfId="0" applyFill="1" applyBorder="1"/>
    <xf numFmtId="2" fontId="0" fillId="4" borderId="15" xfId="0" applyNumberFormat="1" applyFill="1" applyBorder="1"/>
    <xf numFmtId="2" fontId="12" fillId="10" borderId="15" xfId="0" applyNumberFormat="1" applyFont="1" applyFill="1" applyBorder="1"/>
    <xf numFmtId="2" fontId="0" fillId="0" borderId="13" xfId="0" applyNumberFormat="1" applyFill="1" applyBorder="1"/>
    <xf numFmtId="2" fontId="1" fillId="4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wrapText="1"/>
    </xf>
    <xf numFmtId="4" fontId="0" fillId="3" borderId="13" xfId="0" applyNumberFormat="1" applyFill="1" applyBorder="1"/>
    <xf numFmtId="49" fontId="0" fillId="4" borderId="16" xfId="0" applyNumberFormat="1" applyFill="1" applyBorder="1" applyAlignment="1">
      <alignment wrapText="1"/>
    </xf>
    <xf numFmtId="2" fontId="28" fillId="15" borderId="13" xfId="0" applyNumberFormat="1" applyFont="1" applyFill="1" applyBorder="1" applyAlignment="1">
      <alignment vertical="center"/>
    </xf>
    <xf numFmtId="2" fontId="29" fillId="15" borderId="13" xfId="0" applyNumberFormat="1" applyFont="1" applyFill="1" applyBorder="1" applyAlignment="1">
      <alignment vertical="center"/>
    </xf>
    <xf numFmtId="0" fontId="0" fillId="16" borderId="0" xfId="0" applyFill="1" applyBorder="1"/>
    <xf numFmtId="4" fontId="1" fillId="0" borderId="5" xfId="0" applyNumberFormat="1" applyFont="1" applyBorder="1" applyAlignment="1">
      <alignment horizontal="left" vertical="top" wrapText="1"/>
    </xf>
    <xf numFmtId="0" fontId="12" fillId="4" borderId="13" xfId="0" applyFont="1" applyFill="1" applyBorder="1"/>
    <xf numFmtId="2" fontId="12" fillId="0" borderId="13" xfId="0" applyNumberFormat="1" applyFont="1" applyBorder="1"/>
    <xf numFmtId="0" fontId="30" fillId="0" borderId="13" xfId="0" applyFont="1" applyBorder="1"/>
    <xf numFmtId="4" fontId="12" fillId="0" borderId="13" xfId="0" applyNumberFormat="1" applyFont="1" applyBorder="1"/>
    <xf numFmtId="16" fontId="0" fillId="0" borderId="13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0" fontId="0" fillId="2" borderId="19" xfId="0" applyFill="1" applyBorder="1"/>
    <xf numFmtId="4" fontId="0" fillId="2" borderId="15" xfId="0" applyNumberFormat="1" applyFill="1" applyBorder="1"/>
    <xf numFmtId="1" fontId="0" fillId="2" borderId="15" xfId="0" applyNumberFormat="1" applyFill="1" applyBorder="1"/>
    <xf numFmtId="2" fontId="0" fillId="2" borderId="15" xfId="0" applyNumberFormat="1" applyFill="1" applyBorder="1"/>
    <xf numFmtId="4" fontId="12" fillId="2" borderId="13" xfId="0" applyNumberFormat="1" applyFont="1" applyFill="1" applyBorder="1"/>
    <xf numFmtId="2" fontId="0" fillId="2" borderId="16" xfId="0" applyNumberFormat="1" applyFill="1" applyBorder="1"/>
    <xf numFmtId="0" fontId="11" fillId="2" borderId="13" xfId="0" applyFont="1" applyFill="1" applyBorder="1" applyAlignment="1">
      <alignment wrapText="1"/>
    </xf>
    <xf numFmtId="0" fontId="11" fillId="2" borderId="13" xfId="0" applyNumberFormat="1" applyFont="1" applyFill="1" applyBorder="1" applyAlignment="1" applyProtection="1">
      <alignment wrapText="1"/>
      <protection hidden="1"/>
    </xf>
    <xf numFmtId="2" fontId="0" fillId="2" borderId="0" xfId="0" applyNumberFormat="1" applyFill="1"/>
    <xf numFmtId="1" fontId="0" fillId="2" borderId="13" xfId="0" applyNumberFormat="1" applyFill="1" applyBorder="1"/>
    <xf numFmtId="2" fontId="0" fillId="2" borderId="14" xfId="0" applyNumberFormat="1" applyFill="1" applyBorder="1"/>
    <xf numFmtId="0" fontId="0" fillId="2" borderId="0" xfId="0" applyFill="1"/>
    <xf numFmtId="14" fontId="0" fillId="0" borderId="0" xfId="0" applyNumberFormat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0" fontId="0" fillId="4" borderId="13" xfId="0" applyFont="1" applyFill="1" applyBorder="1"/>
    <xf numFmtId="0" fontId="0" fillId="0" borderId="13" xfId="0" applyFont="1" applyBorder="1"/>
    <xf numFmtId="49" fontId="0" fillId="0" borderId="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" fontId="12" fillId="4" borderId="13" xfId="0" applyNumberFormat="1" applyFont="1" applyFill="1" applyBorder="1"/>
    <xf numFmtId="0" fontId="0" fillId="2" borderId="0" xfId="0" applyFill="1" applyBorder="1"/>
    <xf numFmtId="0" fontId="0" fillId="8" borderId="14" xfId="0" applyFill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2" fontId="0" fillId="14" borderId="16" xfId="0" applyNumberFormat="1" applyFill="1" applyBorder="1"/>
    <xf numFmtId="14" fontId="0" fillId="0" borderId="14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3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Border="1"/>
    <xf numFmtId="2" fontId="0" fillId="4" borderId="0" xfId="0" applyNumberFormat="1" applyFill="1" applyBorder="1"/>
    <xf numFmtId="2" fontId="12" fillId="10" borderId="15" xfId="0" applyNumberFormat="1" applyFont="1" applyFill="1" applyBorder="1" applyAlignment="1">
      <alignment horizontal="left"/>
    </xf>
    <xf numFmtId="2" fontId="32" fillId="0" borderId="13" xfId="0" applyNumberFormat="1" applyFont="1" applyFill="1" applyBorder="1"/>
    <xf numFmtId="4" fontId="13" fillId="0" borderId="13" xfId="0" applyNumberFormat="1" applyFont="1" applyFill="1" applyBorder="1" applyAlignment="1">
      <alignment wrapText="1"/>
    </xf>
    <xf numFmtId="0" fontId="0" fillId="4" borderId="0" xfId="0" applyFill="1"/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0" fillId="0" borderId="27" xfId="0" applyNumberFormat="1" applyFont="1" applyBorder="1" applyAlignment="1">
      <alignment vertical="top" wrapText="1"/>
    </xf>
    <xf numFmtId="4" fontId="0" fillId="0" borderId="27" xfId="0" applyNumberFormat="1" applyFont="1" applyBorder="1" applyAlignment="1">
      <alignment vertical="top" wrapText="1"/>
    </xf>
    <xf numFmtId="14" fontId="0" fillId="8" borderId="13" xfId="0" applyNumberFormat="1" applyFill="1" applyBorder="1" applyAlignment="1">
      <alignment wrapText="1"/>
    </xf>
    <xf numFmtId="2" fontId="32" fillId="0" borderId="13" xfId="0" applyNumberFormat="1" applyFont="1" applyBorder="1"/>
    <xf numFmtId="49" fontId="0" fillId="0" borderId="0" xfId="0" applyNumberFormat="1" applyBorder="1" applyAlignment="1">
      <alignment horizontal="center" wrapText="1"/>
    </xf>
    <xf numFmtId="0" fontId="0" fillId="17" borderId="0" xfId="0" applyFill="1" applyAlignment="1">
      <alignment horizontal="center" wrapText="1"/>
    </xf>
    <xf numFmtId="14" fontId="17" fillId="18" borderId="14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4" borderId="15" xfId="0" applyFill="1" applyBorder="1"/>
    <xf numFmtId="0" fontId="0" fillId="4" borderId="15" xfId="0" applyFont="1" applyFill="1" applyBorder="1"/>
    <xf numFmtId="0" fontId="0" fillId="0" borderId="15" xfId="0" applyFont="1" applyBorder="1"/>
    <xf numFmtId="0" fontId="0" fillId="2" borderId="15" xfId="0" applyFill="1" applyBorder="1"/>
    <xf numFmtId="0" fontId="0" fillId="17" borderId="13" xfId="0" applyFill="1" applyBorder="1"/>
    <xf numFmtId="0" fontId="0" fillId="17" borderId="14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12" fillId="4" borderId="13" xfId="0" applyNumberFormat="1" applyFont="1" applyFill="1" applyBorder="1"/>
    <xf numFmtId="0" fontId="0" fillId="18" borderId="13" xfId="0" applyFill="1" applyBorder="1"/>
    <xf numFmtId="0" fontId="0" fillId="2" borderId="13" xfId="0" applyFill="1" applyBorder="1" applyAlignment="1">
      <alignment horizontal="center" wrapText="1"/>
    </xf>
    <xf numFmtId="4" fontId="32" fillId="0" borderId="13" xfId="0" applyNumberFormat="1" applyFont="1" applyBorder="1"/>
    <xf numFmtId="0" fontId="32" fillId="0" borderId="13" xfId="0" applyFont="1" applyBorder="1"/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" fontId="0" fillId="0" borderId="13" xfId="0" applyNumberFormat="1" applyBorder="1" applyAlignment="1">
      <alignment horizontal="center"/>
    </xf>
    <xf numFmtId="14" fontId="36" fillId="8" borderId="13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49" fontId="0" fillId="19" borderId="13" xfId="0" applyNumberFormat="1" applyFill="1" applyBorder="1"/>
    <xf numFmtId="4" fontId="0" fillId="10" borderId="13" xfId="0" applyNumberFormat="1" applyFill="1" applyBorder="1"/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13" fillId="4" borderId="15" xfId="0" applyNumberFormat="1" applyFont="1" applyFill="1" applyBorder="1"/>
    <xf numFmtId="0" fontId="17" fillId="0" borderId="13" xfId="0" applyFont="1" applyBorder="1"/>
    <xf numFmtId="0" fontId="37" fillId="0" borderId="16" xfId="0" applyFont="1" applyFill="1" applyBorder="1" applyAlignment="1">
      <alignment wrapText="1"/>
    </xf>
    <xf numFmtId="4" fontId="0" fillId="20" borderId="13" xfId="0" applyNumberFormat="1" applyFill="1" applyBorder="1"/>
    <xf numFmtId="166" fontId="19" fillId="4" borderId="13" xfId="0" applyNumberFormat="1" applyFont="1" applyFill="1" applyBorder="1" applyAlignment="1">
      <alignment wrapText="1"/>
    </xf>
    <xf numFmtId="166" fontId="19" fillId="4" borderId="0" xfId="0" applyNumberFormat="1" applyFont="1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0" fillId="2" borderId="15" xfId="0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" fontId="38" fillId="4" borderId="13" xfId="0" applyNumberFormat="1" applyFont="1" applyFill="1" applyBorder="1"/>
    <xf numFmtId="4" fontId="32" fillId="4" borderId="13" xfId="0" applyNumberFormat="1" applyFont="1" applyFill="1" applyBorder="1"/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18" xfId="0" applyNumberFormat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" fontId="32" fillId="14" borderId="13" xfId="0" applyNumberFormat="1" applyFont="1" applyFill="1" applyBorder="1"/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14" fontId="0" fillId="0" borderId="22" xfId="0" applyNumberFormat="1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 wrapText="1"/>
    </xf>
    <xf numFmtId="0" fontId="35" fillId="0" borderId="13" xfId="0" applyFont="1" applyBorder="1" applyAlignment="1">
      <alignment horizontal="center" wrapText="1"/>
    </xf>
    <xf numFmtId="0" fontId="35" fillId="0" borderId="1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9" fillId="8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14" borderId="23" xfId="0" applyFont="1" applyFill="1" applyBorder="1" applyAlignment="1">
      <alignment vertical="center" wrapText="1"/>
    </xf>
    <xf numFmtId="0" fontId="9" fillId="14" borderId="2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/>
    </xf>
    <xf numFmtId="0" fontId="0" fillId="9" borderId="1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6" xfId="0" applyNumberFormat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16" fontId="0" fillId="0" borderId="14" xfId="0" applyNumberFormat="1" applyBorder="1" applyAlignment="1">
      <alignment horizontal="center" wrapText="1"/>
    </xf>
    <xf numFmtId="16" fontId="0" fillId="0" borderId="16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6" xfId="0" applyNumberFormat="1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8">
    <cellStyle name="Excel Built-in Normal" xfId="3"/>
    <cellStyle name="Обычный" xfId="0" builtinId="0"/>
    <cellStyle name="Обычный 2" xfId="2"/>
    <cellStyle name="Обычный 2 2" xfId="5"/>
    <cellStyle name="Обычный 3" xfId="6"/>
    <cellStyle name="Обычный 4" xfId="4"/>
    <cellStyle name="Финансовый" xfId="1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A84"/>
  <sheetViews>
    <sheetView topLeftCell="AP1" zoomScaleNormal="100" workbookViewId="0">
      <selection activeCell="AP1" sqref="AP1"/>
    </sheetView>
  </sheetViews>
  <sheetFormatPr defaultRowHeight="14.4"/>
  <cols>
    <col min="1" max="1" width="7.109375" customWidth="1"/>
    <col min="2" max="2" width="43.44140625" customWidth="1"/>
    <col min="3" max="3" width="3.33203125" customWidth="1"/>
    <col min="4" max="4" width="14.44140625" customWidth="1"/>
    <col min="5" max="5" width="11.6640625" customWidth="1"/>
    <col min="6" max="11" width="12.44140625" customWidth="1"/>
    <col min="12" max="13" width="11.6640625" customWidth="1"/>
    <col min="14" max="14" width="13.44140625" customWidth="1"/>
    <col min="15" max="15" width="14" customWidth="1"/>
    <col min="16" max="16" width="14.5546875" customWidth="1"/>
    <col min="17" max="17" width="11.88671875" customWidth="1"/>
    <col min="18" max="18" width="11.33203125" customWidth="1"/>
    <col min="19" max="19" width="14.6640625" customWidth="1"/>
    <col min="20" max="20" width="14.5546875" customWidth="1"/>
    <col min="21" max="21" width="14.33203125" customWidth="1"/>
    <col min="22" max="24" width="10.88671875" customWidth="1"/>
    <col min="25" max="25" width="15.6640625" customWidth="1"/>
    <col min="26" max="26" width="37" customWidth="1"/>
    <col min="27" max="27" width="13.109375" customWidth="1"/>
    <col min="28" max="28" width="14.109375" customWidth="1"/>
    <col min="29" max="29" width="13" customWidth="1"/>
    <col min="30" max="30" width="14" customWidth="1"/>
    <col min="31" max="32" width="12.44140625" customWidth="1"/>
    <col min="33" max="33" width="11.88671875" customWidth="1"/>
    <col min="34" max="34" width="16.109375" customWidth="1"/>
    <col min="35" max="36" width="12.5546875" customWidth="1"/>
    <col min="37" max="37" width="14" customWidth="1"/>
    <col min="38" max="40" width="12.33203125" customWidth="1"/>
    <col min="41" max="41" width="16" customWidth="1"/>
    <col min="42" max="42" width="38" customWidth="1"/>
    <col min="43" max="43" width="13.44140625" customWidth="1"/>
    <col min="44" max="44" width="14.109375" customWidth="1"/>
    <col min="45" max="46" width="12.33203125" customWidth="1"/>
    <col min="47" max="51" width="12.44140625" customWidth="1"/>
    <col min="52" max="52" width="38" customWidth="1"/>
    <col min="53" max="53" width="16" customWidth="1"/>
    <col min="54" max="59" width="12.44140625" customWidth="1"/>
    <col min="60" max="61" width="9.109375" customWidth="1"/>
    <col min="62" max="62" width="13.88671875" customWidth="1"/>
    <col min="63" max="63" width="12.6640625" customWidth="1"/>
    <col min="64" max="64" width="13.109375" customWidth="1"/>
    <col min="65" max="65" width="9.33203125" customWidth="1"/>
    <col min="66" max="66" width="13.109375" customWidth="1"/>
    <col min="67" max="67" width="11.5546875" customWidth="1"/>
    <col min="68" max="68" width="10.33203125" customWidth="1"/>
    <col min="69" max="69" width="12.109375" customWidth="1"/>
    <col min="70" max="70" width="13.6640625" customWidth="1"/>
    <col min="71" max="71" width="11.44140625" customWidth="1"/>
    <col min="72" max="72" width="8.88671875" customWidth="1"/>
    <col min="73" max="73" width="9.5546875" customWidth="1"/>
    <col min="74" max="74" width="13" customWidth="1"/>
    <col min="75" max="86" width="12" customWidth="1"/>
    <col min="87" max="88" width="14.33203125" customWidth="1"/>
    <col min="89" max="89" width="34.109375" customWidth="1"/>
    <col min="90" max="102" width="12" customWidth="1"/>
    <col min="103" max="103" width="16" customWidth="1"/>
    <col min="104" max="108" width="12" customWidth="1"/>
    <col min="109" max="109" width="14.5546875" customWidth="1"/>
    <col min="110" max="162" width="12" customWidth="1"/>
    <col min="163" max="165" width="13.5546875" customWidth="1"/>
    <col min="166" max="166" width="12.33203125" customWidth="1"/>
    <col min="167" max="167" width="11.109375" customWidth="1"/>
    <col min="168" max="168" width="10.88671875" customWidth="1"/>
    <col min="169" max="171" width="11.6640625" customWidth="1"/>
    <col min="172" max="172" width="11.6640625" hidden="1" customWidth="1"/>
    <col min="173" max="173" width="13.44140625" hidden="1" customWidth="1"/>
    <col min="174" max="174" width="13.6640625" customWidth="1"/>
    <col min="175" max="176" width="12.44140625" customWidth="1"/>
    <col min="177" max="177" width="16.109375" customWidth="1"/>
    <col min="178" max="178" width="16.109375" hidden="1" customWidth="1"/>
    <col min="179" max="179" width="38" customWidth="1"/>
    <col min="180" max="180" width="12.33203125" customWidth="1"/>
    <col min="184" max="184" width="9.5546875" bestFit="1" customWidth="1"/>
    <col min="185" max="185" width="12.5546875" customWidth="1"/>
    <col min="186" max="186" width="15.6640625" style="208" customWidth="1"/>
    <col min="187" max="187" width="18.109375" customWidth="1"/>
    <col min="188" max="188" width="14.44140625" customWidth="1"/>
    <col min="189" max="189" width="22.88671875" customWidth="1"/>
    <col min="190" max="190" width="13.44140625" style="174" customWidth="1"/>
    <col min="191" max="191" width="22.5546875" customWidth="1"/>
    <col min="192" max="192" width="14.88671875" customWidth="1"/>
    <col min="193" max="193" width="14.33203125" customWidth="1"/>
    <col min="194" max="194" width="13.5546875" customWidth="1"/>
    <col min="195" max="195" width="14.109375" customWidth="1"/>
    <col min="196" max="197" width="13.33203125" customWidth="1"/>
    <col min="198" max="198" width="12.88671875" customWidth="1"/>
    <col min="199" max="200" width="11.109375" customWidth="1"/>
    <col min="201" max="201" width="11.5546875" customWidth="1"/>
    <col min="202" max="203" width="14.33203125" customWidth="1"/>
    <col min="204" max="204" width="18" customWidth="1"/>
    <col min="205" max="205" width="36.44140625" customWidth="1"/>
    <col min="206" max="206" width="14.33203125" customWidth="1"/>
    <col min="207" max="207" width="15.88671875" customWidth="1"/>
    <col min="209" max="209" width="11.6640625" customWidth="1"/>
  </cols>
  <sheetData>
    <row r="1" spans="1:209" ht="60" customHeight="1">
      <c r="A1" s="276" t="s">
        <v>115</v>
      </c>
      <c r="B1" s="278" t="s">
        <v>160</v>
      </c>
      <c r="C1" s="17"/>
      <c r="D1" s="280" t="s">
        <v>342</v>
      </c>
      <c r="E1" s="281"/>
      <c r="F1" s="281"/>
      <c r="G1" s="281"/>
      <c r="H1" s="281"/>
      <c r="I1" s="281"/>
      <c r="J1" s="281"/>
      <c r="K1" s="281"/>
      <c r="L1" s="282"/>
      <c r="M1" s="56"/>
      <c r="N1" s="56"/>
      <c r="O1" s="118" t="s">
        <v>166</v>
      </c>
      <c r="P1" s="285" t="s">
        <v>343</v>
      </c>
      <c r="Q1" s="285"/>
      <c r="R1" s="285"/>
      <c r="S1" s="285" t="s">
        <v>118</v>
      </c>
      <c r="T1" s="285"/>
      <c r="U1" s="285"/>
      <c r="V1" s="295"/>
      <c r="W1" s="296"/>
      <c r="X1" s="297"/>
      <c r="Y1" s="287" t="s">
        <v>167</v>
      </c>
      <c r="Z1" s="18" t="s">
        <v>161</v>
      </c>
      <c r="AA1" s="286" t="s">
        <v>163</v>
      </c>
      <c r="AB1" s="286"/>
      <c r="AC1" s="293" t="s">
        <v>319</v>
      </c>
      <c r="AD1" s="294"/>
      <c r="AE1" s="294" t="s">
        <v>283</v>
      </c>
      <c r="AF1" s="298"/>
      <c r="AG1" s="59" t="s">
        <v>164</v>
      </c>
      <c r="AH1" s="108" t="s">
        <v>165</v>
      </c>
      <c r="AI1" s="290" t="s">
        <v>174</v>
      </c>
      <c r="AJ1" s="289" t="s">
        <v>263</v>
      </c>
      <c r="AK1" s="289"/>
      <c r="AL1" s="289"/>
      <c r="AM1" s="195" t="s">
        <v>303</v>
      </c>
      <c r="AN1" s="116" t="s">
        <v>170</v>
      </c>
      <c r="AO1" s="291" t="s">
        <v>240</v>
      </c>
      <c r="AP1" s="102" t="s">
        <v>393</v>
      </c>
      <c r="AQ1" s="283" t="s">
        <v>274</v>
      </c>
      <c r="AR1" s="283"/>
      <c r="AS1" s="283"/>
      <c r="AT1" s="283" t="s">
        <v>177</v>
      </c>
      <c r="AU1" s="283" t="s">
        <v>310</v>
      </c>
      <c r="AV1" s="283" t="s">
        <v>178</v>
      </c>
      <c r="AW1" s="283" t="s">
        <v>322</v>
      </c>
      <c r="AX1" s="283" t="s">
        <v>320</v>
      </c>
      <c r="AY1" s="283" t="s">
        <v>321</v>
      </c>
      <c r="AZ1" s="19" t="s">
        <v>162</v>
      </c>
      <c r="BA1" s="280" t="s">
        <v>362</v>
      </c>
      <c r="BB1" s="281"/>
      <c r="BC1" s="281"/>
      <c r="BD1" s="281"/>
      <c r="BE1" s="281"/>
      <c r="BF1" s="281"/>
      <c r="BG1" s="281"/>
      <c r="BH1" s="282"/>
      <c r="BI1" s="56"/>
      <c r="BJ1" s="56"/>
      <c r="BK1" s="60" t="s">
        <v>166</v>
      </c>
      <c r="BL1" s="197">
        <v>45315</v>
      </c>
      <c r="BM1" s="299">
        <v>45323</v>
      </c>
      <c r="BN1" s="299"/>
      <c r="BO1" s="198"/>
      <c r="BP1" s="199"/>
      <c r="BQ1" s="140">
        <v>44977</v>
      </c>
      <c r="BR1" s="200">
        <v>45352</v>
      </c>
      <c r="BS1" s="161">
        <v>45378</v>
      </c>
      <c r="BT1" s="301">
        <v>45383</v>
      </c>
      <c r="BU1" s="302"/>
      <c r="BV1" s="302"/>
      <c r="BW1" s="303"/>
      <c r="BX1" s="162"/>
      <c r="BY1" s="304" t="s">
        <v>367</v>
      </c>
      <c r="BZ1" s="305"/>
      <c r="CA1" s="304" t="s">
        <v>368</v>
      </c>
      <c r="CB1" s="305"/>
      <c r="CC1" s="306" t="s">
        <v>370</v>
      </c>
      <c r="CD1" s="306"/>
      <c r="CE1" s="310" t="s">
        <v>369</v>
      </c>
      <c r="CF1" s="308"/>
      <c r="CG1" s="308"/>
      <c r="CH1" s="308"/>
      <c r="CI1" s="186" t="s">
        <v>372</v>
      </c>
      <c r="CJ1" s="252" t="s">
        <v>373</v>
      </c>
      <c r="CK1" s="176"/>
      <c r="CL1" s="254" t="s">
        <v>374</v>
      </c>
      <c r="CM1" s="258" t="s">
        <v>381</v>
      </c>
      <c r="CN1" s="202"/>
      <c r="CO1" s="186" t="s">
        <v>376</v>
      </c>
      <c r="CP1" s="182"/>
      <c r="CQ1" s="217" t="s">
        <v>324</v>
      </c>
      <c r="CR1" s="186" t="s">
        <v>376</v>
      </c>
      <c r="CS1" s="186"/>
      <c r="CT1" s="186"/>
      <c r="CU1" s="183"/>
      <c r="CV1" s="186" t="s">
        <v>377</v>
      </c>
      <c r="CW1" s="308" t="s">
        <v>379</v>
      </c>
      <c r="CX1" s="309"/>
      <c r="CY1" s="257" t="s">
        <v>380</v>
      </c>
      <c r="CZ1" s="260" t="s">
        <v>381</v>
      </c>
      <c r="DA1" s="187"/>
      <c r="DB1" s="187"/>
      <c r="DC1" s="187" t="s">
        <v>382</v>
      </c>
      <c r="DD1" s="259" t="s">
        <v>383</v>
      </c>
      <c r="DE1" s="261" t="s">
        <v>384</v>
      </c>
      <c r="DF1" s="187" t="s">
        <v>387</v>
      </c>
      <c r="DG1" s="187"/>
      <c r="DH1" s="264" t="s">
        <v>390</v>
      </c>
      <c r="DI1" s="265" t="s">
        <v>388</v>
      </c>
      <c r="DJ1" s="265"/>
      <c r="DK1" s="264" t="s">
        <v>390</v>
      </c>
      <c r="DL1" s="263" t="s">
        <v>389</v>
      </c>
      <c r="DM1" s="265" t="s">
        <v>390</v>
      </c>
      <c r="DN1" s="265"/>
      <c r="DO1" s="265"/>
      <c r="DP1" s="234"/>
      <c r="DQ1" s="265" t="s">
        <v>394</v>
      </c>
      <c r="DR1" s="265"/>
      <c r="DS1" s="265"/>
      <c r="DT1" s="265"/>
      <c r="DU1" s="265" t="s">
        <v>333</v>
      </c>
      <c r="DV1" s="265"/>
      <c r="DW1" s="187" t="s">
        <v>335</v>
      </c>
      <c r="DX1" s="187"/>
      <c r="DY1" s="265" t="s">
        <v>336</v>
      </c>
      <c r="DZ1" s="265"/>
      <c r="EA1" s="265"/>
      <c r="EB1" s="265"/>
      <c r="EC1" s="235" t="s">
        <v>337</v>
      </c>
      <c r="ED1" s="265"/>
      <c r="EE1" s="265"/>
      <c r="EF1" s="191"/>
      <c r="EG1" s="192"/>
      <c r="EH1" s="266" t="s">
        <v>338</v>
      </c>
      <c r="EI1" s="266"/>
      <c r="EJ1" s="266"/>
      <c r="EK1" s="266"/>
      <c r="EL1" s="266"/>
      <c r="EM1" s="266"/>
      <c r="EN1" s="236" t="s">
        <v>339</v>
      </c>
      <c r="EO1" s="237" t="s">
        <v>341</v>
      </c>
      <c r="EP1" s="237"/>
      <c r="EQ1" s="265" t="s">
        <v>340</v>
      </c>
      <c r="ER1" s="265"/>
      <c r="ES1" s="265"/>
      <c r="ET1" s="265"/>
      <c r="EU1" s="265"/>
      <c r="EV1" s="265"/>
      <c r="EW1" s="265" t="s">
        <v>316</v>
      </c>
      <c r="EX1" s="265"/>
      <c r="EY1" s="265"/>
      <c r="EZ1" s="265"/>
      <c r="FA1" s="265"/>
      <c r="FB1" s="265"/>
      <c r="FC1" s="265" t="s">
        <v>317</v>
      </c>
      <c r="FD1" s="265"/>
      <c r="FE1" s="265"/>
      <c r="FF1" s="265"/>
      <c r="FG1" s="20" t="s">
        <v>117</v>
      </c>
      <c r="FH1" s="307" t="s">
        <v>375</v>
      </c>
      <c r="FI1" s="307"/>
      <c r="FJ1" s="175">
        <v>45414</v>
      </c>
      <c r="FK1" s="190" t="s">
        <v>309</v>
      </c>
      <c r="FL1" s="274" t="s">
        <v>249</v>
      </c>
      <c r="FM1" s="19" t="s">
        <v>356</v>
      </c>
      <c r="FN1" s="226"/>
      <c r="FO1" s="218"/>
      <c r="FP1" s="311" t="s">
        <v>285</v>
      </c>
      <c r="FQ1" s="311"/>
      <c r="FR1" s="311"/>
      <c r="FS1" s="311"/>
      <c r="FT1" s="311"/>
      <c r="FU1" s="311"/>
      <c r="FV1" s="218" t="s">
        <v>327</v>
      </c>
      <c r="FW1" s="19"/>
      <c r="FX1" s="283" t="s">
        <v>116</v>
      </c>
      <c r="FY1" s="283"/>
      <c r="FZ1">
        <v>2019</v>
      </c>
      <c r="GC1" s="300" t="s">
        <v>354</v>
      </c>
      <c r="GD1" s="18" t="s">
        <v>352</v>
      </c>
      <c r="GE1" s="18" t="s">
        <v>353</v>
      </c>
      <c r="GF1" s="18"/>
      <c r="GG1" s="247" t="s">
        <v>365</v>
      </c>
      <c r="GH1" s="25"/>
      <c r="GI1" s="152" t="s">
        <v>265</v>
      </c>
      <c r="GJ1" s="140" t="s">
        <v>357</v>
      </c>
      <c r="GK1" s="218" t="s">
        <v>327</v>
      </c>
      <c r="GL1" s="152" t="s">
        <v>304</v>
      </c>
      <c r="GM1" s="22"/>
      <c r="GN1" s="269" t="s">
        <v>348</v>
      </c>
      <c r="GO1" s="270"/>
      <c r="GP1" s="271" t="s">
        <v>349</v>
      </c>
      <c r="GQ1" s="270"/>
      <c r="GR1" s="267" t="s">
        <v>391</v>
      </c>
      <c r="GS1" s="268"/>
      <c r="GT1" s="244" t="s">
        <v>360</v>
      </c>
      <c r="GU1" s="245" t="s">
        <v>361</v>
      </c>
      <c r="GV1" s="228">
        <v>2026</v>
      </c>
      <c r="GY1" s="21"/>
      <c r="HA1" s="22"/>
    </row>
    <row r="2" spans="1:209" ht="75" customHeight="1" thickBot="1">
      <c r="A2" s="277"/>
      <c r="B2" s="279"/>
      <c r="C2" s="23"/>
      <c r="D2" s="18">
        <v>244</v>
      </c>
      <c r="E2" s="18">
        <v>112</v>
      </c>
      <c r="F2" s="18">
        <v>321</v>
      </c>
      <c r="G2" s="18">
        <v>111</v>
      </c>
      <c r="H2" s="18">
        <v>119</v>
      </c>
      <c r="I2" s="18">
        <v>831</v>
      </c>
      <c r="J2" s="18">
        <v>851</v>
      </c>
      <c r="K2" s="18">
        <v>852</v>
      </c>
      <c r="L2" s="18">
        <v>853</v>
      </c>
      <c r="M2" s="57">
        <v>243</v>
      </c>
      <c r="N2" s="57">
        <v>247</v>
      </c>
      <c r="O2" s="119"/>
      <c r="P2" s="24" t="s">
        <v>245</v>
      </c>
      <c r="Q2" s="24" t="s">
        <v>159</v>
      </c>
      <c r="R2" s="24" t="s">
        <v>171</v>
      </c>
      <c r="S2" s="24">
        <v>111</v>
      </c>
      <c r="T2" s="24">
        <v>119</v>
      </c>
      <c r="U2" s="24" t="s">
        <v>119</v>
      </c>
      <c r="V2" s="24">
        <v>111</v>
      </c>
      <c r="W2" s="24">
        <v>119</v>
      </c>
      <c r="X2" s="211" t="s">
        <v>119</v>
      </c>
      <c r="Y2" s="288"/>
      <c r="Z2" s="18"/>
      <c r="AA2" s="18" t="s">
        <v>162</v>
      </c>
      <c r="AB2" s="58" t="s">
        <v>204</v>
      </c>
      <c r="AC2" s="58">
        <v>111</v>
      </c>
      <c r="AD2" s="58">
        <v>119</v>
      </c>
      <c r="AE2" s="58" t="s">
        <v>284</v>
      </c>
      <c r="AF2" s="58" t="s">
        <v>162</v>
      </c>
      <c r="AG2" s="58" t="s">
        <v>311</v>
      </c>
      <c r="AH2" s="109" t="s">
        <v>161</v>
      </c>
      <c r="AI2" s="290"/>
      <c r="AJ2" s="24" t="s">
        <v>168</v>
      </c>
      <c r="AK2" s="24" t="s">
        <v>169</v>
      </c>
      <c r="AL2" s="114" t="s">
        <v>173</v>
      </c>
      <c r="AM2" s="150"/>
      <c r="AN2" s="112"/>
      <c r="AO2" s="292"/>
      <c r="AQ2" t="s">
        <v>275</v>
      </c>
      <c r="AR2" t="s">
        <v>175</v>
      </c>
      <c r="AS2" t="s">
        <v>176</v>
      </c>
      <c r="AT2" s="284"/>
      <c r="AU2" s="284"/>
      <c r="AV2" s="284"/>
      <c r="AW2" s="284"/>
      <c r="AX2" s="284"/>
      <c r="AY2" s="284"/>
      <c r="BA2" s="18">
        <v>244</v>
      </c>
      <c r="BB2" s="18">
        <v>112</v>
      </c>
      <c r="BC2" s="18">
        <v>321</v>
      </c>
      <c r="BD2" s="18">
        <v>111</v>
      </c>
      <c r="BE2" s="18">
        <v>119</v>
      </c>
      <c r="BF2" s="18">
        <v>851</v>
      </c>
      <c r="BG2" s="18">
        <v>852</v>
      </c>
      <c r="BH2" s="18">
        <v>853</v>
      </c>
      <c r="BI2" s="57">
        <v>243</v>
      </c>
      <c r="BJ2" s="57">
        <v>247</v>
      </c>
      <c r="BK2" s="139"/>
      <c r="BL2" s="141">
        <v>244</v>
      </c>
      <c r="BM2" s="141">
        <v>112</v>
      </c>
      <c r="BN2" s="18">
        <v>244</v>
      </c>
      <c r="BO2" s="18" t="s">
        <v>246</v>
      </c>
      <c r="BP2" s="18">
        <v>321</v>
      </c>
      <c r="BQ2" s="18">
        <v>244</v>
      </c>
      <c r="BR2" s="18">
        <v>244</v>
      </c>
      <c r="BS2" s="138" t="s">
        <v>278</v>
      </c>
      <c r="BT2" s="18"/>
      <c r="BU2" s="126"/>
      <c r="BV2" s="126">
        <v>244</v>
      </c>
      <c r="BW2" s="126"/>
      <c r="BX2" s="126">
        <v>112</v>
      </c>
      <c r="BY2" s="126">
        <v>244</v>
      </c>
      <c r="BZ2" s="126">
        <v>852</v>
      </c>
      <c r="CA2" s="126">
        <v>247</v>
      </c>
      <c r="CB2" s="126">
        <v>244</v>
      </c>
      <c r="CC2" s="126">
        <v>852</v>
      </c>
      <c r="CD2" s="126">
        <v>244</v>
      </c>
      <c r="CE2" s="126">
        <v>244</v>
      </c>
      <c r="CF2" s="126">
        <v>851</v>
      </c>
      <c r="CG2" s="126">
        <v>247</v>
      </c>
      <c r="CH2" s="126">
        <v>112</v>
      </c>
      <c r="CI2" s="126">
        <v>244</v>
      </c>
      <c r="CJ2" s="126">
        <v>244</v>
      </c>
      <c r="CK2" s="126"/>
      <c r="CL2" s="126">
        <v>244</v>
      </c>
      <c r="CM2" s="126" t="s">
        <v>308</v>
      </c>
      <c r="CN2" s="126">
        <v>119</v>
      </c>
      <c r="CO2" s="126" t="s">
        <v>250</v>
      </c>
      <c r="CP2" s="126" t="s">
        <v>251</v>
      </c>
      <c r="CQ2" s="126" t="s">
        <v>252</v>
      </c>
      <c r="CR2" s="126">
        <v>244</v>
      </c>
      <c r="CS2" s="126" t="s">
        <v>252</v>
      </c>
      <c r="CT2" s="126"/>
      <c r="CU2" s="126">
        <v>247</v>
      </c>
      <c r="CV2" s="126">
        <v>244</v>
      </c>
      <c r="CW2" s="126">
        <v>247</v>
      </c>
      <c r="CX2" s="126">
        <v>244</v>
      </c>
      <c r="CY2" s="58">
        <v>244</v>
      </c>
      <c r="CZ2" s="58">
        <v>831</v>
      </c>
      <c r="DA2" s="58">
        <v>852</v>
      </c>
      <c r="DB2" s="58">
        <v>853</v>
      </c>
      <c r="DC2" s="58">
        <v>244</v>
      </c>
      <c r="DD2" s="58">
        <v>244</v>
      </c>
      <c r="DE2" s="58">
        <v>244</v>
      </c>
      <c r="DF2" s="58">
        <v>244</v>
      </c>
      <c r="DG2" s="58">
        <v>112</v>
      </c>
      <c r="DH2" s="58" t="s">
        <v>252</v>
      </c>
      <c r="DI2" s="58">
        <v>244</v>
      </c>
      <c r="DJ2" s="58">
        <v>247</v>
      </c>
      <c r="DK2" s="227" t="s">
        <v>328</v>
      </c>
      <c r="DL2" s="58">
        <v>244</v>
      </c>
      <c r="DM2" s="58">
        <v>244</v>
      </c>
      <c r="DN2" s="231" t="s">
        <v>332</v>
      </c>
      <c r="DO2" s="58">
        <v>112</v>
      </c>
      <c r="DP2" s="58">
        <v>244</v>
      </c>
      <c r="DQ2" s="58">
        <v>244</v>
      </c>
      <c r="DR2" s="58">
        <v>247</v>
      </c>
      <c r="DS2" s="58">
        <v>852</v>
      </c>
      <c r="DT2" s="58">
        <v>853</v>
      </c>
      <c r="DU2" s="58">
        <v>244</v>
      </c>
      <c r="DV2" s="58">
        <v>247</v>
      </c>
      <c r="DW2" s="58">
        <v>244</v>
      </c>
      <c r="DX2" s="58">
        <v>112</v>
      </c>
      <c r="DY2" s="58">
        <v>244</v>
      </c>
      <c r="DZ2" s="58">
        <v>112</v>
      </c>
      <c r="EA2" s="58">
        <v>853</v>
      </c>
      <c r="EB2" s="58">
        <v>851</v>
      </c>
      <c r="EC2" s="58">
        <v>244</v>
      </c>
      <c r="ED2" s="58">
        <v>244</v>
      </c>
      <c r="EE2" s="209" t="s">
        <v>312</v>
      </c>
      <c r="EF2" s="58">
        <v>244</v>
      </c>
      <c r="EG2" s="58">
        <v>244</v>
      </c>
      <c r="EH2" s="210">
        <v>244</v>
      </c>
      <c r="EI2" s="210">
        <v>247</v>
      </c>
      <c r="EJ2" s="210">
        <v>112</v>
      </c>
      <c r="EK2" s="210">
        <v>851</v>
      </c>
      <c r="EL2" s="210">
        <v>852</v>
      </c>
      <c r="EM2" s="210">
        <v>853</v>
      </c>
      <c r="EN2" s="210">
        <v>247</v>
      </c>
      <c r="EO2" s="58">
        <v>244</v>
      </c>
      <c r="EP2" s="58">
        <v>247</v>
      </c>
      <c r="EQ2" s="58">
        <v>247</v>
      </c>
      <c r="ER2" s="58">
        <v>244</v>
      </c>
      <c r="ES2" s="58">
        <v>851</v>
      </c>
      <c r="ET2" s="58">
        <v>852</v>
      </c>
      <c r="EU2" s="58">
        <v>853</v>
      </c>
      <c r="EV2" s="58">
        <v>112</v>
      </c>
      <c r="EW2" s="18">
        <v>244</v>
      </c>
      <c r="EX2" s="18">
        <v>112</v>
      </c>
      <c r="EY2" s="18">
        <v>851</v>
      </c>
      <c r="EZ2" s="18">
        <v>852</v>
      </c>
      <c r="FA2" s="18">
        <v>853</v>
      </c>
      <c r="FB2" s="18">
        <v>247</v>
      </c>
      <c r="FC2" s="18">
        <v>244</v>
      </c>
      <c r="FD2" s="18">
        <v>247</v>
      </c>
      <c r="FE2" s="18">
        <v>852</v>
      </c>
      <c r="FF2" s="18">
        <v>112</v>
      </c>
      <c r="FG2" s="25" t="s">
        <v>119</v>
      </c>
      <c r="FH2" s="203">
        <v>111</v>
      </c>
      <c r="FI2" s="203">
        <v>119</v>
      </c>
      <c r="FJ2" s="26" t="s">
        <v>253</v>
      </c>
      <c r="FK2" s="86" t="s">
        <v>286</v>
      </c>
      <c r="FL2" s="275"/>
      <c r="FM2" s="155">
        <v>244</v>
      </c>
      <c r="FN2" s="225" t="s">
        <v>287</v>
      </c>
      <c r="FO2" s="219" t="s">
        <v>392</v>
      </c>
      <c r="FP2" s="58"/>
      <c r="FQ2" s="58"/>
      <c r="FR2" s="58" t="s">
        <v>289</v>
      </c>
      <c r="FS2" s="58" t="s">
        <v>288</v>
      </c>
      <c r="FT2" s="58" t="s">
        <v>371</v>
      </c>
      <c r="FU2" s="199" t="s">
        <v>385</v>
      </c>
      <c r="FV2" s="219" t="s">
        <v>326</v>
      </c>
      <c r="FX2">
        <v>2019</v>
      </c>
      <c r="FZ2" s="27" t="s">
        <v>121</v>
      </c>
      <c r="GA2" s="27" t="s">
        <v>122</v>
      </c>
      <c r="GB2" s="27" t="s">
        <v>123</v>
      </c>
      <c r="GC2" s="300"/>
      <c r="GD2" s="215" t="s">
        <v>323</v>
      </c>
      <c r="GE2" s="240" t="s">
        <v>363</v>
      </c>
      <c r="GF2" s="240" t="s">
        <v>359</v>
      </c>
      <c r="GG2" s="248" t="s">
        <v>366</v>
      </c>
      <c r="GH2" s="253" t="s">
        <v>355</v>
      </c>
      <c r="GI2" s="85" t="s">
        <v>266</v>
      </c>
      <c r="GJ2" s="242" t="s">
        <v>358</v>
      </c>
      <c r="GK2" s="219" t="s">
        <v>326</v>
      </c>
      <c r="GL2" s="19" t="s">
        <v>364</v>
      </c>
      <c r="GM2" s="86"/>
      <c r="GN2" s="86" t="s">
        <v>350</v>
      </c>
      <c r="GO2" s="86" t="s">
        <v>351</v>
      </c>
      <c r="GP2" s="86" t="s">
        <v>350</v>
      </c>
      <c r="GQ2" s="86" t="s">
        <v>351</v>
      </c>
      <c r="GR2" s="86" t="s">
        <v>350</v>
      </c>
      <c r="GS2" s="86" t="s">
        <v>351</v>
      </c>
      <c r="GT2" s="272" t="s">
        <v>329</v>
      </c>
      <c r="GU2" s="272"/>
      <c r="GV2" s="273"/>
      <c r="GX2" s="28"/>
      <c r="GY2" s="29"/>
      <c r="HA2" s="19"/>
    </row>
    <row r="3" spans="1:209" ht="27.75" customHeight="1">
      <c r="A3" s="30">
        <v>1</v>
      </c>
      <c r="B3" s="31" t="s">
        <v>124</v>
      </c>
      <c r="C3" s="103"/>
      <c r="D3" s="104">
        <f>BA3+FG3+BL3+BN3+BQ3+BR3+BV3+CB3+CD3+CE3+BY3+CI3+CV3+CY3+DC3+CR3+DD3+DE3+DF3+DI3+DL3+DM3+EO3+ER3+BS3+CL3+DP3+DQ3+DU3+DW3+DY3+EC3+ED3+EF3+EG3+EH3+EW3+FC3+CJ3+CX3</f>
        <v>6362817.7299999995</v>
      </c>
      <c r="E3" s="104">
        <f>BB3+BM3+CZ3+DX3+DZ3+CH3+DO3+EJ3+EV3+DG3</f>
        <v>0</v>
      </c>
      <c r="F3" s="105"/>
      <c r="G3" s="105">
        <f>FH3</f>
        <v>0</v>
      </c>
      <c r="H3" s="105">
        <f>FI3</f>
        <v>0</v>
      </c>
      <c r="I3" s="105">
        <f>CM3</f>
        <v>0</v>
      </c>
      <c r="J3" s="105">
        <f>EK3+BF3+ES3+DK3+EB3</f>
        <v>0</v>
      </c>
      <c r="K3" s="105">
        <f>BG3+CC3+CQ3+DA3+EE3+EL3+ET3+EZ3+FE3+CF3+DH3+DS3</f>
        <v>2412</v>
      </c>
      <c r="L3" s="142">
        <f>BH3+DB3+EM3+FA3+DN3+CO3+EA3+EU3+DT3</f>
        <v>334.92000000000007</v>
      </c>
      <c r="M3" s="142"/>
      <c r="N3" s="142">
        <f>BJ3+EI3+FB3+FD3+CA3+CG3+CU3+CW3+DJ3+DR3+DV3+EN3+EQ3+EP3</f>
        <v>522623.76000000007</v>
      </c>
      <c r="O3" s="143">
        <f>SUM(D3:N3)</f>
        <v>6888188.4099999992</v>
      </c>
      <c r="P3" s="18"/>
      <c r="Q3" s="142">
        <v>914375</v>
      </c>
      <c r="R3" s="32">
        <v>914375</v>
      </c>
      <c r="S3" s="38">
        <v>27435302.350000001</v>
      </c>
      <c r="T3" s="38">
        <v>8285461</v>
      </c>
      <c r="U3" s="142">
        <f>SUM(S3:T3)</f>
        <v>35720763.350000001</v>
      </c>
      <c r="V3" s="46"/>
      <c r="W3" s="46"/>
      <c r="X3" s="46">
        <f>SUM(V3:W3)</f>
        <v>0</v>
      </c>
      <c r="Y3" s="196">
        <f>U3+R3+O3+X3</f>
        <v>43523326.759999998</v>
      </c>
      <c r="Z3" s="31" t="s">
        <v>124</v>
      </c>
      <c r="AA3" s="106">
        <f>FN3</f>
        <v>0</v>
      </c>
      <c r="AB3" s="107">
        <f>GC3</f>
        <v>35379805.070000008</v>
      </c>
      <c r="AC3" s="188">
        <f>GN3+GP3+GR3</f>
        <v>2618991.5425806451</v>
      </c>
      <c r="AD3" s="188">
        <f>GO3+GQ3+GS3</f>
        <v>790935.44741935446</v>
      </c>
      <c r="AE3" s="34">
        <f>GH3</f>
        <v>0</v>
      </c>
      <c r="AF3">
        <f>FR3</f>
        <v>210264.62</v>
      </c>
      <c r="AG3" s="46">
        <v>387000</v>
      </c>
      <c r="AH3" s="110">
        <f>SUM(AA3:AG3)</f>
        <v>39386996.68</v>
      </c>
      <c r="AI3" s="111"/>
      <c r="AJ3" s="37">
        <v>150000</v>
      </c>
      <c r="AK3" s="18"/>
      <c r="AL3" s="115">
        <f>AJ3+AK3</f>
        <v>150000</v>
      </c>
      <c r="AM3" s="151"/>
      <c r="AN3" s="113"/>
      <c r="AO3" s="117">
        <f>AN3+AL3+AI3+AH3+Y3</f>
        <v>83060323.439999998</v>
      </c>
      <c r="AP3" s="31" t="s">
        <v>124</v>
      </c>
      <c r="AQ3" s="94"/>
      <c r="AR3" s="31"/>
      <c r="AS3" s="31"/>
      <c r="AT3" s="31">
        <f>SUM(AQ3:AS3)</f>
        <v>0</v>
      </c>
      <c r="AU3" s="31"/>
      <c r="AV3" s="31"/>
      <c r="AW3" s="31"/>
      <c r="AX3" s="214">
        <v>76801.710000000006</v>
      </c>
      <c r="AY3" s="31">
        <f>SUM(AW3:AX3)</f>
        <v>76801.710000000006</v>
      </c>
      <c r="AZ3" s="31" t="s">
        <v>124</v>
      </c>
      <c r="BA3" s="229">
        <v>312518.22999999992</v>
      </c>
      <c r="BB3" s="104">
        <v>0</v>
      </c>
      <c r="BC3" s="105"/>
      <c r="BD3" s="105"/>
      <c r="BE3" s="105"/>
      <c r="BF3" s="33">
        <v>0</v>
      </c>
      <c r="BG3" s="33">
        <v>2412</v>
      </c>
      <c r="BH3" s="33">
        <v>1325.98</v>
      </c>
      <c r="BI3" s="55"/>
      <c r="BJ3" s="33">
        <v>482623.76000000007</v>
      </c>
      <c r="BK3" s="142">
        <f>SUM(BA3:BJ3)</f>
        <v>798879.97</v>
      </c>
      <c r="BL3" s="105">
        <v>0</v>
      </c>
      <c r="BM3" s="33"/>
      <c r="BN3" s="105">
        <v>1176000</v>
      </c>
      <c r="BO3" s="31"/>
      <c r="BP3" s="31"/>
      <c r="BQ3" s="246">
        <v>0</v>
      </c>
      <c r="BR3" s="31">
        <v>62106</v>
      </c>
      <c r="BS3" s="18">
        <v>0</v>
      </c>
      <c r="BT3" s="31"/>
      <c r="BU3" s="31"/>
      <c r="BV3" s="31">
        <v>0</v>
      </c>
      <c r="BW3" s="31"/>
      <c r="BX3" s="31"/>
      <c r="BY3" s="18">
        <v>0</v>
      </c>
      <c r="BZ3" s="18"/>
      <c r="CA3" s="18"/>
      <c r="CB3" s="188"/>
      <c r="CC3" s="18"/>
      <c r="CD3" s="188"/>
      <c r="CE3" s="18">
        <v>734034.24</v>
      </c>
      <c r="CF3" s="18">
        <v>0</v>
      </c>
      <c r="CG3" s="18"/>
      <c r="CH3" s="18"/>
      <c r="CI3" s="33">
        <v>0</v>
      </c>
      <c r="CJ3" s="33">
        <v>48960</v>
      </c>
      <c r="CK3" s="31" t="s">
        <v>124</v>
      </c>
      <c r="CL3" s="31">
        <v>68160</v>
      </c>
      <c r="CM3" s="31"/>
      <c r="CN3" s="31"/>
      <c r="CO3" s="18"/>
      <c r="CP3" s="18"/>
      <c r="CQ3" s="18"/>
      <c r="CR3" s="18">
        <v>30000</v>
      </c>
      <c r="CS3" s="18"/>
      <c r="CT3" s="18"/>
      <c r="CU3" s="18"/>
      <c r="CV3" s="255">
        <v>0</v>
      </c>
      <c r="CW3" s="33"/>
      <c r="CX3" s="18">
        <v>0</v>
      </c>
      <c r="CY3" s="18">
        <v>11966.24</v>
      </c>
      <c r="CZ3" s="18">
        <v>0</v>
      </c>
      <c r="DA3" s="18">
        <v>0</v>
      </c>
      <c r="DB3" s="18"/>
      <c r="DC3" s="18">
        <v>0</v>
      </c>
      <c r="DD3" s="18">
        <v>0</v>
      </c>
      <c r="DE3" s="255">
        <v>2065131.72</v>
      </c>
      <c r="DF3" s="18">
        <v>0</v>
      </c>
      <c r="DG3" s="18">
        <v>0</v>
      </c>
      <c r="DH3" s="18">
        <v>0</v>
      </c>
      <c r="DI3" s="18">
        <v>84755</v>
      </c>
      <c r="DJ3" s="18">
        <v>0</v>
      </c>
      <c r="DK3" s="229">
        <v>0</v>
      </c>
      <c r="DL3" s="255"/>
      <c r="DM3" s="18">
        <v>0</v>
      </c>
      <c r="DN3" s="18">
        <v>8.94</v>
      </c>
      <c r="DO3" s="18"/>
      <c r="DP3" s="229"/>
      <c r="DQ3" s="18">
        <v>-1200000</v>
      </c>
      <c r="DR3" s="18">
        <v>40000</v>
      </c>
      <c r="DS3" s="18">
        <v>0</v>
      </c>
      <c r="DT3" s="18">
        <v>-1000</v>
      </c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76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40">
        <f t="shared" ref="FG3:FG38" si="0">FJ3+FL3+FM3+FK3</f>
        <v>2969186.2999999993</v>
      </c>
      <c r="FH3" s="33"/>
      <c r="FI3" s="33"/>
      <c r="FJ3" s="37">
        <v>475415.3</v>
      </c>
      <c r="FK3" s="18"/>
      <c r="FL3" s="33"/>
      <c r="FM3" s="33">
        <v>2493770.9999999995</v>
      </c>
      <c r="FN3" s="225">
        <f>FP3+FQ3+FO3</f>
        <v>0</v>
      </c>
      <c r="FO3" s="106"/>
      <c r="FP3" s="18"/>
      <c r="FQ3" s="18"/>
      <c r="FR3" s="18">
        <f>FS3+FT3+FU3</f>
        <v>210264.62</v>
      </c>
      <c r="FS3" s="18"/>
      <c r="FT3" s="18">
        <v>210264.62</v>
      </c>
      <c r="FU3" s="220"/>
      <c r="FV3" s="18"/>
      <c r="FW3" s="31" t="s">
        <v>124</v>
      </c>
      <c r="FX3" s="38">
        <f>E3+AG3+AH3-AA3+FZ3</f>
        <v>39773996.68</v>
      </c>
      <c r="FY3" s="38"/>
      <c r="FZ3" s="37"/>
      <c r="GA3" s="37"/>
      <c r="GB3" s="84"/>
      <c r="GC3" s="40">
        <f>GI3+GJ3+GL3+GF3+GK3</f>
        <v>35379805.070000008</v>
      </c>
      <c r="GD3" s="104"/>
      <c r="GE3" s="104"/>
      <c r="GF3" s="104"/>
      <c r="GG3" s="104"/>
      <c r="GH3" s="117">
        <f>SUM(GD3:GG3)</f>
        <v>0</v>
      </c>
      <c r="GI3" s="33">
        <v>1838067.63</v>
      </c>
      <c r="GJ3" s="104"/>
      <c r="GK3" s="250">
        <v>280035</v>
      </c>
      <c r="GL3" s="104">
        <v>33261702.440000005</v>
      </c>
      <c r="GM3" s="42"/>
      <c r="GN3" s="239">
        <v>2526132.6</v>
      </c>
      <c r="GO3" s="239">
        <v>762892.03999999957</v>
      </c>
      <c r="GP3" s="34">
        <v>72858.942580645162</v>
      </c>
      <c r="GQ3" s="34">
        <v>22003.407419354837</v>
      </c>
      <c r="GR3" s="34">
        <v>20000</v>
      </c>
      <c r="GS3" s="220">
        <v>6040</v>
      </c>
      <c r="GT3" s="32"/>
      <c r="GU3" s="32"/>
      <c r="GV3" s="18"/>
      <c r="GW3" s="31" t="s">
        <v>124</v>
      </c>
      <c r="GX3" s="34">
        <f>D3+N3+Q3+AB3+AJ3</f>
        <v>43329621.56000001</v>
      </c>
      <c r="GY3" s="34">
        <f>AO3</f>
        <v>83060323.439999998</v>
      </c>
    </row>
    <row r="4" spans="1:209" ht="12.75" customHeight="1">
      <c r="A4" s="18">
        <v>4</v>
      </c>
      <c r="B4" s="31" t="s">
        <v>125</v>
      </c>
      <c r="C4" s="103"/>
      <c r="D4" s="104">
        <f t="shared" ref="D4:D37" si="1">BA4+FG4+BL4+BN4+BQ4+BR4+BV4+CB4+CD4+CE4+BY4+CI4+CV4+CY4+DC4+CR4+DD4+DE4+DF4+DI4+DL4+DM4+EO4+ER4+BS4+CL4+DP4+DQ4+DU4+DW4+DY4+EC4+ED4+EF4+EG4+EH4+EW4+FC4+CJ4+CX4</f>
        <v>8605411.9199999981</v>
      </c>
      <c r="E4" s="104">
        <f t="shared" ref="E4:E37" si="2">BB4+BM4+CZ4+DX4+DZ4+CH4+DO4+EJ4+EV4+DG4</f>
        <v>0</v>
      </c>
      <c r="F4" s="105"/>
      <c r="G4" s="105">
        <f>FH4</f>
        <v>0</v>
      </c>
      <c r="H4" s="105">
        <f>FI4</f>
        <v>0</v>
      </c>
      <c r="I4" s="105">
        <f t="shared" ref="I4:I37" si="3">CM4</f>
        <v>0</v>
      </c>
      <c r="J4" s="105">
        <f t="shared" ref="J4:J38" si="4">EK4+BF4+ES4+DK4+EB4</f>
        <v>0</v>
      </c>
      <c r="K4" s="105">
        <f t="shared" ref="K4:K37" si="5">BG4+CC4+CQ4+DA4+EE4+EL4+ET4+EZ4+FE4+CF4+DH4+DS4</f>
        <v>0</v>
      </c>
      <c r="L4" s="142">
        <f t="shared" ref="L4:L37" si="6">BH4+DB4+EM4+FA4+DN4+CO4+EA4+EU4+DT4</f>
        <v>239.28999999999974</v>
      </c>
      <c r="M4" s="142"/>
      <c r="N4" s="142">
        <f t="shared" ref="N4:N37" si="7">BJ4+EI4+FB4+FD4+CA4+CG4+CU4+CW4+DJ4+DR4+DV4+EN4+EQ4+EP4</f>
        <v>299316.95000000007</v>
      </c>
      <c r="O4" s="143">
        <f t="shared" ref="O4:O37" si="8">SUM(D4:N4)</f>
        <v>8904968.1599999964</v>
      </c>
      <c r="P4" s="18"/>
      <c r="Q4" s="142">
        <v>557625</v>
      </c>
      <c r="R4" s="32">
        <v>557625</v>
      </c>
      <c r="S4" s="142">
        <v>15466291</v>
      </c>
      <c r="T4" s="142">
        <v>4670820</v>
      </c>
      <c r="U4" s="55">
        <f t="shared" ref="U4:U37" si="9">SUM(S4:T4)</f>
        <v>20137111</v>
      </c>
      <c r="V4" s="46"/>
      <c r="W4" s="46"/>
      <c r="X4" s="46">
        <f t="shared" ref="X4:X38" si="10">SUM(V4:W4)</f>
        <v>0</v>
      </c>
      <c r="Y4" s="196">
        <f t="shared" ref="Y4:Y38" si="11">U4+R4+O4+X4</f>
        <v>29599704.159999996</v>
      </c>
      <c r="Z4" s="31" t="s">
        <v>125</v>
      </c>
      <c r="AA4" s="106">
        <f t="shared" ref="AA4:AA38" si="12">FN4</f>
        <v>0</v>
      </c>
      <c r="AB4" s="107">
        <f t="shared" ref="AB4:AB37" si="13">GC4</f>
        <v>1430674</v>
      </c>
      <c r="AC4" s="188">
        <f t="shared" ref="AC4:AC37" si="14">GN4+GP4+GR4</f>
        <v>1487714.0899999999</v>
      </c>
      <c r="AD4" s="188">
        <f t="shared" ref="AD4:AD37" si="15">GO4+GQ4+GS4</f>
        <v>449289.33999999997</v>
      </c>
      <c r="AE4" s="34">
        <f t="shared" ref="AE4:AE38" si="16">GH4</f>
        <v>0</v>
      </c>
      <c r="AF4">
        <f t="shared" ref="AF4:AF38" si="17">FR4</f>
        <v>380000</v>
      </c>
      <c r="AG4" s="46">
        <v>198000</v>
      </c>
      <c r="AH4" s="110">
        <f t="shared" ref="AH4:AH37" si="18">SUM(AA4:AG4)</f>
        <v>3945677.4299999997</v>
      </c>
      <c r="AI4" s="111"/>
      <c r="AJ4" s="37">
        <v>0</v>
      </c>
      <c r="AK4" s="18"/>
      <c r="AL4" s="115">
        <f t="shared" ref="AL4:AL37" si="19">AJ4+AK4</f>
        <v>0</v>
      </c>
      <c r="AM4" s="151"/>
      <c r="AN4" s="113"/>
      <c r="AO4" s="117">
        <f t="shared" ref="AO4:AO37" si="20">AN4+AL4+AI4+AH4+Y4</f>
        <v>33545381.589999996</v>
      </c>
      <c r="AP4" s="43" t="s">
        <v>125</v>
      </c>
      <c r="AQ4" s="94"/>
      <c r="AR4" s="43"/>
      <c r="AS4" s="43"/>
      <c r="AT4" s="31">
        <f t="shared" ref="AT4:AT37" si="21">SUM(AQ4:AS4)</f>
        <v>0</v>
      </c>
      <c r="AU4" s="43"/>
      <c r="AV4" s="43"/>
      <c r="AW4" s="43"/>
      <c r="AX4" s="214">
        <v>19837.84</v>
      </c>
      <c r="AY4" s="31">
        <f t="shared" ref="AY4:AY37" si="22">SUM(AW4:AX4)</f>
        <v>19837.84</v>
      </c>
      <c r="AZ4" s="43" t="s">
        <v>125</v>
      </c>
      <c r="BA4" s="229">
        <v>224871.81</v>
      </c>
      <c r="BB4" s="104">
        <v>0</v>
      </c>
      <c r="BC4" s="105"/>
      <c r="BD4" s="105"/>
      <c r="BE4" s="105"/>
      <c r="BF4" s="33">
        <v>0</v>
      </c>
      <c r="BG4" s="33">
        <v>0</v>
      </c>
      <c r="BH4" s="33">
        <v>1232.4999999999998</v>
      </c>
      <c r="BI4" s="55"/>
      <c r="BJ4" s="33">
        <v>299316.95000000007</v>
      </c>
      <c r="BK4" s="142">
        <f t="shared" ref="BK4:BK38" si="23">SUM(BA4:BJ4)</f>
        <v>525421.26</v>
      </c>
      <c r="BL4" s="105">
        <v>0</v>
      </c>
      <c r="BM4" s="33"/>
      <c r="BN4" s="43">
        <v>840000</v>
      </c>
      <c r="BO4" s="43"/>
      <c r="BP4" s="43"/>
      <c r="BQ4" s="246">
        <v>0</v>
      </c>
      <c r="BR4" s="43">
        <v>0</v>
      </c>
      <c r="BS4" s="43">
        <v>1199172.06</v>
      </c>
      <c r="BT4" s="43"/>
      <c r="BU4" s="43"/>
      <c r="BV4" s="43">
        <v>0</v>
      </c>
      <c r="BW4" s="43"/>
      <c r="BX4" s="43"/>
      <c r="BY4" s="18">
        <v>0</v>
      </c>
      <c r="BZ4" s="18"/>
      <c r="CA4" s="18"/>
      <c r="CB4" s="188"/>
      <c r="CC4" s="18"/>
      <c r="CD4" s="188"/>
      <c r="CE4" s="18">
        <v>1439518.25</v>
      </c>
      <c r="CF4" s="18">
        <v>0</v>
      </c>
      <c r="CG4" s="33"/>
      <c r="CH4" s="33"/>
      <c r="CI4" s="33">
        <v>0</v>
      </c>
      <c r="CJ4" s="33">
        <v>0</v>
      </c>
      <c r="CK4" s="43" t="s">
        <v>125</v>
      </c>
      <c r="CL4" s="43">
        <v>56175.14</v>
      </c>
      <c r="CM4" s="43"/>
      <c r="CN4" s="43"/>
      <c r="CO4" s="18"/>
      <c r="CP4" s="18"/>
      <c r="CQ4" s="18"/>
      <c r="CR4" s="18">
        <v>30000</v>
      </c>
      <c r="CS4" s="18"/>
      <c r="CT4" s="18"/>
      <c r="CU4" s="18"/>
      <c r="CV4" s="255">
        <v>0</v>
      </c>
      <c r="CW4" s="33"/>
      <c r="CX4" s="18">
        <v>1200000</v>
      </c>
      <c r="CY4" s="18">
        <v>0</v>
      </c>
      <c r="CZ4" s="18">
        <v>0</v>
      </c>
      <c r="DA4" s="18">
        <v>0</v>
      </c>
      <c r="DB4" s="18"/>
      <c r="DC4" s="18">
        <v>0</v>
      </c>
      <c r="DD4" s="18">
        <v>0</v>
      </c>
      <c r="DE4" s="255">
        <v>0</v>
      </c>
      <c r="DF4" s="18">
        <v>1114327</v>
      </c>
      <c r="DG4" s="18">
        <v>0</v>
      </c>
      <c r="DH4" s="18">
        <v>0</v>
      </c>
      <c r="DI4" s="18">
        <v>600118.16</v>
      </c>
      <c r="DJ4" s="18">
        <v>0</v>
      </c>
      <c r="DK4" s="229">
        <v>0</v>
      </c>
      <c r="DL4" s="255"/>
      <c r="DM4" s="18">
        <v>150000</v>
      </c>
      <c r="DN4" s="18">
        <v>6.79</v>
      </c>
      <c r="DO4" s="18"/>
      <c r="DP4" s="229"/>
      <c r="DQ4" s="18">
        <v>0</v>
      </c>
      <c r="DR4" s="18">
        <v>0</v>
      </c>
      <c r="DS4" s="18">
        <v>0</v>
      </c>
      <c r="DT4" s="18">
        <v>-1000</v>
      </c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76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40">
        <f t="shared" si="0"/>
        <v>1751229.4999999998</v>
      </c>
      <c r="FH4" s="33"/>
      <c r="FI4" s="33"/>
      <c r="FJ4" s="37">
        <v>292688.61999999994</v>
      </c>
      <c r="FK4" s="18"/>
      <c r="FL4" s="33"/>
      <c r="FM4" s="33">
        <v>1458540.88</v>
      </c>
      <c r="FN4" s="225">
        <f t="shared" ref="FN4:FN38" si="24">FP4+FQ4+FO4</f>
        <v>0</v>
      </c>
      <c r="FO4" s="106"/>
      <c r="FP4" s="18"/>
      <c r="FQ4" s="18"/>
      <c r="FR4" s="18">
        <f t="shared" ref="FR4:FR38" si="25">FS4+FT4+FU4</f>
        <v>380000</v>
      </c>
      <c r="FS4" s="18"/>
      <c r="FT4" s="18">
        <v>380000</v>
      </c>
      <c r="FU4" s="220"/>
      <c r="FV4" s="18"/>
      <c r="FW4" s="43" t="s">
        <v>125</v>
      </c>
      <c r="FX4" s="38">
        <f t="shared" ref="FX4:FX38" si="26">E4+AG4+AH4-AA4+FZ4</f>
        <v>4143677.4299999997</v>
      </c>
      <c r="FY4" s="38"/>
      <c r="FZ4" s="37"/>
      <c r="GA4" s="37"/>
      <c r="GB4" s="84"/>
      <c r="GC4" s="40">
        <f t="shared" ref="GC4:GC38" si="27">GI4+GJ4+GL4+GF4+GK4</f>
        <v>1430674</v>
      </c>
      <c r="GD4" s="104"/>
      <c r="GE4" s="104"/>
      <c r="GF4" s="104"/>
      <c r="GG4" s="104"/>
      <c r="GH4" s="117">
        <f t="shared" ref="GH4:GH38" si="28">SUM(GD4:GG4)</f>
        <v>0</v>
      </c>
      <c r="GI4" s="33">
        <v>1075674</v>
      </c>
      <c r="GJ4" s="104"/>
      <c r="GK4" s="250">
        <v>355000</v>
      </c>
      <c r="GL4" s="104"/>
      <c r="GM4" s="32"/>
      <c r="GN4" s="32">
        <v>1273835.2</v>
      </c>
      <c r="GO4" s="32">
        <v>384698.23</v>
      </c>
      <c r="GP4" s="32">
        <v>193878.89</v>
      </c>
      <c r="GQ4" s="32">
        <v>58551.11</v>
      </c>
      <c r="GR4" s="32">
        <v>20000</v>
      </c>
      <c r="GS4" s="18">
        <v>6040</v>
      </c>
      <c r="GT4" s="32"/>
      <c r="GU4" s="32"/>
      <c r="GV4" s="18"/>
      <c r="GW4" s="43" t="s">
        <v>125</v>
      </c>
      <c r="GX4" s="34">
        <f t="shared" ref="GX4:GX37" si="29">D4+N4+Q4+AB4+AJ4</f>
        <v>10893027.869999997</v>
      </c>
      <c r="GY4" s="34">
        <f t="shared" ref="GY4:GY37" si="30">AO4</f>
        <v>33545381.589999996</v>
      </c>
    </row>
    <row r="5" spans="1:209" ht="13.5" customHeight="1">
      <c r="A5" s="18">
        <v>3</v>
      </c>
      <c r="B5" s="45" t="s">
        <v>126</v>
      </c>
      <c r="C5" s="103"/>
      <c r="D5" s="104">
        <f t="shared" si="1"/>
        <v>5633251.7700000005</v>
      </c>
      <c r="E5" s="104">
        <f t="shared" si="2"/>
        <v>0</v>
      </c>
      <c r="F5" s="105"/>
      <c r="G5" s="105">
        <f t="shared" ref="G5:G37" si="31">FH5</f>
        <v>0</v>
      </c>
      <c r="H5" s="105">
        <f t="shared" ref="H5:H37" si="32">FI5</f>
        <v>0</v>
      </c>
      <c r="I5" s="105">
        <f t="shared" si="3"/>
        <v>0</v>
      </c>
      <c r="J5" s="105">
        <f t="shared" si="4"/>
        <v>15139</v>
      </c>
      <c r="K5" s="105">
        <f t="shared" si="5"/>
        <v>12631</v>
      </c>
      <c r="L5" s="142">
        <f t="shared" si="6"/>
        <v>0</v>
      </c>
      <c r="M5" s="142"/>
      <c r="N5" s="142">
        <f t="shared" si="7"/>
        <v>5379536.8700000001</v>
      </c>
      <c r="O5" s="143">
        <f t="shared" si="8"/>
        <v>11040558.640000001</v>
      </c>
      <c r="P5" s="18"/>
      <c r="Q5" s="142">
        <v>1302125</v>
      </c>
      <c r="R5" s="32">
        <v>1302125</v>
      </c>
      <c r="S5" s="142">
        <v>32989590</v>
      </c>
      <c r="T5" s="142">
        <v>9962856</v>
      </c>
      <c r="U5" s="55">
        <f t="shared" si="9"/>
        <v>42952446</v>
      </c>
      <c r="V5" s="46"/>
      <c r="W5" s="46"/>
      <c r="X5" s="46">
        <f t="shared" si="10"/>
        <v>0</v>
      </c>
      <c r="Y5" s="196">
        <f t="shared" si="11"/>
        <v>55295129.640000001</v>
      </c>
      <c r="Z5" s="45" t="s">
        <v>126</v>
      </c>
      <c r="AA5" s="106">
        <f t="shared" si="12"/>
        <v>0</v>
      </c>
      <c r="AB5" s="107">
        <f t="shared" si="13"/>
        <v>1869519</v>
      </c>
      <c r="AC5" s="188">
        <f t="shared" si="14"/>
        <v>2213172.3200000003</v>
      </c>
      <c r="AD5" s="188">
        <f t="shared" si="15"/>
        <v>668377.72999999975</v>
      </c>
      <c r="AE5" s="34">
        <f t="shared" si="16"/>
        <v>0</v>
      </c>
      <c r="AF5">
        <f t="shared" si="17"/>
        <v>8954942.4000000004</v>
      </c>
      <c r="AG5" s="46">
        <v>450000</v>
      </c>
      <c r="AH5" s="110">
        <f t="shared" si="18"/>
        <v>14156011.449999999</v>
      </c>
      <c r="AI5" s="111"/>
      <c r="AJ5" s="37">
        <v>4634890</v>
      </c>
      <c r="AK5" s="18">
        <v>115000</v>
      </c>
      <c r="AL5" s="115">
        <f t="shared" si="19"/>
        <v>4749890</v>
      </c>
      <c r="AM5" s="151"/>
      <c r="AN5" s="113"/>
      <c r="AO5" s="117">
        <f t="shared" si="20"/>
        <v>74201031.090000004</v>
      </c>
      <c r="AP5" s="44" t="s">
        <v>126</v>
      </c>
      <c r="AQ5" s="94"/>
      <c r="AR5" s="44"/>
      <c r="AS5" s="44"/>
      <c r="AT5" s="31">
        <f t="shared" si="21"/>
        <v>0</v>
      </c>
      <c r="AU5" s="207"/>
      <c r="AV5" s="44"/>
      <c r="AW5" s="44"/>
      <c r="AX5" s="214">
        <v>284762.44</v>
      </c>
      <c r="AY5" s="31">
        <f t="shared" si="22"/>
        <v>284762.44</v>
      </c>
      <c r="AZ5" s="44" t="s">
        <v>126</v>
      </c>
      <c r="BA5" s="229">
        <v>651887.07000000007</v>
      </c>
      <c r="BB5" s="104">
        <v>0</v>
      </c>
      <c r="BC5" s="105"/>
      <c r="BD5" s="105"/>
      <c r="BE5" s="105"/>
      <c r="BF5" s="33">
        <v>13083</v>
      </c>
      <c r="BG5" s="33">
        <v>9562</v>
      </c>
      <c r="BH5" s="33">
        <v>1000</v>
      </c>
      <c r="BI5" s="55"/>
      <c r="BJ5" s="33">
        <v>5379536.8700000001</v>
      </c>
      <c r="BK5" s="142">
        <f t="shared" si="23"/>
        <v>6055068.9400000004</v>
      </c>
      <c r="BL5" s="105">
        <v>0</v>
      </c>
      <c r="BM5" s="33"/>
      <c r="BN5" s="44">
        <v>0</v>
      </c>
      <c r="BO5" s="44"/>
      <c r="BP5" s="44"/>
      <c r="BQ5" s="246">
        <v>0</v>
      </c>
      <c r="BR5" s="44">
        <v>74825</v>
      </c>
      <c r="BS5" s="44">
        <v>0</v>
      </c>
      <c r="BT5" s="44"/>
      <c r="BU5" s="44"/>
      <c r="BV5" s="44">
        <v>0</v>
      </c>
      <c r="BW5" s="44"/>
      <c r="BX5" s="44"/>
      <c r="BY5" s="18">
        <v>0</v>
      </c>
      <c r="BZ5" s="18"/>
      <c r="CA5" s="18"/>
      <c r="CB5" s="188"/>
      <c r="CC5" s="18"/>
      <c r="CD5" s="188">
        <v>46060</v>
      </c>
      <c r="CE5" s="18">
        <v>658500</v>
      </c>
      <c r="CF5" s="18">
        <v>0</v>
      </c>
      <c r="CG5" s="33"/>
      <c r="CH5" s="33"/>
      <c r="CI5" s="33">
        <v>0</v>
      </c>
      <c r="CJ5" s="33">
        <v>40800</v>
      </c>
      <c r="CK5" s="44" t="s">
        <v>126</v>
      </c>
      <c r="CL5" s="44">
        <v>0</v>
      </c>
      <c r="CM5" s="44"/>
      <c r="CN5" s="44"/>
      <c r="CO5" s="18"/>
      <c r="CP5" s="18"/>
      <c r="CQ5" s="18"/>
      <c r="CR5" s="18">
        <v>197400</v>
      </c>
      <c r="CS5" s="18"/>
      <c r="CT5" s="18"/>
      <c r="CU5" s="18"/>
      <c r="CV5" s="255">
        <v>0</v>
      </c>
      <c r="CW5" s="33"/>
      <c r="CX5" s="18">
        <v>828404.28</v>
      </c>
      <c r="CY5" s="18">
        <v>0</v>
      </c>
      <c r="CZ5" s="18">
        <v>0</v>
      </c>
      <c r="DA5" s="18">
        <v>0</v>
      </c>
      <c r="DB5" s="18"/>
      <c r="DC5" s="18">
        <v>20300</v>
      </c>
      <c r="DD5" s="18">
        <v>142500</v>
      </c>
      <c r="DE5" s="255">
        <v>235573.54</v>
      </c>
      <c r="DF5" s="18">
        <v>-82841.279999999999</v>
      </c>
      <c r="DG5" s="18">
        <v>0</v>
      </c>
      <c r="DH5" s="18">
        <v>3069</v>
      </c>
      <c r="DI5" s="18">
        <v>412522</v>
      </c>
      <c r="DJ5" s="18">
        <v>0</v>
      </c>
      <c r="DK5" s="229">
        <v>2056</v>
      </c>
      <c r="DL5" s="255"/>
      <c r="DM5" s="18">
        <v>0</v>
      </c>
      <c r="DN5" s="18">
        <v>0</v>
      </c>
      <c r="DO5" s="18"/>
      <c r="DP5" s="229"/>
      <c r="DQ5" s="18">
        <v>198350</v>
      </c>
      <c r="DR5" s="18">
        <v>0</v>
      </c>
      <c r="DS5" s="18">
        <v>0</v>
      </c>
      <c r="DT5" s="18">
        <v>-1000</v>
      </c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76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40">
        <f t="shared" si="0"/>
        <v>2208971.16</v>
      </c>
      <c r="FH5" s="33"/>
      <c r="FI5" s="33"/>
      <c r="FJ5" s="37">
        <v>0</v>
      </c>
      <c r="FK5" s="18"/>
      <c r="FL5" s="33"/>
      <c r="FM5" s="33">
        <v>2208971.16</v>
      </c>
      <c r="FN5" s="225">
        <f t="shared" si="24"/>
        <v>0</v>
      </c>
      <c r="FO5" s="106"/>
      <c r="FP5" s="18"/>
      <c r="FQ5" s="18"/>
      <c r="FR5" s="18">
        <f t="shared" si="25"/>
        <v>8954942.4000000004</v>
      </c>
      <c r="FS5" s="18"/>
      <c r="FT5" s="18">
        <v>480000</v>
      </c>
      <c r="FU5" s="220">
        <f>9885591.08-1410648.68</f>
        <v>8474942.4000000004</v>
      </c>
      <c r="FV5" s="18"/>
      <c r="FW5" s="44" t="s">
        <v>126</v>
      </c>
      <c r="FX5" s="38">
        <f t="shared" si="26"/>
        <v>14606011.449999999</v>
      </c>
      <c r="FY5" s="38"/>
      <c r="FZ5" s="37"/>
      <c r="GA5" s="37"/>
      <c r="GB5" s="84"/>
      <c r="GC5" s="40">
        <f t="shared" si="27"/>
        <v>1869519</v>
      </c>
      <c r="GD5" s="104"/>
      <c r="GE5" s="104"/>
      <c r="GF5" s="104"/>
      <c r="GG5" s="104"/>
      <c r="GH5" s="117">
        <f t="shared" si="28"/>
        <v>0</v>
      </c>
      <c r="GI5" s="33">
        <v>1503679</v>
      </c>
      <c r="GJ5" s="104"/>
      <c r="GK5" s="250">
        <v>365840</v>
      </c>
      <c r="GL5" s="104"/>
      <c r="GM5" s="32"/>
      <c r="GN5" s="32">
        <v>2019533.83</v>
      </c>
      <c r="GO5" s="32">
        <v>609899.21999999974</v>
      </c>
      <c r="GP5" s="32">
        <v>173638.49</v>
      </c>
      <c r="GQ5" s="32">
        <v>52438.51</v>
      </c>
      <c r="GR5" s="32">
        <v>20000</v>
      </c>
      <c r="GS5" s="18">
        <v>6040</v>
      </c>
      <c r="GT5" s="32"/>
      <c r="GU5" s="32"/>
      <c r="GV5" s="18"/>
      <c r="GW5" s="44" t="s">
        <v>126</v>
      </c>
      <c r="GX5" s="34">
        <f t="shared" si="29"/>
        <v>18819322.640000001</v>
      </c>
      <c r="GY5" s="34">
        <f t="shared" si="30"/>
        <v>74201031.090000004</v>
      </c>
    </row>
    <row r="6" spans="1:209" ht="24" customHeight="1">
      <c r="A6" s="18">
        <v>4</v>
      </c>
      <c r="B6" s="45" t="s">
        <v>127</v>
      </c>
      <c r="C6" s="103"/>
      <c r="D6" s="104">
        <f t="shared" si="1"/>
        <v>5325005.4399999995</v>
      </c>
      <c r="E6" s="104">
        <f t="shared" si="2"/>
        <v>0</v>
      </c>
      <c r="F6" s="105"/>
      <c r="G6" s="105">
        <f t="shared" si="31"/>
        <v>0</v>
      </c>
      <c r="H6" s="105">
        <f t="shared" si="32"/>
        <v>0</v>
      </c>
      <c r="I6" s="105">
        <f t="shared" si="3"/>
        <v>0</v>
      </c>
      <c r="J6" s="105">
        <f t="shared" si="4"/>
        <v>0</v>
      </c>
      <c r="K6" s="105">
        <f t="shared" si="5"/>
        <v>7911</v>
      </c>
      <c r="L6" s="142">
        <f t="shared" si="6"/>
        <v>0</v>
      </c>
      <c r="M6" s="142"/>
      <c r="N6" s="142">
        <f t="shared" si="7"/>
        <v>1519659.6900000002</v>
      </c>
      <c r="O6" s="143">
        <f t="shared" si="8"/>
        <v>6852576.1299999999</v>
      </c>
      <c r="P6" s="18"/>
      <c r="Q6" s="142">
        <v>655500</v>
      </c>
      <c r="R6" s="32">
        <v>655500</v>
      </c>
      <c r="S6" s="142">
        <v>15220823</v>
      </c>
      <c r="T6" s="142">
        <v>4596688</v>
      </c>
      <c r="U6" s="55">
        <f t="shared" si="9"/>
        <v>19817511</v>
      </c>
      <c r="V6" s="46"/>
      <c r="W6" s="46"/>
      <c r="X6" s="46">
        <f t="shared" si="10"/>
        <v>0</v>
      </c>
      <c r="Y6" s="196">
        <f t="shared" si="11"/>
        <v>27325587.129999999</v>
      </c>
      <c r="Z6" s="45" t="s">
        <v>127</v>
      </c>
      <c r="AA6" s="106">
        <f t="shared" si="12"/>
        <v>0</v>
      </c>
      <c r="AB6" s="107">
        <f t="shared" si="13"/>
        <v>1243772</v>
      </c>
      <c r="AC6" s="188">
        <f t="shared" si="14"/>
        <v>982604.39</v>
      </c>
      <c r="AD6" s="188">
        <f t="shared" si="15"/>
        <v>296746.52999999991</v>
      </c>
      <c r="AE6" s="34">
        <f t="shared" si="16"/>
        <v>0</v>
      </c>
      <c r="AF6">
        <f t="shared" si="17"/>
        <v>0</v>
      </c>
      <c r="AG6" s="46">
        <v>216000</v>
      </c>
      <c r="AH6" s="110">
        <f t="shared" si="18"/>
        <v>2739122.92</v>
      </c>
      <c r="AI6" s="111"/>
      <c r="AJ6" s="37">
        <v>2425930</v>
      </c>
      <c r="AK6" s="18">
        <v>25000</v>
      </c>
      <c r="AL6" s="115">
        <f t="shared" si="19"/>
        <v>2450930</v>
      </c>
      <c r="AM6" s="151"/>
      <c r="AN6" s="113"/>
      <c r="AO6" s="117">
        <f t="shared" si="20"/>
        <v>32515640.049999997</v>
      </c>
      <c r="AP6" s="45" t="s">
        <v>127</v>
      </c>
      <c r="AQ6" s="94"/>
      <c r="AR6" s="45"/>
      <c r="AS6" s="45"/>
      <c r="AT6" s="31">
        <f t="shared" si="21"/>
        <v>0</v>
      </c>
      <c r="AU6" s="45"/>
      <c r="AV6" s="45"/>
      <c r="AW6" s="45"/>
      <c r="AX6" s="214">
        <v>269701.81</v>
      </c>
      <c r="AY6" s="31">
        <f t="shared" si="22"/>
        <v>269701.81</v>
      </c>
      <c r="AZ6" s="45" t="s">
        <v>127</v>
      </c>
      <c r="BA6" s="229">
        <v>325126.93</v>
      </c>
      <c r="BB6" s="104">
        <v>0</v>
      </c>
      <c r="BC6" s="105"/>
      <c r="BD6" s="105"/>
      <c r="BE6" s="105"/>
      <c r="BF6" s="33">
        <v>0</v>
      </c>
      <c r="BG6" s="33">
        <v>9735</v>
      </c>
      <c r="BH6" s="33">
        <v>1000</v>
      </c>
      <c r="BI6" s="55"/>
      <c r="BJ6" s="33">
        <v>1493659.6900000002</v>
      </c>
      <c r="BK6" s="142">
        <f t="shared" si="23"/>
        <v>1829521.62</v>
      </c>
      <c r="BL6" s="105">
        <v>0</v>
      </c>
      <c r="BM6" s="33"/>
      <c r="BN6" s="45">
        <v>0</v>
      </c>
      <c r="BO6" s="45"/>
      <c r="BP6" s="45"/>
      <c r="BQ6" s="246">
        <v>223355</v>
      </c>
      <c r="BR6" s="45">
        <v>0</v>
      </c>
      <c r="BS6" s="45">
        <v>0</v>
      </c>
      <c r="BT6" s="45"/>
      <c r="BU6" s="45"/>
      <c r="BV6" s="45">
        <v>0</v>
      </c>
      <c r="BW6" s="45"/>
      <c r="BX6" s="45"/>
      <c r="BY6" s="18">
        <v>0</v>
      </c>
      <c r="BZ6" s="18"/>
      <c r="CA6" s="18"/>
      <c r="CB6" s="188"/>
      <c r="CC6" s="18"/>
      <c r="CD6" s="188"/>
      <c r="CE6" s="18">
        <v>587557.72</v>
      </c>
      <c r="CF6" s="18">
        <v>0</v>
      </c>
      <c r="CG6" s="33"/>
      <c r="CH6" s="33"/>
      <c r="CI6" s="33">
        <v>0</v>
      </c>
      <c r="CJ6" s="33">
        <v>0</v>
      </c>
      <c r="CK6" s="45" t="s">
        <v>127</v>
      </c>
      <c r="CL6" s="45">
        <v>0</v>
      </c>
      <c r="CM6" s="45"/>
      <c r="CN6" s="45"/>
      <c r="CO6" s="18"/>
      <c r="CP6" s="18"/>
      <c r="CQ6" s="18"/>
      <c r="CR6" s="18">
        <v>30000</v>
      </c>
      <c r="CS6" s="18"/>
      <c r="CT6" s="18"/>
      <c r="CU6" s="18"/>
      <c r="CV6" s="255">
        <v>0</v>
      </c>
      <c r="CW6" s="33"/>
      <c r="CX6" s="18">
        <v>31500</v>
      </c>
      <c r="CY6" s="18">
        <v>0</v>
      </c>
      <c r="CZ6" s="18">
        <v>0</v>
      </c>
      <c r="DA6" s="18">
        <v>0</v>
      </c>
      <c r="DB6" s="18"/>
      <c r="DC6" s="18">
        <v>2168257</v>
      </c>
      <c r="DD6" s="18">
        <v>90200</v>
      </c>
      <c r="DE6" s="255">
        <v>158500</v>
      </c>
      <c r="DF6" s="18">
        <v>0</v>
      </c>
      <c r="DG6" s="18">
        <v>0</v>
      </c>
      <c r="DH6" s="18">
        <v>0</v>
      </c>
      <c r="DI6" s="18">
        <v>21000</v>
      </c>
      <c r="DJ6" s="18">
        <v>26000</v>
      </c>
      <c r="DK6" s="229">
        <v>0</v>
      </c>
      <c r="DL6" s="255"/>
      <c r="DM6" s="18">
        <v>0</v>
      </c>
      <c r="DN6" s="18">
        <v>0</v>
      </c>
      <c r="DO6" s="18"/>
      <c r="DP6" s="229"/>
      <c r="DQ6" s="18">
        <v>224000</v>
      </c>
      <c r="DR6" s="18">
        <v>0</v>
      </c>
      <c r="DS6" s="18">
        <v>-1824</v>
      </c>
      <c r="DT6" s="18">
        <v>-1000</v>
      </c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76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40">
        <f t="shared" si="0"/>
        <v>1465508.79</v>
      </c>
      <c r="FH6" s="33"/>
      <c r="FI6" s="33"/>
      <c r="FJ6" s="37">
        <v>169999.65</v>
      </c>
      <c r="FK6" s="18"/>
      <c r="FL6" s="33"/>
      <c r="FM6" s="33">
        <v>1295509.1400000001</v>
      </c>
      <c r="FN6" s="225">
        <f t="shared" si="24"/>
        <v>0</v>
      </c>
      <c r="FO6" s="106"/>
      <c r="FP6" s="18"/>
      <c r="FQ6" s="18"/>
      <c r="FR6" s="18">
        <f t="shared" si="25"/>
        <v>0</v>
      </c>
      <c r="FS6" s="18"/>
      <c r="FT6" s="18">
        <v>0</v>
      </c>
      <c r="FU6" s="220"/>
      <c r="FV6" s="18"/>
      <c r="FW6" s="45" t="s">
        <v>127</v>
      </c>
      <c r="FX6" s="38">
        <f t="shared" si="26"/>
        <v>2955122.92</v>
      </c>
      <c r="FY6" s="38"/>
      <c r="FZ6" s="37"/>
      <c r="GA6" s="37"/>
      <c r="GB6" s="84"/>
      <c r="GC6" s="40">
        <f t="shared" si="27"/>
        <v>1243772</v>
      </c>
      <c r="GD6" s="104"/>
      <c r="GE6" s="104"/>
      <c r="GF6" s="104"/>
      <c r="GG6" s="104"/>
      <c r="GH6" s="117">
        <f t="shared" si="28"/>
        <v>0</v>
      </c>
      <c r="GI6" s="33">
        <v>893372</v>
      </c>
      <c r="GJ6" s="104"/>
      <c r="GK6" s="250">
        <v>350400</v>
      </c>
      <c r="GL6" s="104"/>
      <c r="GM6" s="32"/>
      <c r="GN6" s="32">
        <v>982604.39</v>
      </c>
      <c r="GO6" s="32">
        <v>296746.52999999991</v>
      </c>
      <c r="GP6" s="32">
        <v>0</v>
      </c>
      <c r="GQ6" s="32">
        <v>0</v>
      </c>
      <c r="GR6" s="32">
        <v>0</v>
      </c>
      <c r="GS6" s="33">
        <v>0</v>
      </c>
      <c r="GT6" s="32"/>
      <c r="GU6" s="32"/>
      <c r="GV6" s="18"/>
      <c r="GW6" s="45" t="s">
        <v>127</v>
      </c>
      <c r="GX6" s="34">
        <f t="shared" si="29"/>
        <v>11169867.129999999</v>
      </c>
      <c r="GY6" s="34">
        <f t="shared" si="30"/>
        <v>32515640.049999997</v>
      </c>
    </row>
    <row r="7" spans="1:209" ht="19.5" customHeight="1">
      <c r="A7" s="18">
        <v>5</v>
      </c>
      <c r="B7" s="45" t="s">
        <v>128</v>
      </c>
      <c r="C7" s="103"/>
      <c r="D7" s="104">
        <f t="shared" si="1"/>
        <v>3410058.95</v>
      </c>
      <c r="E7" s="104">
        <f t="shared" si="2"/>
        <v>0</v>
      </c>
      <c r="F7" s="105"/>
      <c r="G7" s="105">
        <f t="shared" si="31"/>
        <v>0</v>
      </c>
      <c r="H7" s="105">
        <f t="shared" si="32"/>
        <v>0</v>
      </c>
      <c r="I7" s="105">
        <f t="shared" si="3"/>
        <v>0</v>
      </c>
      <c r="J7" s="105">
        <f t="shared" si="4"/>
        <v>0</v>
      </c>
      <c r="K7" s="105">
        <f t="shared" si="5"/>
        <v>0</v>
      </c>
      <c r="L7" s="142">
        <f t="shared" si="6"/>
        <v>0</v>
      </c>
      <c r="M7" s="142"/>
      <c r="N7" s="142">
        <f t="shared" si="7"/>
        <v>2351970.84</v>
      </c>
      <c r="O7" s="143">
        <f t="shared" si="8"/>
        <v>5762029.79</v>
      </c>
      <c r="P7" s="18"/>
      <c r="Q7" s="142">
        <v>735750</v>
      </c>
      <c r="R7" s="32">
        <v>735750</v>
      </c>
      <c r="S7" s="142">
        <v>17754987</v>
      </c>
      <c r="T7" s="142">
        <v>5362006</v>
      </c>
      <c r="U7" s="55">
        <f t="shared" si="9"/>
        <v>23116993</v>
      </c>
      <c r="V7" s="46"/>
      <c r="W7" s="46"/>
      <c r="X7" s="46">
        <f t="shared" si="10"/>
        <v>0</v>
      </c>
      <c r="Y7" s="196">
        <f t="shared" si="11"/>
        <v>29614772.789999999</v>
      </c>
      <c r="Z7" s="45" t="s">
        <v>128</v>
      </c>
      <c r="AA7" s="106">
        <f t="shared" si="12"/>
        <v>0</v>
      </c>
      <c r="AB7" s="107">
        <f t="shared" si="13"/>
        <v>1020432.3400000001</v>
      </c>
      <c r="AC7" s="188">
        <f t="shared" si="14"/>
        <v>1251399.58</v>
      </c>
      <c r="AD7" s="188">
        <f t="shared" si="15"/>
        <v>377922.35999999987</v>
      </c>
      <c r="AE7" s="34">
        <f t="shared" si="16"/>
        <v>0</v>
      </c>
      <c r="AF7">
        <f t="shared" si="17"/>
        <v>0</v>
      </c>
      <c r="AG7" s="46">
        <v>261000</v>
      </c>
      <c r="AH7" s="110">
        <f t="shared" si="18"/>
        <v>2910754.28</v>
      </c>
      <c r="AI7" s="111"/>
      <c r="AJ7" s="37">
        <v>2785390</v>
      </c>
      <c r="AK7" s="18">
        <v>37000</v>
      </c>
      <c r="AL7" s="115">
        <f t="shared" si="19"/>
        <v>2822390</v>
      </c>
      <c r="AM7" s="151"/>
      <c r="AN7" s="113"/>
      <c r="AO7" s="117">
        <f t="shared" si="20"/>
        <v>35347917.07</v>
      </c>
      <c r="AP7" s="45" t="s">
        <v>128</v>
      </c>
      <c r="AQ7" s="94"/>
      <c r="AR7" s="45"/>
      <c r="AS7" s="45"/>
      <c r="AT7" s="31">
        <f t="shared" si="21"/>
        <v>0</v>
      </c>
      <c r="AU7" s="45"/>
      <c r="AV7" s="45"/>
      <c r="AW7" s="45"/>
      <c r="AX7" s="214">
        <v>270604.11</v>
      </c>
      <c r="AY7" s="31">
        <f t="shared" si="22"/>
        <v>270604.11</v>
      </c>
      <c r="AZ7" s="45" t="s">
        <v>128</v>
      </c>
      <c r="BA7" s="229">
        <v>346566.56</v>
      </c>
      <c r="BB7" s="104">
        <v>0</v>
      </c>
      <c r="BC7" s="105"/>
      <c r="BD7" s="105"/>
      <c r="BE7" s="105"/>
      <c r="BF7" s="33">
        <v>0</v>
      </c>
      <c r="BG7" s="33">
        <v>0</v>
      </c>
      <c r="BH7" s="33">
        <v>1000</v>
      </c>
      <c r="BI7" s="55"/>
      <c r="BJ7" s="33">
        <v>2261970.84</v>
      </c>
      <c r="BK7" s="142">
        <f t="shared" si="23"/>
        <v>2609537.4</v>
      </c>
      <c r="BL7" s="105">
        <v>0</v>
      </c>
      <c r="BM7" s="33"/>
      <c r="BN7" s="45">
        <v>0</v>
      </c>
      <c r="BO7" s="45"/>
      <c r="BP7" s="45"/>
      <c r="BQ7" s="246">
        <v>0</v>
      </c>
      <c r="BR7" s="45">
        <v>0</v>
      </c>
      <c r="BS7" s="45">
        <v>0</v>
      </c>
      <c r="BT7" s="45"/>
      <c r="BU7" s="45"/>
      <c r="BV7" s="45">
        <v>0</v>
      </c>
      <c r="BW7" s="45"/>
      <c r="BX7" s="45"/>
      <c r="BY7" s="18">
        <v>0</v>
      </c>
      <c r="BZ7" s="18"/>
      <c r="CA7" s="18"/>
      <c r="CB7" s="188"/>
      <c r="CC7" s="18"/>
      <c r="CD7" s="188"/>
      <c r="CE7" s="18">
        <v>341819.45</v>
      </c>
      <c r="CF7" s="18">
        <v>0</v>
      </c>
      <c r="CG7" s="33"/>
      <c r="CH7" s="33"/>
      <c r="CI7" s="33">
        <v>0</v>
      </c>
      <c r="CJ7" s="33">
        <v>0</v>
      </c>
      <c r="CK7" s="45" t="s">
        <v>128</v>
      </c>
      <c r="CL7" s="45">
        <v>0</v>
      </c>
      <c r="CM7" s="45"/>
      <c r="CN7" s="45"/>
      <c r="CO7" s="18"/>
      <c r="CP7" s="18"/>
      <c r="CQ7" s="18"/>
      <c r="CR7" s="18">
        <v>85000</v>
      </c>
      <c r="CS7" s="18"/>
      <c r="CT7" s="18"/>
      <c r="CU7" s="18"/>
      <c r="CV7" s="255">
        <v>0</v>
      </c>
      <c r="CW7" s="33"/>
      <c r="CX7" s="18">
        <v>291127.76</v>
      </c>
      <c r="CY7" s="18">
        <v>0</v>
      </c>
      <c r="CZ7" s="18">
        <v>0</v>
      </c>
      <c r="DA7" s="18">
        <v>0</v>
      </c>
      <c r="DB7" s="18"/>
      <c r="DC7" s="18">
        <v>0</v>
      </c>
      <c r="DD7" s="18">
        <v>27000</v>
      </c>
      <c r="DE7" s="255">
        <v>25100</v>
      </c>
      <c r="DF7" s="18">
        <v>1372917.58</v>
      </c>
      <c r="DG7" s="18">
        <v>0</v>
      </c>
      <c r="DH7" s="18">
        <v>0</v>
      </c>
      <c r="DI7" s="18">
        <v>25000</v>
      </c>
      <c r="DJ7" s="18">
        <v>90000</v>
      </c>
      <c r="DK7" s="229">
        <v>0</v>
      </c>
      <c r="DL7" s="255"/>
      <c r="DM7" s="18">
        <v>181158.15</v>
      </c>
      <c r="DN7" s="18">
        <v>0</v>
      </c>
      <c r="DO7" s="18"/>
      <c r="DP7" s="229"/>
      <c r="DQ7" s="18">
        <v>0</v>
      </c>
      <c r="DR7" s="18">
        <v>0</v>
      </c>
      <c r="DS7" s="18">
        <v>0</v>
      </c>
      <c r="DT7" s="18">
        <v>-1000</v>
      </c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76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40">
        <f t="shared" si="0"/>
        <v>714369.45000000007</v>
      </c>
      <c r="FH7" s="33"/>
      <c r="FI7" s="33"/>
      <c r="FJ7" s="33">
        <f>132138.85+2928</f>
        <v>135066.85</v>
      </c>
      <c r="FK7" s="106"/>
      <c r="FL7" s="33"/>
      <c r="FM7" s="33">
        <v>579302.60000000009</v>
      </c>
      <c r="FN7" s="225">
        <f t="shared" si="24"/>
        <v>0</v>
      </c>
      <c r="FO7" s="106"/>
      <c r="FP7" s="106"/>
      <c r="FQ7" s="106"/>
      <c r="FR7" s="18">
        <f t="shared" si="25"/>
        <v>0</v>
      </c>
      <c r="FS7" s="106"/>
      <c r="FT7" s="106">
        <v>0</v>
      </c>
      <c r="FU7" s="221"/>
      <c r="FV7" s="106"/>
      <c r="FW7" s="45" t="s">
        <v>128</v>
      </c>
      <c r="FX7" s="38">
        <f t="shared" si="26"/>
        <v>3171754.28</v>
      </c>
      <c r="FY7" s="38"/>
      <c r="FZ7" s="37"/>
      <c r="GA7" s="37"/>
      <c r="GB7" s="84"/>
      <c r="GC7" s="40">
        <f t="shared" si="27"/>
        <v>1020432.3400000001</v>
      </c>
      <c r="GD7" s="104"/>
      <c r="GE7" s="104"/>
      <c r="GF7" s="104"/>
      <c r="GG7" s="104"/>
      <c r="GH7" s="117">
        <f t="shared" si="28"/>
        <v>0</v>
      </c>
      <c r="GI7" s="33">
        <v>703235</v>
      </c>
      <c r="GJ7" s="104"/>
      <c r="GK7" s="250">
        <v>317197.34000000003</v>
      </c>
      <c r="GL7" s="104"/>
      <c r="GM7" s="32"/>
      <c r="GN7" s="32">
        <v>1029940.05</v>
      </c>
      <c r="GO7" s="32">
        <v>311041.8899999999</v>
      </c>
      <c r="GP7" s="32">
        <v>201459.53</v>
      </c>
      <c r="GQ7" s="32">
        <v>60840.47</v>
      </c>
      <c r="GR7" s="32">
        <v>20000</v>
      </c>
      <c r="GS7" s="33">
        <v>6040</v>
      </c>
      <c r="GT7" s="32"/>
      <c r="GU7" s="32"/>
      <c r="GV7" s="18"/>
      <c r="GW7" s="45" t="s">
        <v>128</v>
      </c>
      <c r="GX7" s="34">
        <f t="shared" si="29"/>
        <v>10303602.129999999</v>
      </c>
      <c r="GY7" s="34">
        <f t="shared" si="30"/>
        <v>35347917.07</v>
      </c>
    </row>
    <row r="8" spans="1:209" ht="16.5" customHeight="1">
      <c r="A8" s="18">
        <v>6</v>
      </c>
      <c r="B8" s="45" t="s">
        <v>129</v>
      </c>
      <c r="C8" s="103"/>
      <c r="D8" s="104">
        <f t="shared" si="1"/>
        <v>1551948.6300000001</v>
      </c>
      <c r="E8" s="104">
        <f t="shared" si="2"/>
        <v>26500</v>
      </c>
      <c r="F8" s="105"/>
      <c r="G8" s="105">
        <f t="shared" si="31"/>
        <v>0</v>
      </c>
      <c r="H8" s="105">
        <f t="shared" si="32"/>
        <v>0</v>
      </c>
      <c r="I8" s="105">
        <f t="shared" si="3"/>
        <v>0</v>
      </c>
      <c r="J8" s="105">
        <f t="shared" si="4"/>
        <v>35206</v>
      </c>
      <c r="K8" s="105">
        <f t="shared" si="5"/>
        <v>0</v>
      </c>
      <c r="L8" s="142">
        <f t="shared" si="6"/>
        <v>0</v>
      </c>
      <c r="M8" s="142"/>
      <c r="N8" s="142">
        <f t="shared" si="7"/>
        <v>1353845.1</v>
      </c>
      <c r="O8" s="143">
        <f t="shared" si="8"/>
        <v>2967499.7300000004</v>
      </c>
      <c r="P8" s="18"/>
      <c r="Q8" s="142">
        <v>423750</v>
      </c>
      <c r="R8" s="32">
        <v>423750</v>
      </c>
      <c r="S8" s="142">
        <v>12320698</v>
      </c>
      <c r="T8" s="142">
        <v>3720851</v>
      </c>
      <c r="U8" s="55">
        <f t="shared" si="9"/>
        <v>16041549</v>
      </c>
      <c r="V8" s="46"/>
      <c r="W8" s="46"/>
      <c r="X8" s="46">
        <f t="shared" si="10"/>
        <v>0</v>
      </c>
      <c r="Y8" s="196">
        <f t="shared" si="11"/>
        <v>19432798.73</v>
      </c>
      <c r="Z8" s="45" t="s">
        <v>129</v>
      </c>
      <c r="AA8" s="106">
        <f t="shared" si="12"/>
        <v>0</v>
      </c>
      <c r="AB8" s="107">
        <f t="shared" si="13"/>
        <v>1130225.6599999999</v>
      </c>
      <c r="AC8" s="188">
        <f t="shared" si="14"/>
        <v>1126853.82</v>
      </c>
      <c r="AD8" s="188">
        <f t="shared" si="15"/>
        <v>340309.84999999986</v>
      </c>
      <c r="AE8" s="34">
        <f t="shared" si="16"/>
        <v>0</v>
      </c>
      <c r="AF8">
        <f t="shared" si="17"/>
        <v>0</v>
      </c>
      <c r="AG8" s="46">
        <v>117000</v>
      </c>
      <c r="AH8" s="110">
        <f t="shared" si="18"/>
        <v>2714389.33</v>
      </c>
      <c r="AI8" s="111"/>
      <c r="AJ8" s="37">
        <v>480000</v>
      </c>
      <c r="AK8" s="18"/>
      <c r="AL8" s="115">
        <f t="shared" si="19"/>
        <v>480000</v>
      </c>
      <c r="AM8" s="151"/>
      <c r="AN8" s="113"/>
      <c r="AO8" s="117">
        <f t="shared" si="20"/>
        <v>22627188.060000002</v>
      </c>
      <c r="AP8" s="45" t="s">
        <v>129</v>
      </c>
      <c r="AQ8" s="94"/>
      <c r="AR8" s="45"/>
      <c r="AS8" s="45"/>
      <c r="AT8" s="31">
        <f t="shared" si="21"/>
        <v>0</v>
      </c>
      <c r="AU8" s="45"/>
      <c r="AV8" s="45"/>
      <c r="AW8" s="45"/>
      <c r="AX8" s="214">
        <v>26813.52</v>
      </c>
      <c r="AY8" s="31">
        <f t="shared" si="22"/>
        <v>26813.52</v>
      </c>
      <c r="AZ8" s="45" t="s">
        <v>129</v>
      </c>
      <c r="BA8" s="229">
        <v>233334.65</v>
      </c>
      <c r="BB8" s="104">
        <v>26500</v>
      </c>
      <c r="BC8" s="105"/>
      <c r="BD8" s="105"/>
      <c r="BE8" s="105"/>
      <c r="BF8" s="33">
        <v>35206</v>
      </c>
      <c r="BG8" s="33">
        <v>0</v>
      </c>
      <c r="BH8" s="33">
        <v>1000</v>
      </c>
      <c r="BI8" s="55"/>
      <c r="BJ8" s="33">
        <v>1353845.1</v>
      </c>
      <c r="BK8" s="142">
        <f t="shared" si="23"/>
        <v>1649885.75</v>
      </c>
      <c r="BL8" s="105">
        <v>0</v>
      </c>
      <c r="BM8" s="33"/>
      <c r="BN8" s="45">
        <v>0</v>
      </c>
      <c r="BO8" s="45"/>
      <c r="BP8" s="45"/>
      <c r="BQ8" s="246">
        <v>0</v>
      </c>
      <c r="BR8" s="45">
        <v>0</v>
      </c>
      <c r="BS8" s="45">
        <v>0</v>
      </c>
      <c r="BT8" s="45"/>
      <c r="BU8" s="45"/>
      <c r="BV8" s="45">
        <v>0</v>
      </c>
      <c r="BW8" s="45"/>
      <c r="BX8" s="45"/>
      <c r="BY8" s="18">
        <v>0</v>
      </c>
      <c r="BZ8" s="18"/>
      <c r="CA8" s="18"/>
      <c r="CB8" s="188"/>
      <c r="CC8" s="18"/>
      <c r="CD8" s="188"/>
      <c r="CE8" s="18">
        <v>205545.44</v>
      </c>
      <c r="CF8" s="18">
        <v>0</v>
      </c>
      <c r="CG8" s="33"/>
      <c r="CH8" s="33"/>
      <c r="CI8" s="33">
        <v>0</v>
      </c>
      <c r="CJ8" s="33">
        <v>48960</v>
      </c>
      <c r="CK8" s="45" t="s">
        <v>129</v>
      </c>
      <c r="CL8" s="45">
        <v>40000</v>
      </c>
      <c r="CM8" s="45"/>
      <c r="CN8" s="45"/>
      <c r="CO8" s="18"/>
      <c r="CP8" s="18"/>
      <c r="CQ8" s="18"/>
      <c r="CR8" s="18">
        <v>55100</v>
      </c>
      <c r="CS8" s="18"/>
      <c r="CT8" s="18"/>
      <c r="CU8" s="18"/>
      <c r="CV8" s="255">
        <v>0</v>
      </c>
      <c r="CW8" s="33"/>
      <c r="CX8" s="18">
        <v>0</v>
      </c>
      <c r="CY8" s="18">
        <v>0</v>
      </c>
      <c r="CZ8" s="18">
        <v>0</v>
      </c>
      <c r="DA8" s="18">
        <v>0</v>
      </c>
      <c r="DB8" s="18"/>
      <c r="DC8" s="18">
        <v>0</v>
      </c>
      <c r="DD8" s="18">
        <v>0</v>
      </c>
      <c r="DE8" s="255">
        <v>137959.28</v>
      </c>
      <c r="DF8" s="18">
        <v>0</v>
      </c>
      <c r="DG8" s="18">
        <v>0</v>
      </c>
      <c r="DH8" s="18">
        <v>0</v>
      </c>
      <c r="DI8" s="18">
        <v>41300</v>
      </c>
      <c r="DJ8" s="18">
        <v>0</v>
      </c>
      <c r="DK8" s="229">
        <v>0</v>
      </c>
      <c r="DL8" s="255"/>
      <c r="DM8" s="18">
        <v>0</v>
      </c>
      <c r="DN8" s="18">
        <v>0</v>
      </c>
      <c r="DO8" s="18"/>
      <c r="DP8" s="229"/>
      <c r="DQ8" s="18">
        <v>0</v>
      </c>
      <c r="DR8" s="18">
        <v>0</v>
      </c>
      <c r="DS8" s="18">
        <v>0</v>
      </c>
      <c r="DT8" s="18">
        <v>-1000</v>
      </c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76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40">
        <f t="shared" si="0"/>
        <v>789749.26000000013</v>
      </c>
      <c r="FH8" s="33"/>
      <c r="FI8" s="33"/>
      <c r="FJ8" s="37">
        <v>0</v>
      </c>
      <c r="FK8" s="106"/>
      <c r="FL8" s="33"/>
      <c r="FM8" s="33">
        <v>789749.26000000013</v>
      </c>
      <c r="FN8" s="225">
        <f t="shared" si="24"/>
        <v>0</v>
      </c>
      <c r="FO8" s="106"/>
      <c r="FP8" s="106"/>
      <c r="FQ8" s="106"/>
      <c r="FR8" s="18">
        <f t="shared" si="25"/>
        <v>0</v>
      </c>
      <c r="FS8" s="106"/>
      <c r="FT8" s="106">
        <v>0</v>
      </c>
      <c r="FU8" s="221"/>
      <c r="FV8" s="106"/>
      <c r="FW8" s="45" t="s">
        <v>129</v>
      </c>
      <c r="FX8" s="38">
        <f t="shared" si="26"/>
        <v>2857889.33</v>
      </c>
      <c r="FY8" s="38"/>
      <c r="FZ8" s="37"/>
      <c r="GA8" s="37"/>
      <c r="GB8" s="84"/>
      <c r="GC8" s="40">
        <f t="shared" si="27"/>
        <v>1130225.6599999999</v>
      </c>
      <c r="GD8" s="104"/>
      <c r="GE8" s="104"/>
      <c r="GF8" s="104"/>
      <c r="GG8" s="104"/>
      <c r="GH8" s="117">
        <f t="shared" si="28"/>
        <v>0</v>
      </c>
      <c r="GI8" s="33">
        <v>780225</v>
      </c>
      <c r="GJ8" s="104"/>
      <c r="GK8" s="250">
        <v>350000.66</v>
      </c>
      <c r="GL8" s="104"/>
      <c r="GM8" s="32"/>
      <c r="GN8" s="32">
        <v>1078972.1000000001</v>
      </c>
      <c r="GO8" s="32">
        <v>325849.56999999983</v>
      </c>
      <c r="GP8" s="32">
        <v>37881.72</v>
      </c>
      <c r="GQ8" s="32">
        <v>11440.279999999999</v>
      </c>
      <c r="GR8" s="32">
        <v>10000</v>
      </c>
      <c r="GS8" s="33">
        <v>3020</v>
      </c>
      <c r="GT8" s="32"/>
      <c r="GU8" s="32"/>
      <c r="GV8" s="18"/>
      <c r="GW8" s="45" t="s">
        <v>129</v>
      </c>
      <c r="GX8" s="34">
        <f t="shared" si="29"/>
        <v>4939769.3900000006</v>
      </c>
      <c r="GY8" s="34">
        <f t="shared" si="30"/>
        <v>22627188.060000002</v>
      </c>
    </row>
    <row r="9" spans="1:209" ht="13.5" customHeight="1">
      <c r="A9" s="18">
        <v>7</v>
      </c>
      <c r="B9" s="45" t="s">
        <v>130</v>
      </c>
      <c r="C9" s="103"/>
      <c r="D9" s="104">
        <f t="shared" si="1"/>
        <v>6210292.129999999</v>
      </c>
      <c r="E9" s="104">
        <f t="shared" si="2"/>
        <v>0</v>
      </c>
      <c r="F9" s="105"/>
      <c r="G9" s="105">
        <f t="shared" si="31"/>
        <v>0</v>
      </c>
      <c r="H9" s="105">
        <f t="shared" si="32"/>
        <v>0</v>
      </c>
      <c r="I9" s="105">
        <f t="shared" si="3"/>
        <v>0</v>
      </c>
      <c r="J9" s="105">
        <f t="shared" si="4"/>
        <v>0</v>
      </c>
      <c r="K9" s="105">
        <f t="shared" si="5"/>
        <v>13183</v>
      </c>
      <c r="L9" s="142">
        <f t="shared" si="6"/>
        <v>57380.63</v>
      </c>
      <c r="M9" s="142"/>
      <c r="N9" s="142">
        <f t="shared" si="7"/>
        <v>241640.19999999998</v>
      </c>
      <c r="O9" s="143">
        <f t="shared" si="8"/>
        <v>6522495.959999999</v>
      </c>
      <c r="P9" s="18"/>
      <c r="Q9" s="142">
        <v>393750</v>
      </c>
      <c r="R9" s="32">
        <v>393750</v>
      </c>
      <c r="S9" s="142">
        <v>14160751</v>
      </c>
      <c r="T9" s="142">
        <v>4276547</v>
      </c>
      <c r="U9" s="55">
        <f t="shared" si="9"/>
        <v>18437298</v>
      </c>
      <c r="V9" s="46"/>
      <c r="W9" s="46"/>
      <c r="X9" s="46">
        <f t="shared" si="10"/>
        <v>0</v>
      </c>
      <c r="Y9" s="196">
        <f t="shared" si="11"/>
        <v>25353543.960000001</v>
      </c>
      <c r="Z9" s="45" t="s">
        <v>130</v>
      </c>
      <c r="AA9" s="106">
        <f t="shared" si="12"/>
        <v>0</v>
      </c>
      <c r="AB9" s="107">
        <f t="shared" si="13"/>
        <v>1357765</v>
      </c>
      <c r="AC9" s="188">
        <f t="shared" si="14"/>
        <v>1228204.78</v>
      </c>
      <c r="AD9" s="188">
        <f t="shared" si="15"/>
        <v>370917.84999999986</v>
      </c>
      <c r="AE9" s="34">
        <f t="shared" si="16"/>
        <v>0</v>
      </c>
      <c r="AF9">
        <f t="shared" si="17"/>
        <v>12786170.48</v>
      </c>
      <c r="AG9" s="46">
        <v>189000</v>
      </c>
      <c r="AH9" s="110">
        <f t="shared" si="18"/>
        <v>15932058.109999999</v>
      </c>
      <c r="AI9" s="111"/>
      <c r="AJ9" s="37">
        <v>80000</v>
      </c>
      <c r="AK9" s="18"/>
      <c r="AL9" s="115">
        <f t="shared" si="19"/>
        <v>80000</v>
      </c>
      <c r="AM9" s="151"/>
      <c r="AN9" s="113"/>
      <c r="AO9" s="117">
        <f t="shared" si="20"/>
        <v>41365602.07</v>
      </c>
      <c r="AP9" s="45" t="s">
        <v>130</v>
      </c>
      <c r="AQ9" s="94"/>
      <c r="AR9" s="45"/>
      <c r="AS9" s="45"/>
      <c r="AT9" s="31">
        <f t="shared" si="21"/>
        <v>0</v>
      </c>
      <c r="AU9" s="45"/>
      <c r="AV9" s="45"/>
      <c r="AW9" s="45"/>
      <c r="AX9" s="214">
        <v>42531.06</v>
      </c>
      <c r="AY9" s="31">
        <f t="shared" si="22"/>
        <v>42531.06</v>
      </c>
      <c r="AZ9" s="45" t="s">
        <v>130</v>
      </c>
      <c r="BA9" s="229">
        <v>362223.41</v>
      </c>
      <c r="BB9" s="104">
        <v>0</v>
      </c>
      <c r="BC9" s="105"/>
      <c r="BD9" s="105"/>
      <c r="BE9" s="105"/>
      <c r="BF9" s="33">
        <v>0</v>
      </c>
      <c r="BG9" s="33">
        <v>7183</v>
      </c>
      <c r="BH9" s="33">
        <v>1237.5400000000002</v>
      </c>
      <c r="BI9" s="55"/>
      <c r="BJ9" s="33">
        <v>241640.19999999998</v>
      </c>
      <c r="BK9" s="142">
        <f t="shared" si="23"/>
        <v>612284.14999999991</v>
      </c>
      <c r="BL9" s="105">
        <v>0</v>
      </c>
      <c r="BM9" s="33"/>
      <c r="BN9" s="45">
        <v>1064000</v>
      </c>
      <c r="BO9" s="45"/>
      <c r="BP9" s="45"/>
      <c r="BQ9" s="246">
        <v>0</v>
      </c>
      <c r="BR9" s="45">
        <v>98650</v>
      </c>
      <c r="BS9" s="45">
        <v>0</v>
      </c>
      <c r="BT9" s="45"/>
      <c r="BU9" s="45"/>
      <c r="BV9" s="45">
        <v>0</v>
      </c>
      <c r="BW9" s="45"/>
      <c r="BX9" s="45"/>
      <c r="BY9" s="18">
        <v>0</v>
      </c>
      <c r="BZ9" s="18"/>
      <c r="CA9" s="18"/>
      <c r="CB9" s="188"/>
      <c r="CC9" s="18"/>
      <c r="CD9" s="188"/>
      <c r="CE9" s="18">
        <v>750737.4</v>
      </c>
      <c r="CF9" s="18">
        <v>0</v>
      </c>
      <c r="CG9" s="33"/>
      <c r="CH9" s="33"/>
      <c r="CI9" s="33">
        <v>0</v>
      </c>
      <c r="CJ9" s="33">
        <v>881852.31</v>
      </c>
      <c r="CK9" s="45" t="s">
        <v>130</v>
      </c>
      <c r="CL9" s="45">
        <v>0</v>
      </c>
      <c r="CM9" s="45"/>
      <c r="CN9" s="45"/>
      <c r="CO9" s="18">
        <v>57136</v>
      </c>
      <c r="CP9" s="18"/>
      <c r="CQ9" s="18"/>
      <c r="CR9" s="18">
        <v>850225.35</v>
      </c>
      <c r="CS9" s="18"/>
      <c r="CT9" s="18"/>
      <c r="CU9" s="18"/>
      <c r="CV9" s="255">
        <v>0</v>
      </c>
      <c r="CW9" s="33"/>
      <c r="CX9" s="18">
        <v>489612</v>
      </c>
      <c r="CY9" s="18">
        <v>0</v>
      </c>
      <c r="CZ9" s="18">
        <v>0</v>
      </c>
      <c r="DA9" s="18">
        <v>6000</v>
      </c>
      <c r="DB9" s="18"/>
      <c r="DC9" s="18">
        <v>0</v>
      </c>
      <c r="DD9" s="18">
        <v>59300</v>
      </c>
      <c r="DE9" s="255">
        <v>141000</v>
      </c>
      <c r="DF9" s="18">
        <v>15038</v>
      </c>
      <c r="DG9" s="18">
        <v>0</v>
      </c>
      <c r="DH9" s="18">
        <v>0</v>
      </c>
      <c r="DI9" s="18">
        <v>0</v>
      </c>
      <c r="DJ9" s="18">
        <v>0</v>
      </c>
      <c r="DK9" s="229">
        <v>0</v>
      </c>
      <c r="DL9" s="255"/>
      <c r="DM9" s="18">
        <v>0</v>
      </c>
      <c r="DN9" s="18">
        <v>7.09</v>
      </c>
      <c r="DO9" s="18"/>
      <c r="DP9" s="229"/>
      <c r="DQ9" s="18">
        <v>91800</v>
      </c>
      <c r="DR9" s="18">
        <v>0</v>
      </c>
      <c r="DS9" s="18">
        <v>0</v>
      </c>
      <c r="DT9" s="18">
        <v>-1000</v>
      </c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76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40">
        <f t="shared" si="0"/>
        <v>1405853.66</v>
      </c>
      <c r="FH9" s="46"/>
      <c r="FI9" s="46"/>
      <c r="FJ9" s="37">
        <v>0</v>
      </c>
      <c r="FK9" s="106"/>
      <c r="FL9" s="33"/>
      <c r="FM9" s="33">
        <v>1405853.66</v>
      </c>
      <c r="FN9" s="225">
        <f t="shared" si="24"/>
        <v>0</v>
      </c>
      <c r="FO9" s="106"/>
      <c r="FP9" s="106"/>
      <c r="FQ9" s="106"/>
      <c r="FR9" s="18">
        <f t="shared" si="25"/>
        <v>12786170.48</v>
      </c>
      <c r="FS9" s="106"/>
      <c r="FT9" s="106">
        <f>13138093.22-318680.84-33241.9</f>
        <v>12786170.48</v>
      </c>
      <c r="FU9" s="221"/>
      <c r="FV9" s="106"/>
      <c r="FW9" s="45" t="s">
        <v>130</v>
      </c>
      <c r="FX9" s="38">
        <f t="shared" si="26"/>
        <v>16121058.109999999</v>
      </c>
      <c r="FY9" s="38"/>
      <c r="FZ9" s="37"/>
      <c r="GA9" s="37"/>
      <c r="GB9" s="84"/>
      <c r="GC9" s="40">
        <f t="shared" si="27"/>
        <v>1357765</v>
      </c>
      <c r="GD9" s="141"/>
      <c r="GE9" s="104"/>
      <c r="GF9" s="104"/>
      <c r="GG9" s="104"/>
      <c r="GH9" s="117">
        <f t="shared" si="28"/>
        <v>0</v>
      </c>
      <c r="GI9" s="33">
        <v>989345</v>
      </c>
      <c r="GJ9" s="104"/>
      <c r="GK9" s="250">
        <v>368420</v>
      </c>
      <c r="GL9" s="104"/>
      <c r="GM9" s="32"/>
      <c r="GN9" s="32">
        <v>1228204.78</v>
      </c>
      <c r="GO9" s="32">
        <v>370917.84999999986</v>
      </c>
      <c r="GP9" s="32">
        <v>0</v>
      </c>
      <c r="GQ9" s="32">
        <v>0</v>
      </c>
      <c r="GR9" s="32">
        <v>0</v>
      </c>
      <c r="GS9" s="33">
        <v>0</v>
      </c>
      <c r="GT9" s="32"/>
      <c r="GU9" s="32"/>
      <c r="GV9" s="18"/>
      <c r="GW9" s="45" t="s">
        <v>130</v>
      </c>
      <c r="GX9" s="34">
        <f t="shared" si="29"/>
        <v>8283447.3299999991</v>
      </c>
      <c r="GY9" s="34">
        <f t="shared" si="30"/>
        <v>41365602.07</v>
      </c>
    </row>
    <row r="10" spans="1:209" ht="14.25" customHeight="1">
      <c r="A10" s="18">
        <v>8</v>
      </c>
      <c r="B10" s="45" t="s">
        <v>131</v>
      </c>
      <c r="C10" s="103"/>
      <c r="D10" s="104">
        <f t="shared" si="1"/>
        <v>3321188.11</v>
      </c>
      <c r="E10" s="104">
        <f t="shared" si="2"/>
        <v>0</v>
      </c>
      <c r="F10" s="105"/>
      <c r="G10" s="105">
        <f t="shared" si="31"/>
        <v>0</v>
      </c>
      <c r="H10" s="105">
        <f t="shared" si="32"/>
        <v>0</v>
      </c>
      <c r="I10" s="105">
        <f t="shared" si="3"/>
        <v>0</v>
      </c>
      <c r="J10" s="105">
        <f t="shared" si="4"/>
        <v>0</v>
      </c>
      <c r="K10" s="105">
        <f t="shared" si="5"/>
        <v>0</v>
      </c>
      <c r="L10" s="142">
        <f t="shared" si="6"/>
        <v>0</v>
      </c>
      <c r="M10" s="142"/>
      <c r="N10" s="142">
        <f t="shared" si="7"/>
        <v>1509746.62</v>
      </c>
      <c r="O10" s="143">
        <f t="shared" si="8"/>
        <v>4830934.7300000004</v>
      </c>
      <c r="P10" s="18"/>
      <c r="Q10" s="142">
        <v>307250</v>
      </c>
      <c r="R10" s="32">
        <v>307250</v>
      </c>
      <c r="S10" s="142">
        <v>11980719</v>
      </c>
      <c r="T10" s="142">
        <v>3618177</v>
      </c>
      <c r="U10" s="55">
        <f t="shared" si="9"/>
        <v>15598896</v>
      </c>
      <c r="V10" s="46"/>
      <c r="W10" s="46"/>
      <c r="X10" s="46">
        <f t="shared" si="10"/>
        <v>0</v>
      </c>
      <c r="Y10" s="196">
        <f t="shared" si="11"/>
        <v>20737080.73</v>
      </c>
      <c r="Z10" s="45" t="s">
        <v>131</v>
      </c>
      <c r="AA10" s="106">
        <f t="shared" si="12"/>
        <v>0</v>
      </c>
      <c r="AB10" s="107">
        <f t="shared" si="13"/>
        <v>825984.69</v>
      </c>
      <c r="AC10" s="188">
        <f t="shared" si="14"/>
        <v>1337248.68</v>
      </c>
      <c r="AD10" s="188">
        <f t="shared" si="15"/>
        <v>403848.7900000001</v>
      </c>
      <c r="AE10" s="34">
        <f t="shared" si="16"/>
        <v>0</v>
      </c>
      <c r="AF10">
        <f t="shared" si="17"/>
        <v>0</v>
      </c>
      <c r="AG10" s="46">
        <v>153000</v>
      </c>
      <c r="AH10" s="110">
        <f t="shared" si="18"/>
        <v>2720082.16</v>
      </c>
      <c r="AI10" s="111"/>
      <c r="AJ10" s="37">
        <v>200000</v>
      </c>
      <c r="AK10" s="18"/>
      <c r="AL10" s="115">
        <f t="shared" si="19"/>
        <v>200000</v>
      </c>
      <c r="AM10" s="151"/>
      <c r="AN10" s="113"/>
      <c r="AO10" s="117">
        <f t="shared" si="20"/>
        <v>23657162.890000001</v>
      </c>
      <c r="AP10" s="44" t="s">
        <v>131</v>
      </c>
      <c r="AQ10" s="94"/>
      <c r="AR10" s="44"/>
      <c r="AS10" s="44"/>
      <c r="AT10" s="31">
        <f t="shared" si="21"/>
        <v>0</v>
      </c>
      <c r="AU10" s="44"/>
      <c r="AV10" s="44"/>
      <c r="AW10" s="44"/>
      <c r="AX10" s="214">
        <v>35453.160000000003</v>
      </c>
      <c r="AY10" s="31">
        <f t="shared" si="22"/>
        <v>35453.160000000003</v>
      </c>
      <c r="AZ10" s="44" t="s">
        <v>131</v>
      </c>
      <c r="BA10" s="229">
        <v>234684.79999999999</v>
      </c>
      <c r="BB10" s="104">
        <v>0</v>
      </c>
      <c r="BC10" s="105"/>
      <c r="BD10" s="105"/>
      <c r="BE10" s="105"/>
      <c r="BF10" s="33">
        <v>0</v>
      </c>
      <c r="BG10" s="33">
        <v>0</v>
      </c>
      <c r="BH10" s="33">
        <v>1000</v>
      </c>
      <c r="BI10" s="55"/>
      <c r="BJ10" s="33">
        <v>1509746.62</v>
      </c>
      <c r="BK10" s="142">
        <f t="shared" si="23"/>
        <v>1745431.4200000002</v>
      </c>
      <c r="BL10" s="105">
        <v>0</v>
      </c>
      <c r="BM10" s="33"/>
      <c r="BN10" s="44">
        <v>0</v>
      </c>
      <c r="BO10" s="44"/>
      <c r="BP10" s="44"/>
      <c r="BQ10" s="246">
        <v>0</v>
      </c>
      <c r="BR10" s="44">
        <v>0</v>
      </c>
      <c r="BS10" s="44">
        <v>0</v>
      </c>
      <c r="BT10" s="44"/>
      <c r="BU10" s="44"/>
      <c r="BV10" s="44">
        <v>0</v>
      </c>
      <c r="BW10" s="44"/>
      <c r="BX10" s="44"/>
      <c r="BY10" s="18">
        <v>0</v>
      </c>
      <c r="BZ10" s="18"/>
      <c r="CA10" s="18"/>
      <c r="CB10" s="188"/>
      <c r="CC10" s="18"/>
      <c r="CD10" s="188"/>
      <c r="CE10" s="18">
        <v>193486</v>
      </c>
      <c r="CF10" s="18">
        <v>0</v>
      </c>
      <c r="CG10" s="33"/>
      <c r="CH10" s="33"/>
      <c r="CI10" s="33">
        <v>0</v>
      </c>
      <c r="CJ10" s="33">
        <v>0</v>
      </c>
      <c r="CK10" s="44" t="s">
        <v>131</v>
      </c>
      <c r="CL10" s="44">
        <v>82980</v>
      </c>
      <c r="CM10" s="44"/>
      <c r="CN10" s="44"/>
      <c r="CO10" s="18"/>
      <c r="CP10" s="18"/>
      <c r="CQ10" s="18"/>
      <c r="CR10" s="18">
        <v>30000</v>
      </c>
      <c r="CS10" s="18"/>
      <c r="CT10" s="18"/>
      <c r="CU10" s="18"/>
      <c r="CV10" s="255">
        <v>0</v>
      </c>
      <c r="CW10" s="33"/>
      <c r="CX10" s="18">
        <v>309961.82</v>
      </c>
      <c r="CY10" s="18">
        <v>0</v>
      </c>
      <c r="CZ10" s="18">
        <v>0</v>
      </c>
      <c r="DA10" s="18">
        <v>0</v>
      </c>
      <c r="DB10" s="18"/>
      <c r="DC10" s="18">
        <v>0</v>
      </c>
      <c r="DD10" s="18">
        <v>65000</v>
      </c>
      <c r="DE10" s="255">
        <v>0</v>
      </c>
      <c r="DF10" s="18">
        <v>-30996.82</v>
      </c>
      <c r="DG10" s="18">
        <v>0</v>
      </c>
      <c r="DH10" s="18">
        <v>0</v>
      </c>
      <c r="DI10" s="18">
        <v>0</v>
      </c>
      <c r="DJ10" s="18">
        <v>0</v>
      </c>
      <c r="DK10" s="229">
        <v>0</v>
      </c>
      <c r="DL10" s="255"/>
      <c r="DM10" s="18">
        <v>0</v>
      </c>
      <c r="DN10" s="18">
        <v>0</v>
      </c>
      <c r="DO10" s="18"/>
      <c r="DP10" s="229"/>
      <c r="DQ10" s="18">
        <v>1337350</v>
      </c>
      <c r="DR10" s="18">
        <v>0</v>
      </c>
      <c r="DS10" s="18">
        <v>0</v>
      </c>
      <c r="DT10" s="18">
        <v>-1000</v>
      </c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76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40">
        <f t="shared" si="0"/>
        <v>1098722.31</v>
      </c>
      <c r="FH10" s="46"/>
      <c r="FI10" s="46"/>
      <c r="FJ10" s="37">
        <v>90264.55</v>
      </c>
      <c r="FK10" s="106"/>
      <c r="FL10" s="33"/>
      <c r="FM10" s="33">
        <v>1008457.76</v>
      </c>
      <c r="FN10" s="225">
        <f t="shared" si="24"/>
        <v>0</v>
      </c>
      <c r="FO10" s="106"/>
      <c r="FP10" s="106"/>
      <c r="FQ10" s="106"/>
      <c r="FR10" s="18">
        <f t="shared" si="25"/>
        <v>0</v>
      </c>
      <c r="FS10" s="106"/>
      <c r="FT10" s="106">
        <v>0</v>
      </c>
      <c r="FU10" s="221"/>
      <c r="FV10" s="106"/>
      <c r="FW10" s="44" t="s">
        <v>131</v>
      </c>
      <c r="FX10" s="38">
        <f t="shared" si="26"/>
        <v>2873082.16</v>
      </c>
      <c r="FY10" s="38"/>
      <c r="FZ10" s="37"/>
      <c r="GA10" s="37"/>
      <c r="GB10" s="84"/>
      <c r="GC10" s="40">
        <f t="shared" si="27"/>
        <v>825984.69</v>
      </c>
      <c r="GD10" s="104"/>
      <c r="GE10" s="104"/>
      <c r="GF10" s="104"/>
      <c r="GG10" s="104"/>
      <c r="GH10" s="117">
        <f t="shared" si="28"/>
        <v>0</v>
      </c>
      <c r="GI10" s="33">
        <v>552275</v>
      </c>
      <c r="GJ10" s="104"/>
      <c r="GK10" s="250">
        <v>273709.69</v>
      </c>
      <c r="GL10" s="104"/>
      <c r="GM10" s="32"/>
      <c r="GN10" s="32">
        <v>1123490.3799999999</v>
      </c>
      <c r="GO10" s="32">
        <v>339294.09000000008</v>
      </c>
      <c r="GP10" s="32">
        <v>193758.3</v>
      </c>
      <c r="GQ10" s="32">
        <v>58514.7</v>
      </c>
      <c r="GR10" s="32">
        <v>20000</v>
      </c>
      <c r="GS10" s="33">
        <v>6040</v>
      </c>
      <c r="GT10" s="32"/>
      <c r="GU10" s="32"/>
      <c r="GV10" s="18"/>
      <c r="GW10" s="44" t="s">
        <v>131</v>
      </c>
      <c r="GX10" s="34">
        <f t="shared" si="29"/>
        <v>6164169.4199999999</v>
      </c>
      <c r="GY10" s="34">
        <f t="shared" si="30"/>
        <v>23657162.890000001</v>
      </c>
    </row>
    <row r="11" spans="1:209" ht="25.5" customHeight="1">
      <c r="A11" s="18">
        <v>9</v>
      </c>
      <c r="B11" s="45" t="s">
        <v>132</v>
      </c>
      <c r="C11" s="103"/>
      <c r="D11" s="104">
        <f t="shared" si="1"/>
        <v>5992533.6400000006</v>
      </c>
      <c r="E11" s="104">
        <f t="shared" si="2"/>
        <v>0</v>
      </c>
      <c r="F11" s="105"/>
      <c r="G11" s="105">
        <f t="shared" si="31"/>
        <v>0</v>
      </c>
      <c r="H11" s="105">
        <f t="shared" si="32"/>
        <v>0</v>
      </c>
      <c r="I11" s="105">
        <f t="shared" si="3"/>
        <v>0</v>
      </c>
      <c r="J11" s="105">
        <f>EK11+BF11+ES11+DK11+EB11+CF11</f>
        <v>3411164</v>
      </c>
      <c r="K11" s="105">
        <f t="shared" si="5"/>
        <v>2256123.56</v>
      </c>
      <c r="L11" s="142">
        <f t="shared" si="6"/>
        <v>0</v>
      </c>
      <c r="M11" s="142"/>
      <c r="N11" s="142">
        <f t="shared" si="7"/>
        <v>2422926.9700000002</v>
      </c>
      <c r="O11" s="143">
        <f t="shared" si="8"/>
        <v>14082748.170000002</v>
      </c>
      <c r="P11" s="18"/>
      <c r="Q11" s="142">
        <v>935375</v>
      </c>
      <c r="R11" s="32">
        <v>935375</v>
      </c>
      <c r="S11" s="142">
        <v>27978067</v>
      </c>
      <c r="T11" s="142">
        <v>8449376</v>
      </c>
      <c r="U11" s="55">
        <f t="shared" si="9"/>
        <v>36427443</v>
      </c>
      <c r="V11" s="46"/>
      <c r="W11" s="46"/>
      <c r="X11" s="46">
        <f t="shared" si="10"/>
        <v>0</v>
      </c>
      <c r="Y11" s="196">
        <f t="shared" si="11"/>
        <v>51445566.170000002</v>
      </c>
      <c r="Z11" s="45" t="s">
        <v>132</v>
      </c>
      <c r="AA11" s="106">
        <f t="shared" si="12"/>
        <v>0</v>
      </c>
      <c r="AB11" s="107">
        <f t="shared" si="13"/>
        <v>1819995.33</v>
      </c>
      <c r="AC11" s="188">
        <f t="shared" si="14"/>
        <v>2051127.8100000003</v>
      </c>
      <c r="AD11" s="188">
        <f t="shared" si="15"/>
        <v>619341.90999999992</v>
      </c>
      <c r="AE11" s="34">
        <f t="shared" si="16"/>
        <v>0</v>
      </c>
      <c r="AF11">
        <f t="shared" si="17"/>
        <v>595000</v>
      </c>
      <c r="AG11" s="46">
        <v>342000</v>
      </c>
      <c r="AH11" s="110">
        <f t="shared" si="18"/>
        <v>5427465.0500000007</v>
      </c>
      <c r="AI11" s="111"/>
      <c r="AJ11" s="37">
        <v>3221780</v>
      </c>
      <c r="AK11" s="18">
        <v>30000</v>
      </c>
      <c r="AL11" s="115">
        <f t="shared" si="19"/>
        <v>3251780</v>
      </c>
      <c r="AM11" s="151"/>
      <c r="AN11" s="113"/>
      <c r="AO11" s="117">
        <f t="shared" si="20"/>
        <v>60124811.219999999</v>
      </c>
      <c r="AP11" s="44" t="s">
        <v>132</v>
      </c>
      <c r="AQ11" s="94"/>
      <c r="AR11" s="44"/>
      <c r="AS11" s="44"/>
      <c r="AT11" s="31">
        <f t="shared" si="21"/>
        <v>0</v>
      </c>
      <c r="AU11" s="44"/>
      <c r="AV11" s="44"/>
      <c r="AW11" s="44"/>
      <c r="AX11" s="214">
        <v>222400.29</v>
      </c>
      <c r="AY11" s="31">
        <f t="shared" si="22"/>
        <v>222400.29</v>
      </c>
      <c r="AZ11" s="44" t="s">
        <v>132</v>
      </c>
      <c r="BA11" s="229">
        <v>1269171.46</v>
      </c>
      <c r="BB11" s="104">
        <v>0</v>
      </c>
      <c r="BC11" s="105"/>
      <c r="BD11" s="105"/>
      <c r="BE11" s="105"/>
      <c r="BF11" s="33">
        <v>1165103.44</v>
      </c>
      <c r="BG11" s="33">
        <v>10063</v>
      </c>
      <c r="BH11" s="33">
        <v>1000</v>
      </c>
      <c r="BI11" s="55"/>
      <c r="BJ11" s="33">
        <v>2422926.9700000002</v>
      </c>
      <c r="BK11" s="142">
        <f t="shared" si="23"/>
        <v>4868264.87</v>
      </c>
      <c r="BL11" s="105">
        <v>0</v>
      </c>
      <c r="BM11" s="33"/>
      <c r="BN11" s="44">
        <v>0</v>
      </c>
      <c r="BO11" s="44"/>
      <c r="BP11" s="44"/>
      <c r="BQ11" s="246">
        <v>247860.4</v>
      </c>
      <c r="BR11" s="44">
        <v>0</v>
      </c>
      <c r="BS11" s="44">
        <v>1199902.93</v>
      </c>
      <c r="BT11" s="44"/>
      <c r="BU11" s="44"/>
      <c r="BV11" s="44">
        <v>0</v>
      </c>
      <c r="BW11" s="44"/>
      <c r="BX11" s="44"/>
      <c r="BY11" s="18">
        <v>0</v>
      </c>
      <c r="BZ11" s="18"/>
      <c r="CA11" s="18"/>
      <c r="CB11" s="188"/>
      <c r="CC11" s="18"/>
      <c r="CD11" s="188"/>
      <c r="CE11" s="18">
        <v>1746371.45</v>
      </c>
      <c r="CF11" s="18">
        <v>2246060.56</v>
      </c>
      <c r="CG11" s="33"/>
      <c r="CH11" s="33"/>
      <c r="CI11" s="33">
        <v>202956.49</v>
      </c>
      <c r="CJ11" s="33">
        <v>128985</v>
      </c>
      <c r="CK11" s="44" t="s">
        <v>132</v>
      </c>
      <c r="CL11" s="44">
        <v>78400</v>
      </c>
      <c r="CM11" s="44"/>
      <c r="CN11" s="44"/>
      <c r="CO11" s="18"/>
      <c r="CP11" s="18"/>
      <c r="CQ11" s="18"/>
      <c r="CR11" s="18">
        <v>54973.16</v>
      </c>
      <c r="CS11" s="18"/>
      <c r="CT11" s="18"/>
      <c r="CU11" s="18"/>
      <c r="CV11" s="255">
        <v>-1199902.93</v>
      </c>
      <c r="CW11" s="33"/>
      <c r="CX11" s="18">
        <v>-484814.22</v>
      </c>
      <c r="CY11" s="18">
        <v>0</v>
      </c>
      <c r="CZ11" s="18">
        <v>0</v>
      </c>
      <c r="DA11" s="18">
        <v>0</v>
      </c>
      <c r="DB11" s="18"/>
      <c r="DC11" s="18">
        <v>55172</v>
      </c>
      <c r="DD11" s="18">
        <v>175323.88</v>
      </c>
      <c r="DE11" s="255">
        <v>0</v>
      </c>
      <c r="DF11" s="18">
        <v>-48344.78</v>
      </c>
      <c r="DG11" s="18">
        <v>0</v>
      </c>
      <c r="DH11" s="18">
        <v>0</v>
      </c>
      <c r="DI11" s="18">
        <v>8750</v>
      </c>
      <c r="DJ11" s="18">
        <v>0</v>
      </c>
      <c r="DK11" s="229">
        <v>0</v>
      </c>
      <c r="DL11" s="255"/>
      <c r="DM11" s="18">
        <v>0</v>
      </c>
      <c r="DN11" s="18">
        <v>0</v>
      </c>
      <c r="DO11" s="18"/>
      <c r="DP11" s="229"/>
      <c r="DQ11" s="18">
        <v>147850</v>
      </c>
      <c r="DR11" s="18">
        <v>0</v>
      </c>
      <c r="DS11" s="18">
        <v>0</v>
      </c>
      <c r="DT11" s="18">
        <v>-1000</v>
      </c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76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40">
        <f t="shared" si="0"/>
        <v>2409878.8000000003</v>
      </c>
      <c r="FH11" s="46"/>
      <c r="FI11" s="46"/>
      <c r="FJ11" s="37">
        <v>0</v>
      </c>
      <c r="FK11" s="106"/>
      <c r="FL11" s="33"/>
      <c r="FM11" s="33">
        <v>2409878.8000000003</v>
      </c>
      <c r="FN11" s="225">
        <f t="shared" si="24"/>
        <v>0</v>
      </c>
      <c r="FO11" s="106"/>
      <c r="FP11" s="106"/>
      <c r="FQ11" s="106"/>
      <c r="FR11" s="18">
        <f t="shared" si="25"/>
        <v>595000</v>
      </c>
      <c r="FS11" s="106"/>
      <c r="FT11" s="106">
        <v>595000</v>
      </c>
      <c r="FU11" s="221"/>
      <c r="FV11" s="106"/>
      <c r="FW11" s="44" t="s">
        <v>132</v>
      </c>
      <c r="FX11" s="38">
        <f t="shared" si="26"/>
        <v>5769465.0500000007</v>
      </c>
      <c r="FY11" s="38"/>
      <c r="FZ11" s="37"/>
      <c r="GA11" s="37"/>
      <c r="GB11" s="84"/>
      <c r="GC11" s="40">
        <f t="shared" si="27"/>
        <v>1819995.33</v>
      </c>
      <c r="GD11" s="104"/>
      <c r="GE11" s="104"/>
      <c r="GF11" s="104"/>
      <c r="GG11" s="104"/>
      <c r="GH11" s="117">
        <f t="shared" si="28"/>
        <v>0</v>
      </c>
      <c r="GI11" s="33">
        <v>1455996</v>
      </c>
      <c r="GJ11" s="104"/>
      <c r="GK11" s="250">
        <v>363999.33</v>
      </c>
      <c r="GL11" s="104"/>
      <c r="GM11" s="32"/>
      <c r="GN11" s="32">
        <v>1880845.84</v>
      </c>
      <c r="GO11" s="32">
        <v>568015.44999999995</v>
      </c>
      <c r="GP11" s="32">
        <v>161234.35</v>
      </c>
      <c r="GQ11" s="32">
        <v>48594.079999999994</v>
      </c>
      <c r="GR11" s="32">
        <v>9047.6200000000008</v>
      </c>
      <c r="GS11" s="33">
        <v>2732.3799999999992</v>
      </c>
      <c r="GT11" s="32"/>
      <c r="GU11" s="32"/>
      <c r="GV11" s="18"/>
      <c r="GW11" s="44" t="s">
        <v>132</v>
      </c>
      <c r="GX11" s="34">
        <f t="shared" si="29"/>
        <v>14392610.940000001</v>
      </c>
      <c r="GY11" s="34">
        <f t="shared" si="30"/>
        <v>60124811.219999999</v>
      </c>
    </row>
    <row r="12" spans="1:209" ht="28.5" customHeight="1">
      <c r="A12" s="18">
        <v>10</v>
      </c>
      <c r="B12" s="45" t="s">
        <v>133</v>
      </c>
      <c r="C12" s="103"/>
      <c r="D12" s="104">
        <f t="shared" si="1"/>
        <v>4577400.0599999996</v>
      </c>
      <c r="E12" s="104">
        <f t="shared" si="2"/>
        <v>0</v>
      </c>
      <c r="F12" s="105"/>
      <c r="G12" s="105">
        <f t="shared" si="31"/>
        <v>0</v>
      </c>
      <c r="H12" s="105">
        <f t="shared" si="32"/>
        <v>0</v>
      </c>
      <c r="I12" s="105">
        <f t="shared" si="3"/>
        <v>0</v>
      </c>
      <c r="J12" s="105">
        <f t="shared" si="4"/>
        <v>0</v>
      </c>
      <c r="K12" s="105">
        <f t="shared" si="5"/>
        <v>4860</v>
      </c>
      <c r="L12" s="142">
        <f t="shared" si="6"/>
        <v>411.64000000000033</v>
      </c>
      <c r="M12" s="142"/>
      <c r="N12" s="142">
        <f t="shared" si="7"/>
        <v>452445.66999999993</v>
      </c>
      <c r="O12" s="143">
        <f t="shared" si="8"/>
        <v>5035117.3699999992</v>
      </c>
      <c r="P12" s="18"/>
      <c r="Q12" s="142">
        <v>622375</v>
      </c>
      <c r="R12" s="32">
        <v>622375</v>
      </c>
      <c r="S12" s="142">
        <v>15955873</v>
      </c>
      <c r="T12" s="142">
        <v>4818673</v>
      </c>
      <c r="U12" s="55">
        <f t="shared" si="9"/>
        <v>20774546</v>
      </c>
      <c r="V12" s="46"/>
      <c r="W12" s="46"/>
      <c r="X12" s="46">
        <f t="shared" si="10"/>
        <v>0</v>
      </c>
      <c r="Y12" s="196">
        <f t="shared" si="11"/>
        <v>26432038.369999997</v>
      </c>
      <c r="Z12" s="45" t="s">
        <v>133</v>
      </c>
      <c r="AA12" s="106">
        <f t="shared" si="12"/>
        <v>0</v>
      </c>
      <c r="AB12" s="107">
        <f t="shared" si="13"/>
        <v>625324</v>
      </c>
      <c r="AC12" s="188">
        <f t="shared" si="14"/>
        <v>1046549.63</v>
      </c>
      <c r="AD12" s="188">
        <f t="shared" si="15"/>
        <v>316057.66999999993</v>
      </c>
      <c r="AE12" s="34">
        <f t="shared" si="16"/>
        <v>0</v>
      </c>
      <c r="AF12">
        <f t="shared" si="17"/>
        <v>0</v>
      </c>
      <c r="AG12" s="46">
        <v>216000</v>
      </c>
      <c r="AH12" s="110">
        <f t="shared" si="18"/>
        <v>2203931.2999999998</v>
      </c>
      <c r="AI12" s="111"/>
      <c r="AJ12" s="37">
        <v>1802130</v>
      </c>
      <c r="AK12" s="18"/>
      <c r="AL12" s="115">
        <f t="shared" si="19"/>
        <v>1802130</v>
      </c>
      <c r="AM12" s="151"/>
      <c r="AN12" s="113"/>
      <c r="AO12" s="117">
        <f t="shared" si="20"/>
        <v>30438099.669999998</v>
      </c>
      <c r="AP12" s="44" t="s">
        <v>133</v>
      </c>
      <c r="AQ12" s="94"/>
      <c r="AR12" s="44"/>
      <c r="AS12" s="44"/>
      <c r="AT12" s="31">
        <f t="shared" si="21"/>
        <v>0</v>
      </c>
      <c r="AU12" s="44"/>
      <c r="AV12" s="44"/>
      <c r="AW12" s="44">
        <v>573000</v>
      </c>
      <c r="AX12" s="214">
        <v>155634.79</v>
      </c>
      <c r="AY12" s="31">
        <f t="shared" si="22"/>
        <v>728634.79</v>
      </c>
      <c r="AZ12" s="44" t="s">
        <v>133</v>
      </c>
      <c r="BA12" s="229">
        <v>397184.72999999992</v>
      </c>
      <c r="BB12" s="104">
        <v>0</v>
      </c>
      <c r="BC12" s="105"/>
      <c r="BD12" s="105"/>
      <c r="BE12" s="105"/>
      <c r="BF12" s="33">
        <v>0</v>
      </c>
      <c r="BG12" s="33">
        <v>4860</v>
      </c>
      <c r="BH12" s="33">
        <v>1411.6400000000003</v>
      </c>
      <c r="BI12" s="55"/>
      <c r="BJ12" s="33">
        <v>452445.66999999993</v>
      </c>
      <c r="BK12" s="142">
        <f t="shared" si="23"/>
        <v>855902.0399999998</v>
      </c>
      <c r="BL12" s="105">
        <v>0</v>
      </c>
      <c r="BM12" s="33"/>
      <c r="BN12" s="44">
        <v>1176000</v>
      </c>
      <c r="BO12" s="44"/>
      <c r="BP12" s="44"/>
      <c r="BQ12" s="246">
        <v>0</v>
      </c>
      <c r="BR12" s="44">
        <v>133830</v>
      </c>
      <c r="BS12" s="44">
        <v>0</v>
      </c>
      <c r="BT12" s="44"/>
      <c r="BU12" s="44"/>
      <c r="BV12" s="44">
        <v>0</v>
      </c>
      <c r="BW12" s="44"/>
      <c r="BX12" s="44"/>
      <c r="BY12" s="18">
        <v>0</v>
      </c>
      <c r="BZ12" s="18"/>
      <c r="CA12" s="18"/>
      <c r="CB12" s="188"/>
      <c r="CC12" s="18"/>
      <c r="CD12" s="188"/>
      <c r="CE12" s="18">
        <v>728768.78</v>
      </c>
      <c r="CF12" s="18">
        <v>0</v>
      </c>
      <c r="CG12" s="33"/>
      <c r="CH12" s="33"/>
      <c r="CI12" s="33">
        <v>213218.92</v>
      </c>
      <c r="CJ12" s="33">
        <v>38295</v>
      </c>
      <c r="CK12" s="44" t="s">
        <v>133</v>
      </c>
      <c r="CL12" s="44">
        <v>0</v>
      </c>
      <c r="CM12" s="44"/>
      <c r="CN12" s="44"/>
      <c r="CO12" s="18"/>
      <c r="CP12" s="18"/>
      <c r="CQ12" s="18"/>
      <c r="CR12" s="18">
        <v>30000</v>
      </c>
      <c r="CS12" s="18"/>
      <c r="CT12" s="18"/>
      <c r="CU12" s="18"/>
      <c r="CV12" s="255">
        <v>0</v>
      </c>
      <c r="CW12" s="33"/>
      <c r="CX12" s="18">
        <v>0</v>
      </c>
      <c r="CY12" s="18">
        <v>0</v>
      </c>
      <c r="CZ12" s="18">
        <v>0</v>
      </c>
      <c r="DA12" s="18">
        <v>0</v>
      </c>
      <c r="DB12" s="18"/>
      <c r="DC12" s="18">
        <v>0</v>
      </c>
      <c r="DD12" s="18">
        <v>88500</v>
      </c>
      <c r="DE12" s="255">
        <v>0</v>
      </c>
      <c r="DF12" s="18">
        <v>218294.38</v>
      </c>
      <c r="DG12" s="18">
        <v>0</v>
      </c>
      <c r="DH12" s="18">
        <v>0</v>
      </c>
      <c r="DI12" s="18">
        <v>68840</v>
      </c>
      <c r="DJ12" s="18">
        <v>0</v>
      </c>
      <c r="DK12" s="229">
        <v>0</v>
      </c>
      <c r="DL12" s="255"/>
      <c r="DM12" s="18">
        <v>0</v>
      </c>
      <c r="DN12" s="18">
        <v>0</v>
      </c>
      <c r="DO12" s="18"/>
      <c r="DP12" s="229"/>
      <c r="DQ12" s="18">
        <v>66500</v>
      </c>
      <c r="DR12" s="18">
        <v>0</v>
      </c>
      <c r="DS12" s="18">
        <v>0</v>
      </c>
      <c r="DT12" s="18">
        <v>-1000</v>
      </c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76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40">
        <f t="shared" si="0"/>
        <v>1417968.25</v>
      </c>
      <c r="FH12" s="46"/>
      <c r="FI12" s="46"/>
      <c r="FJ12" s="48">
        <v>117110.87</v>
      </c>
      <c r="FK12" s="106"/>
      <c r="FL12" s="33"/>
      <c r="FM12" s="33">
        <v>1300857.3800000001</v>
      </c>
      <c r="FN12" s="225">
        <f t="shared" si="24"/>
        <v>0</v>
      </c>
      <c r="FO12" s="106"/>
      <c r="FP12" s="106"/>
      <c r="FQ12" s="106"/>
      <c r="FR12" s="18">
        <f t="shared" si="25"/>
        <v>0</v>
      </c>
      <c r="FS12" s="106"/>
      <c r="FT12" s="106">
        <v>0</v>
      </c>
      <c r="FU12" s="221"/>
      <c r="FV12" s="106"/>
      <c r="FW12" s="44" t="s">
        <v>133</v>
      </c>
      <c r="FX12" s="38">
        <f t="shared" si="26"/>
        <v>2419931.2999999998</v>
      </c>
      <c r="FY12" s="38"/>
      <c r="FZ12" s="37"/>
      <c r="GA12" s="37"/>
      <c r="GB12" s="84"/>
      <c r="GC12" s="40">
        <f t="shared" si="27"/>
        <v>625324</v>
      </c>
      <c r="GD12" s="104"/>
      <c r="GE12" s="104"/>
      <c r="GF12" s="104"/>
      <c r="GG12" s="104"/>
      <c r="GH12" s="117">
        <f t="shared" si="28"/>
        <v>0</v>
      </c>
      <c r="GI12" s="33">
        <v>625324</v>
      </c>
      <c r="GJ12" s="104"/>
      <c r="GK12" s="250"/>
      <c r="GL12" s="104"/>
      <c r="GM12" s="34"/>
      <c r="GN12" s="34">
        <v>947683.49</v>
      </c>
      <c r="GO12" s="34">
        <v>286200.40999999992</v>
      </c>
      <c r="GP12" s="34">
        <v>98866.140000000014</v>
      </c>
      <c r="GQ12" s="34">
        <v>29857.259999999995</v>
      </c>
      <c r="GR12" s="34">
        <v>0</v>
      </c>
      <c r="GS12" s="47">
        <v>0</v>
      </c>
      <c r="GT12" s="32"/>
      <c r="GU12" s="32"/>
      <c r="GV12" s="18"/>
      <c r="GW12" s="44" t="s">
        <v>133</v>
      </c>
      <c r="GX12" s="34">
        <f t="shared" si="29"/>
        <v>8079674.7299999995</v>
      </c>
      <c r="GY12" s="34">
        <f t="shared" si="30"/>
        <v>30438099.669999998</v>
      </c>
    </row>
    <row r="13" spans="1:209" ht="15.75" customHeight="1">
      <c r="A13" s="18">
        <v>11</v>
      </c>
      <c r="B13" s="45" t="s">
        <v>222</v>
      </c>
      <c r="C13" s="103"/>
      <c r="D13" s="104">
        <f t="shared" si="1"/>
        <v>9716738.7600000016</v>
      </c>
      <c r="E13" s="104">
        <f t="shared" si="2"/>
        <v>0</v>
      </c>
      <c r="F13" s="105"/>
      <c r="G13" s="105">
        <f t="shared" si="31"/>
        <v>0</v>
      </c>
      <c r="H13" s="105">
        <f t="shared" si="32"/>
        <v>0</v>
      </c>
      <c r="I13" s="105">
        <f t="shared" si="3"/>
        <v>36000</v>
      </c>
      <c r="J13" s="105">
        <f t="shared" si="4"/>
        <v>0</v>
      </c>
      <c r="K13" s="105">
        <f t="shared" si="5"/>
        <v>7148</v>
      </c>
      <c r="L13" s="142">
        <f t="shared" si="6"/>
        <v>75.930000000000064</v>
      </c>
      <c r="M13" s="142"/>
      <c r="N13" s="142">
        <f t="shared" si="7"/>
        <v>1297047.8399999999</v>
      </c>
      <c r="O13" s="143">
        <f t="shared" si="8"/>
        <v>11057010.530000001</v>
      </c>
      <c r="P13" s="18"/>
      <c r="Q13" s="142">
        <v>500625</v>
      </c>
      <c r="R13" s="32">
        <v>500625</v>
      </c>
      <c r="S13" s="142">
        <v>16875712</v>
      </c>
      <c r="T13" s="142">
        <v>5096465</v>
      </c>
      <c r="U13" s="55">
        <f t="shared" si="9"/>
        <v>21972177</v>
      </c>
      <c r="V13" s="46"/>
      <c r="W13" s="46"/>
      <c r="X13" s="46">
        <f t="shared" si="10"/>
        <v>0</v>
      </c>
      <c r="Y13" s="196">
        <f t="shared" si="11"/>
        <v>33529812.530000001</v>
      </c>
      <c r="Z13" s="45" t="s">
        <v>134</v>
      </c>
      <c r="AA13" s="106">
        <f t="shared" si="12"/>
        <v>0</v>
      </c>
      <c r="AB13" s="107">
        <f t="shared" si="13"/>
        <v>1396646.33</v>
      </c>
      <c r="AC13" s="188">
        <f t="shared" si="14"/>
        <v>1653057.98</v>
      </c>
      <c r="AD13" s="188">
        <f t="shared" si="15"/>
        <v>499223.20000000024</v>
      </c>
      <c r="AE13" s="34">
        <f t="shared" si="16"/>
        <v>0</v>
      </c>
      <c r="AF13">
        <f t="shared" si="17"/>
        <v>1166345.98</v>
      </c>
      <c r="AG13" s="46">
        <v>225000</v>
      </c>
      <c r="AH13" s="110">
        <f t="shared" si="18"/>
        <v>4940273.49</v>
      </c>
      <c r="AI13" s="111"/>
      <c r="AJ13" s="37">
        <v>0</v>
      </c>
      <c r="AK13" s="18"/>
      <c r="AL13" s="115">
        <f t="shared" si="19"/>
        <v>0</v>
      </c>
      <c r="AM13" s="151"/>
      <c r="AN13" s="113"/>
      <c r="AO13" s="117">
        <f t="shared" si="20"/>
        <v>38470086.020000003</v>
      </c>
      <c r="AP13" s="45" t="s">
        <v>134</v>
      </c>
      <c r="AQ13" s="94"/>
      <c r="AR13" s="45"/>
      <c r="AS13" s="45"/>
      <c r="AT13" s="31">
        <f t="shared" si="21"/>
        <v>0</v>
      </c>
      <c r="AU13" s="45"/>
      <c r="AV13" s="45"/>
      <c r="AW13" s="45">
        <v>24731900</v>
      </c>
      <c r="AX13" s="214">
        <v>44775.65</v>
      </c>
      <c r="AY13" s="31">
        <f t="shared" si="22"/>
        <v>24776675.649999999</v>
      </c>
      <c r="AZ13" s="45" t="s">
        <v>134</v>
      </c>
      <c r="BA13" s="229">
        <v>769921.32000000018</v>
      </c>
      <c r="BB13" s="104">
        <v>0</v>
      </c>
      <c r="BC13" s="105"/>
      <c r="BD13" s="105"/>
      <c r="BE13" s="105"/>
      <c r="BF13" s="33">
        <v>0</v>
      </c>
      <c r="BG13" s="33">
        <v>6614</v>
      </c>
      <c r="BH13" s="33">
        <v>1074.8700000000001</v>
      </c>
      <c r="BI13" s="55"/>
      <c r="BJ13" s="33">
        <v>1297047.8399999999</v>
      </c>
      <c r="BK13" s="142">
        <f t="shared" si="23"/>
        <v>2074658.03</v>
      </c>
      <c r="BL13" s="105">
        <v>0</v>
      </c>
      <c r="BM13" s="33"/>
      <c r="BN13" s="45">
        <v>0</v>
      </c>
      <c r="BO13" s="45"/>
      <c r="BP13" s="45"/>
      <c r="BQ13" s="246">
        <v>79147</v>
      </c>
      <c r="BR13" s="45">
        <v>24121</v>
      </c>
      <c r="BS13" s="45">
        <v>0</v>
      </c>
      <c r="BT13" s="45"/>
      <c r="BU13" s="45"/>
      <c r="BV13" s="45">
        <v>0</v>
      </c>
      <c r="BW13" s="45"/>
      <c r="BX13" s="45"/>
      <c r="BY13" s="18">
        <v>0</v>
      </c>
      <c r="BZ13" s="18"/>
      <c r="CA13" s="18"/>
      <c r="CB13" s="188"/>
      <c r="CC13" s="18"/>
      <c r="CD13" s="188"/>
      <c r="CE13" s="18">
        <v>367898.1</v>
      </c>
      <c r="CF13" s="18">
        <v>0</v>
      </c>
      <c r="CG13" s="33"/>
      <c r="CH13" s="33"/>
      <c r="CI13" s="33">
        <v>0</v>
      </c>
      <c r="CJ13" s="33">
        <v>12895</v>
      </c>
      <c r="CK13" s="45" t="s">
        <v>134</v>
      </c>
      <c r="CL13" s="45">
        <v>25000</v>
      </c>
      <c r="CM13" s="18">
        <v>36000</v>
      </c>
      <c r="CN13" s="45"/>
      <c r="CO13" s="18"/>
      <c r="CP13" s="18"/>
      <c r="CQ13" s="18"/>
      <c r="CR13" s="18">
        <v>30000</v>
      </c>
      <c r="CS13" s="18"/>
      <c r="CT13" s="18"/>
      <c r="CU13" s="18"/>
      <c r="CV13" s="255">
        <v>0</v>
      </c>
      <c r="CW13" s="33"/>
      <c r="CX13" s="18">
        <v>1201576.25</v>
      </c>
      <c r="CY13" s="18">
        <v>0</v>
      </c>
      <c r="CZ13" s="18">
        <v>0</v>
      </c>
      <c r="DA13" s="18">
        <v>0</v>
      </c>
      <c r="DB13" s="18"/>
      <c r="DC13" s="18">
        <v>0</v>
      </c>
      <c r="DD13" s="18">
        <v>89307</v>
      </c>
      <c r="DE13" s="255">
        <v>4812702.79</v>
      </c>
      <c r="DF13" s="18">
        <v>-128078.56</v>
      </c>
      <c r="DG13" s="18">
        <v>0</v>
      </c>
      <c r="DH13" s="18">
        <v>534</v>
      </c>
      <c r="DI13" s="18">
        <v>0</v>
      </c>
      <c r="DJ13" s="18">
        <v>0</v>
      </c>
      <c r="DK13" s="229">
        <v>0</v>
      </c>
      <c r="DL13" s="255"/>
      <c r="DM13" s="18">
        <v>1064304.3400000001</v>
      </c>
      <c r="DN13" s="18">
        <v>1.06</v>
      </c>
      <c r="DO13" s="18"/>
      <c r="DP13" s="229"/>
      <c r="DQ13" s="18">
        <v>0</v>
      </c>
      <c r="DR13" s="18">
        <v>0</v>
      </c>
      <c r="DS13" s="18">
        <v>0</v>
      </c>
      <c r="DT13" s="18">
        <v>-1000</v>
      </c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76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40">
        <f t="shared" si="0"/>
        <v>1367944.5199999998</v>
      </c>
      <c r="FH13" s="46"/>
      <c r="FI13" s="46"/>
      <c r="FJ13" s="33">
        <v>0</v>
      </c>
      <c r="FK13" s="106"/>
      <c r="FL13" s="33"/>
      <c r="FM13" s="33">
        <v>1367944.5199999998</v>
      </c>
      <c r="FN13" s="225">
        <f t="shared" si="24"/>
        <v>0</v>
      </c>
      <c r="FO13" s="106"/>
      <c r="FP13" s="106"/>
      <c r="FQ13" s="106"/>
      <c r="FR13" s="18">
        <f t="shared" si="25"/>
        <v>1166345.98</v>
      </c>
      <c r="FS13" s="106"/>
      <c r="FT13" s="106">
        <f>999000+167345.98</f>
        <v>1166345.98</v>
      </c>
      <c r="FU13" s="221"/>
      <c r="FV13" s="106"/>
      <c r="FW13" s="45" t="s">
        <v>134</v>
      </c>
      <c r="FX13" s="38">
        <f t="shared" si="26"/>
        <v>5165273.49</v>
      </c>
      <c r="FY13" s="38"/>
      <c r="FZ13" s="37"/>
      <c r="GA13" s="37"/>
      <c r="GB13" s="84"/>
      <c r="GC13" s="40">
        <f t="shared" si="27"/>
        <v>1396646.33</v>
      </c>
      <c r="GD13" s="104"/>
      <c r="GE13" s="104"/>
      <c r="GF13" s="104"/>
      <c r="GG13" s="104"/>
      <c r="GH13" s="117">
        <f t="shared" si="28"/>
        <v>0</v>
      </c>
      <c r="GI13" s="33">
        <v>1029313</v>
      </c>
      <c r="GJ13" s="104"/>
      <c r="GK13" s="250">
        <v>367333.33</v>
      </c>
      <c r="GL13" s="104"/>
      <c r="GM13" s="32"/>
      <c r="GN13" s="32">
        <v>1458810.43</v>
      </c>
      <c r="GO13" s="32">
        <v>440560.75000000023</v>
      </c>
      <c r="GP13" s="32">
        <v>174247.55</v>
      </c>
      <c r="GQ13" s="32">
        <v>52622.45</v>
      </c>
      <c r="GR13" s="32">
        <v>20000</v>
      </c>
      <c r="GS13" s="33">
        <v>6040</v>
      </c>
      <c r="GT13" s="32"/>
      <c r="GU13" s="32"/>
      <c r="GV13" s="18"/>
      <c r="GW13" s="45" t="s">
        <v>134</v>
      </c>
      <c r="GX13" s="34">
        <f t="shared" si="29"/>
        <v>12911057.930000002</v>
      </c>
      <c r="GY13" s="34">
        <f t="shared" si="30"/>
        <v>38470086.020000003</v>
      </c>
    </row>
    <row r="14" spans="1:209" ht="26.25" customHeight="1">
      <c r="A14" s="18">
        <v>12</v>
      </c>
      <c r="B14" s="45" t="s">
        <v>135</v>
      </c>
      <c r="C14" s="103"/>
      <c r="D14" s="104">
        <f t="shared" si="1"/>
        <v>6004483.6500000022</v>
      </c>
      <c r="E14" s="104">
        <f t="shared" si="2"/>
        <v>0</v>
      </c>
      <c r="F14" s="105"/>
      <c r="G14" s="105">
        <f t="shared" si="31"/>
        <v>0</v>
      </c>
      <c r="H14" s="105">
        <f t="shared" si="32"/>
        <v>0</v>
      </c>
      <c r="I14" s="105">
        <f t="shared" si="3"/>
        <v>0</v>
      </c>
      <c r="J14" s="105">
        <f t="shared" si="4"/>
        <v>0</v>
      </c>
      <c r="K14" s="105">
        <f t="shared" si="5"/>
        <v>7456</v>
      </c>
      <c r="L14" s="142">
        <f t="shared" si="6"/>
        <v>126.84000000000015</v>
      </c>
      <c r="M14" s="142"/>
      <c r="N14" s="142">
        <f t="shared" si="7"/>
        <v>285554.36000000004</v>
      </c>
      <c r="O14" s="143">
        <f t="shared" si="8"/>
        <v>6297620.8500000024</v>
      </c>
      <c r="P14" s="18"/>
      <c r="Q14" s="142">
        <v>613250</v>
      </c>
      <c r="R14" s="32">
        <v>613250</v>
      </c>
      <c r="S14" s="142">
        <v>16671755</v>
      </c>
      <c r="T14" s="142">
        <v>5034870</v>
      </c>
      <c r="U14" s="55">
        <f t="shared" si="9"/>
        <v>21706625</v>
      </c>
      <c r="V14" s="46"/>
      <c r="W14" s="46"/>
      <c r="X14" s="46">
        <f t="shared" si="10"/>
        <v>0</v>
      </c>
      <c r="Y14" s="196">
        <f t="shared" si="11"/>
        <v>28617495.850000001</v>
      </c>
      <c r="Z14" s="45" t="s">
        <v>135</v>
      </c>
      <c r="AA14" s="106">
        <f t="shared" si="12"/>
        <v>0</v>
      </c>
      <c r="AB14" s="107">
        <f t="shared" si="13"/>
        <v>1452163</v>
      </c>
      <c r="AC14" s="188">
        <f t="shared" si="14"/>
        <v>1885903.25</v>
      </c>
      <c r="AD14" s="188">
        <f t="shared" si="15"/>
        <v>569542.78000000026</v>
      </c>
      <c r="AE14" s="34">
        <f t="shared" si="16"/>
        <v>0</v>
      </c>
      <c r="AF14">
        <f t="shared" si="17"/>
        <v>3026405.21</v>
      </c>
      <c r="AG14" s="46">
        <v>279000</v>
      </c>
      <c r="AH14" s="110">
        <f t="shared" si="18"/>
        <v>7213014.2400000002</v>
      </c>
      <c r="AI14" s="111"/>
      <c r="AJ14" s="37">
        <v>0</v>
      </c>
      <c r="AK14" s="18"/>
      <c r="AL14" s="115">
        <f t="shared" si="19"/>
        <v>0</v>
      </c>
      <c r="AM14" s="151"/>
      <c r="AN14" s="113"/>
      <c r="AO14" s="117">
        <f t="shared" si="20"/>
        <v>35830510.090000004</v>
      </c>
      <c r="AP14" s="45" t="s">
        <v>135</v>
      </c>
      <c r="AQ14" s="94"/>
      <c r="AR14" s="45"/>
      <c r="AS14" s="45"/>
      <c r="AT14" s="31">
        <f t="shared" si="21"/>
        <v>0</v>
      </c>
      <c r="AU14" s="45"/>
      <c r="AV14" s="45"/>
      <c r="AW14" s="45"/>
      <c r="AX14" s="214">
        <v>13209.23</v>
      </c>
      <c r="AY14" s="31">
        <f t="shared" si="22"/>
        <v>13209.23</v>
      </c>
      <c r="AZ14" s="45" t="s">
        <v>135</v>
      </c>
      <c r="BA14" s="229">
        <v>364902.95999999996</v>
      </c>
      <c r="BB14" s="104">
        <v>0</v>
      </c>
      <c r="BC14" s="105"/>
      <c r="BD14" s="105"/>
      <c r="BE14" s="105"/>
      <c r="BF14" s="33">
        <v>0</v>
      </c>
      <c r="BG14" s="33">
        <v>6210</v>
      </c>
      <c r="BH14" s="33">
        <v>1125.96</v>
      </c>
      <c r="BI14" s="55"/>
      <c r="BJ14" s="33">
        <v>255554.36000000004</v>
      </c>
      <c r="BK14" s="142">
        <f t="shared" si="23"/>
        <v>627793.28</v>
      </c>
      <c r="BL14" s="105">
        <v>0</v>
      </c>
      <c r="BM14" s="33"/>
      <c r="BN14" s="45">
        <v>938000</v>
      </c>
      <c r="BO14" s="45"/>
      <c r="BP14" s="45"/>
      <c r="BQ14" s="246">
        <v>0</v>
      </c>
      <c r="BR14" s="45">
        <v>157140</v>
      </c>
      <c r="BS14" s="45">
        <v>0</v>
      </c>
      <c r="BT14" s="45"/>
      <c r="BU14" s="45"/>
      <c r="BV14" s="45">
        <v>0</v>
      </c>
      <c r="BW14" s="45"/>
      <c r="BX14" s="45"/>
      <c r="BY14" s="18">
        <v>0</v>
      </c>
      <c r="BZ14" s="18"/>
      <c r="CA14" s="18"/>
      <c r="CB14" s="188"/>
      <c r="CC14" s="18"/>
      <c r="CD14" s="188"/>
      <c r="CE14" s="18">
        <v>4662625.46</v>
      </c>
      <c r="CF14" s="18">
        <v>0</v>
      </c>
      <c r="CG14" s="33"/>
      <c r="CH14" s="33"/>
      <c r="CI14" s="33">
        <v>0</v>
      </c>
      <c r="CJ14" s="33">
        <v>-3940037.26</v>
      </c>
      <c r="CK14" s="45" t="s">
        <v>135</v>
      </c>
      <c r="CL14" s="45">
        <v>137607</v>
      </c>
      <c r="CM14" s="45"/>
      <c r="CN14" s="45"/>
      <c r="CO14" s="18"/>
      <c r="CP14" s="18"/>
      <c r="CQ14" s="18"/>
      <c r="CR14" s="18">
        <v>198009.38</v>
      </c>
      <c r="CS14" s="18"/>
      <c r="CT14" s="18"/>
      <c r="CU14" s="18"/>
      <c r="CV14" s="255">
        <v>0</v>
      </c>
      <c r="CW14" s="33"/>
      <c r="CX14" s="18">
        <v>0</v>
      </c>
      <c r="CY14" s="18">
        <v>0</v>
      </c>
      <c r="CZ14" s="18">
        <v>0</v>
      </c>
      <c r="DA14" s="18">
        <v>0</v>
      </c>
      <c r="DB14" s="18"/>
      <c r="DC14" s="18">
        <v>0</v>
      </c>
      <c r="DD14" s="18">
        <v>105155</v>
      </c>
      <c r="DE14" s="255">
        <v>0</v>
      </c>
      <c r="DF14" s="18">
        <v>54000</v>
      </c>
      <c r="DG14" s="18">
        <v>0</v>
      </c>
      <c r="DH14" s="18">
        <v>1246</v>
      </c>
      <c r="DI14" s="18">
        <v>48000</v>
      </c>
      <c r="DJ14" s="18">
        <v>30000</v>
      </c>
      <c r="DK14" s="229">
        <v>0</v>
      </c>
      <c r="DL14" s="255"/>
      <c r="DM14" s="18">
        <v>0</v>
      </c>
      <c r="DN14" s="18">
        <v>0.88</v>
      </c>
      <c r="DO14" s="18"/>
      <c r="DP14" s="229"/>
      <c r="DQ14" s="18">
        <v>61200</v>
      </c>
      <c r="DR14" s="18">
        <v>0</v>
      </c>
      <c r="DS14" s="18">
        <v>0</v>
      </c>
      <c r="DT14" s="18">
        <v>-1000</v>
      </c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76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40">
        <f t="shared" si="0"/>
        <v>3217881.1100000003</v>
      </c>
      <c r="FH14" s="46"/>
      <c r="FI14" s="46"/>
      <c r="FJ14" s="33">
        <v>289423.34999999998</v>
      </c>
      <c r="FK14" s="106"/>
      <c r="FL14" s="33"/>
      <c r="FM14" s="33">
        <v>2928457.7600000002</v>
      </c>
      <c r="FN14" s="225">
        <f t="shared" si="24"/>
        <v>0</v>
      </c>
      <c r="FO14" s="106"/>
      <c r="FP14" s="106"/>
      <c r="FQ14" s="106"/>
      <c r="FR14" s="18">
        <f t="shared" si="25"/>
        <v>3026405.21</v>
      </c>
      <c r="FS14" s="106"/>
      <c r="FT14" s="106">
        <v>3026405.21</v>
      </c>
      <c r="FU14" s="221"/>
      <c r="FV14" s="106"/>
      <c r="FW14" s="45" t="s">
        <v>135</v>
      </c>
      <c r="FX14" s="38">
        <f t="shared" si="26"/>
        <v>7492014.2400000002</v>
      </c>
      <c r="FY14" s="38"/>
      <c r="FZ14" s="37"/>
      <c r="GA14" s="37"/>
      <c r="GB14" s="84"/>
      <c r="GC14" s="40">
        <f t="shared" si="27"/>
        <v>1452163</v>
      </c>
      <c r="GD14" s="104"/>
      <c r="GE14" s="104"/>
      <c r="GF14" s="104"/>
      <c r="GG14" s="104"/>
      <c r="GH14" s="117">
        <f t="shared" si="28"/>
        <v>0</v>
      </c>
      <c r="GI14" s="33">
        <v>1328913</v>
      </c>
      <c r="GJ14" s="104"/>
      <c r="GK14" s="250">
        <v>123250</v>
      </c>
      <c r="GL14" s="104"/>
      <c r="GM14" s="32"/>
      <c r="GN14" s="32">
        <v>1885903.25</v>
      </c>
      <c r="GO14" s="32">
        <v>569542.78000000026</v>
      </c>
      <c r="GP14" s="32">
        <v>0</v>
      </c>
      <c r="GQ14" s="32">
        <v>0</v>
      </c>
      <c r="GR14" s="32">
        <v>0</v>
      </c>
      <c r="GS14" s="33">
        <v>0</v>
      </c>
      <c r="GT14" s="32"/>
      <c r="GU14" s="32"/>
      <c r="GV14" s="18"/>
      <c r="GW14" s="45" t="s">
        <v>135</v>
      </c>
      <c r="GX14" s="34">
        <f t="shared" si="29"/>
        <v>8355451.0100000026</v>
      </c>
      <c r="GY14" s="34">
        <f t="shared" si="30"/>
        <v>35830510.090000004</v>
      </c>
    </row>
    <row r="15" spans="1:209" ht="15.75" customHeight="1">
      <c r="A15" s="18">
        <v>13</v>
      </c>
      <c r="B15" s="45" t="s">
        <v>136</v>
      </c>
      <c r="C15" s="103"/>
      <c r="D15" s="104">
        <f t="shared" si="1"/>
        <v>7693472.2000000002</v>
      </c>
      <c r="E15" s="104">
        <f t="shared" si="2"/>
        <v>0</v>
      </c>
      <c r="F15" s="105"/>
      <c r="G15" s="105">
        <f t="shared" si="31"/>
        <v>0</v>
      </c>
      <c r="H15" s="105">
        <f t="shared" si="32"/>
        <v>0</v>
      </c>
      <c r="I15" s="105">
        <f t="shared" si="3"/>
        <v>0</v>
      </c>
      <c r="J15" s="105">
        <f t="shared" si="4"/>
        <v>9960</v>
      </c>
      <c r="K15" s="105">
        <f t="shared" si="5"/>
        <v>7148</v>
      </c>
      <c r="L15" s="142">
        <f t="shared" si="6"/>
        <v>0</v>
      </c>
      <c r="M15" s="142"/>
      <c r="N15" s="142">
        <f t="shared" si="7"/>
        <v>2428333.36</v>
      </c>
      <c r="O15" s="143">
        <f t="shared" si="8"/>
        <v>10138913.560000001</v>
      </c>
      <c r="P15" s="18"/>
      <c r="Q15" s="142">
        <v>1035375</v>
      </c>
      <c r="R15" s="32">
        <v>1035375</v>
      </c>
      <c r="S15" s="142">
        <v>21216889</v>
      </c>
      <c r="T15" s="142">
        <v>6407501</v>
      </c>
      <c r="U15" s="55">
        <f t="shared" si="9"/>
        <v>27624390</v>
      </c>
      <c r="V15" s="46"/>
      <c r="W15" s="46"/>
      <c r="X15" s="46">
        <f t="shared" si="10"/>
        <v>0</v>
      </c>
      <c r="Y15" s="196">
        <f t="shared" si="11"/>
        <v>38798678.560000002</v>
      </c>
      <c r="Z15" s="45" t="s">
        <v>136</v>
      </c>
      <c r="AA15" s="106">
        <f t="shared" si="12"/>
        <v>0</v>
      </c>
      <c r="AB15" s="107">
        <f t="shared" si="13"/>
        <v>1608719.09</v>
      </c>
      <c r="AC15" s="188">
        <f t="shared" si="14"/>
        <v>1807313.76</v>
      </c>
      <c r="AD15" s="188">
        <f t="shared" si="15"/>
        <v>545808.43999999994</v>
      </c>
      <c r="AE15" s="34">
        <f t="shared" si="16"/>
        <v>0</v>
      </c>
      <c r="AF15">
        <f t="shared" si="17"/>
        <v>380000</v>
      </c>
      <c r="AG15" s="46">
        <v>252000</v>
      </c>
      <c r="AH15" s="110">
        <f t="shared" si="18"/>
        <v>4593841.29</v>
      </c>
      <c r="AI15" s="111"/>
      <c r="AJ15" s="37">
        <v>2735390</v>
      </c>
      <c r="AK15" s="18"/>
      <c r="AL15" s="115">
        <f t="shared" si="19"/>
        <v>2735390</v>
      </c>
      <c r="AM15" s="151"/>
      <c r="AN15" s="113"/>
      <c r="AO15" s="117">
        <f t="shared" si="20"/>
        <v>46127909.850000001</v>
      </c>
      <c r="AP15" s="45" t="s">
        <v>136</v>
      </c>
      <c r="AQ15" s="94"/>
      <c r="AR15" s="45"/>
      <c r="AS15" s="45"/>
      <c r="AT15" s="31">
        <f t="shared" si="21"/>
        <v>0</v>
      </c>
      <c r="AU15" s="45"/>
      <c r="AV15" s="45"/>
      <c r="AW15" s="214"/>
      <c r="AX15" s="214">
        <v>135514.97</v>
      </c>
      <c r="AY15" s="31">
        <f t="shared" si="22"/>
        <v>135514.97</v>
      </c>
      <c r="AZ15" s="45" t="s">
        <v>136</v>
      </c>
      <c r="BA15" s="229">
        <v>435759.12999999995</v>
      </c>
      <c r="BB15" s="104">
        <v>0</v>
      </c>
      <c r="BC15" s="105"/>
      <c r="BD15" s="105"/>
      <c r="BE15" s="105"/>
      <c r="BF15" s="33">
        <v>7537</v>
      </c>
      <c r="BG15" s="33">
        <v>5902</v>
      </c>
      <c r="BH15" s="33">
        <v>1000</v>
      </c>
      <c r="BI15" s="55"/>
      <c r="BJ15" s="33">
        <v>2378333.36</v>
      </c>
      <c r="BK15" s="142">
        <f t="shared" si="23"/>
        <v>2828531.4899999998</v>
      </c>
      <c r="BL15" s="105">
        <v>0</v>
      </c>
      <c r="BM15" s="33"/>
      <c r="BN15" s="45">
        <v>0</v>
      </c>
      <c r="BO15" s="45"/>
      <c r="BP15" s="45"/>
      <c r="BQ15" s="246">
        <v>0</v>
      </c>
      <c r="BR15" s="45">
        <v>0</v>
      </c>
      <c r="BS15" s="45">
        <v>0</v>
      </c>
      <c r="BT15" s="45"/>
      <c r="BU15" s="45"/>
      <c r="BV15" s="45">
        <v>0</v>
      </c>
      <c r="BW15" s="45"/>
      <c r="BX15" s="45"/>
      <c r="BY15" s="18">
        <v>0</v>
      </c>
      <c r="BZ15" s="18"/>
      <c r="CA15" s="18"/>
      <c r="CB15" s="188"/>
      <c r="CC15" s="18"/>
      <c r="CD15" s="188"/>
      <c r="CE15" s="18">
        <v>365254.72</v>
      </c>
      <c r="CF15" s="18">
        <v>0</v>
      </c>
      <c r="CG15" s="33"/>
      <c r="CH15" s="33"/>
      <c r="CI15" s="33">
        <v>36000</v>
      </c>
      <c r="CJ15" s="33">
        <v>137145</v>
      </c>
      <c r="CK15" s="45" t="s">
        <v>136</v>
      </c>
      <c r="CL15" s="45">
        <v>82550</v>
      </c>
      <c r="CM15" s="45"/>
      <c r="CN15" s="45"/>
      <c r="CO15" s="18"/>
      <c r="CP15" s="18"/>
      <c r="CQ15" s="18"/>
      <c r="CR15" s="18">
        <v>65100</v>
      </c>
      <c r="CS15" s="18"/>
      <c r="CT15" s="18"/>
      <c r="CU15" s="18"/>
      <c r="CV15" s="255">
        <v>34000</v>
      </c>
      <c r="CW15" s="33"/>
      <c r="CX15" s="18">
        <v>1684227.22</v>
      </c>
      <c r="CY15" s="18">
        <v>0</v>
      </c>
      <c r="CZ15" s="18">
        <v>0</v>
      </c>
      <c r="DA15" s="18">
        <v>0</v>
      </c>
      <c r="DB15" s="18"/>
      <c r="DC15" s="18">
        <v>0</v>
      </c>
      <c r="DD15" s="18">
        <v>83100</v>
      </c>
      <c r="DE15" s="255">
        <v>0</v>
      </c>
      <c r="DF15" s="18">
        <v>2604308.1199999996</v>
      </c>
      <c r="DG15" s="18">
        <v>0</v>
      </c>
      <c r="DH15" s="18">
        <v>1246</v>
      </c>
      <c r="DI15" s="18">
        <v>25000</v>
      </c>
      <c r="DJ15" s="18">
        <v>0</v>
      </c>
      <c r="DK15" s="229">
        <v>2423</v>
      </c>
      <c r="DL15" s="255"/>
      <c r="DM15" s="18">
        <v>-61585.35</v>
      </c>
      <c r="DN15" s="18">
        <v>0</v>
      </c>
      <c r="DO15" s="18"/>
      <c r="DP15" s="229"/>
      <c r="DQ15" s="18">
        <v>129800</v>
      </c>
      <c r="DR15" s="18">
        <v>50000</v>
      </c>
      <c r="DS15" s="18">
        <v>0</v>
      </c>
      <c r="DT15" s="18">
        <v>-1000</v>
      </c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76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40">
        <f t="shared" si="0"/>
        <v>2072813.36</v>
      </c>
      <c r="FH15" s="46"/>
      <c r="FI15" s="46"/>
      <c r="FJ15" s="33">
        <v>0</v>
      </c>
      <c r="FK15" s="106"/>
      <c r="FL15" s="33"/>
      <c r="FM15" s="33">
        <v>2072813.36</v>
      </c>
      <c r="FN15" s="225">
        <f t="shared" si="24"/>
        <v>0</v>
      </c>
      <c r="FO15" s="106"/>
      <c r="FP15" s="106"/>
      <c r="FQ15" s="106"/>
      <c r="FR15" s="18">
        <f t="shared" si="25"/>
        <v>380000</v>
      </c>
      <c r="FS15" s="106"/>
      <c r="FT15" s="106">
        <v>380000</v>
      </c>
      <c r="FU15" s="221"/>
      <c r="FV15" s="106"/>
      <c r="FW15" s="45" t="s">
        <v>136</v>
      </c>
      <c r="FX15" s="38">
        <f t="shared" si="26"/>
        <v>4845841.29</v>
      </c>
      <c r="FY15" s="38"/>
      <c r="FZ15" s="37"/>
      <c r="GA15" s="37"/>
      <c r="GB15" s="84"/>
      <c r="GC15" s="40">
        <f t="shared" si="27"/>
        <v>1608719.09</v>
      </c>
      <c r="GD15" s="104"/>
      <c r="GE15" s="104"/>
      <c r="GF15" s="104"/>
      <c r="GG15" s="104"/>
      <c r="GH15" s="117">
        <f t="shared" si="28"/>
        <v>0</v>
      </c>
      <c r="GI15" s="33">
        <v>1273595</v>
      </c>
      <c r="GJ15" s="104"/>
      <c r="GK15" s="250">
        <v>335124.09000000003</v>
      </c>
      <c r="GL15" s="104"/>
      <c r="GM15" s="32"/>
      <c r="GN15" s="32">
        <v>1593963.29</v>
      </c>
      <c r="GO15" s="32">
        <v>481376.90999999992</v>
      </c>
      <c r="GP15" s="32">
        <v>193350.47</v>
      </c>
      <c r="GQ15" s="32">
        <v>58391.53</v>
      </c>
      <c r="GR15" s="32">
        <v>20000</v>
      </c>
      <c r="GS15" s="33">
        <v>6040</v>
      </c>
      <c r="GT15" s="32"/>
      <c r="GU15" s="32"/>
      <c r="GV15" s="18"/>
      <c r="GW15" s="45" t="s">
        <v>136</v>
      </c>
      <c r="GX15" s="34">
        <f t="shared" si="29"/>
        <v>15501289.65</v>
      </c>
      <c r="GY15" s="34">
        <f t="shared" si="30"/>
        <v>46127909.850000001</v>
      </c>
    </row>
    <row r="16" spans="1:209" ht="14.25" customHeight="1">
      <c r="A16" s="18">
        <v>14</v>
      </c>
      <c r="B16" s="45" t="s">
        <v>137</v>
      </c>
      <c r="C16" s="103"/>
      <c r="D16" s="104">
        <f t="shared" si="1"/>
        <v>5954397.1499999994</v>
      </c>
      <c r="E16" s="104">
        <f t="shared" si="2"/>
        <v>0</v>
      </c>
      <c r="F16" s="105"/>
      <c r="G16" s="105">
        <f t="shared" si="31"/>
        <v>0</v>
      </c>
      <c r="H16" s="105">
        <f t="shared" si="32"/>
        <v>0</v>
      </c>
      <c r="I16" s="105">
        <f t="shared" si="3"/>
        <v>0</v>
      </c>
      <c r="J16" s="105">
        <f t="shared" si="4"/>
        <v>0</v>
      </c>
      <c r="K16" s="105">
        <f t="shared" si="5"/>
        <v>7838</v>
      </c>
      <c r="L16" s="142">
        <f t="shared" si="6"/>
        <v>0</v>
      </c>
      <c r="M16" s="142"/>
      <c r="N16" s="142">
        <f t="shared" si="7"/>
        <v>1030704.2499999999</v>
      </c>
      <c r="O16" s="143">
        <f t="shared" si="8"/>
        <v>6992939.3999999994</v>
      </c>
      <c r="P16" s="18"/>
      <c r="Q16" s="142">
        <v>461125</v>
      </c>
      <c r="R16" s="32">
        <v>461125</v>
      </c>
      <c r="S16" s="142">
        <v>13922361</v>
      </c>
      <c r="T16" s="142">
        <v>4204553</v>
      </c>
      <c r="U16" s="55">
        <f t="shared" si="9"/>
        <v>18126914</v>
      </c>
      <c r="V16" s="46"/>
      <c r="W16" s="46"/>
      <c r="X16" s="46">
        <f t="shared" si="10"/>
        <v>0</v>
      </c>
      <c r="Y16" s="196">
        <f t="shared" si="11"/>
        <v>25580978.399999999</v>
      </c>
      <c r="Z16" s="45" t="s">
        <v>137</v>
      </c>
      <c r="AA16" s="106">
        <f t="shared" si="12"/>
        <v>0</v>
      </c>
      <c r="AB16" s="107">
        <f t="shared" si="13"/>
        <v>1479525.33</v>
      </c>
      <c r="AC16" s="188">
        <f t="shared" si="14"/>
        <v>1371116.68</v>
      </c>
      <c r="AD16" s="188">
        <f t="shared" si="15"/>
        <v>414076.93000000011</v>
      </c>
      <c r="AE16" s="34">
        <f t="shared" si="16"/>
        <v>0</v>
      </c>
      <c r="AF16">
        <f t="shared" si="17"/>
        <v>0</v>
      </c>
      <c r="AG16" s="46">
        <v>216000</v>
      </c>
      <c r="AH16" s="110">
        <f t="shared" si="18"/>
        <v>3480718.94</v>
      </c>
      <c r="AI16" s="111"/>
      <c r="AJ16" s="37">
        <v>50000</v>
      </c>
      <c r="AK16" s="18"/>
      <c r="AL16" s="115">
        <f t="shared" si="19"/>
        <v>50000</v>
      </c>
      <c r="AM16" s="151"/>
      <c r="AN16" s="113"/>
      <c r="AO16" s="117">
        <f t="shared" si="20"/>
        <v>29111697.34</v>
      </c>
      <c r="AP16" s="45" t="s">
        <v>137</v>
      </c>
      <c r="AQ16" s="157"/>
      <c r="AR16" s="45"/>
      <c r="AS16" s="45"/>
      <c r="AT16" s="31">
        <f t="shared" si="21"/>
        <v>0</v>
      </c>
      <c r="AU16" s="45"/>
      <c r="AV16" s="45"/>
      <c r="AW16" s="45"/>
      <c r="AX16" s="214">
        <v>25386.14</v>
      </c>
      <c r="AY16" s="31">
        <f t="shared" si="22"/>
        <v>25386.14</v>
      </c>
      <c r="AZ16" s="45" t="s">
        <v>137</v>
      </c>
      <c r="BA16" s="229">
        <v>363055.95999999996</v>
      </c>
      <c r="BB16" s="104">
        <v>0</v>
      </c>
      <c r="BC16" s="105"/>
      <c r="BD16" s="105"/>
      <c r="BE16" s="105"/>
      <c r="BF16" s="33">
        <v>0</v>
      </c>
      <c r="BG16" s="33">
        <v>6058</v>
      </c>
      <c r="BH16" s="33">
        <v>1000</v>
      </c>
      <c r="BI16" s="55"/>
      <c r="BJ16" s="33">
        <v>820704.24999999988</v>
      </c>
      <c r="BK16" s="142">
        <f t="shared" si="23"/>
        <v>1190818.21</v>
      </c>
      <c r="BL16" s="105">
        <v>75104.759999999995</v>
      </c>
      <c r="BM16" s="33"/>
      <c r="BN16" s="45">
        <v>0</v>
      </c>
      <c r="BO16" s="45"/>
      <c r="BP16" s="45"/>
      <c r="BQ16" s="246">
        <v>0</v>
      </c>
      <c r="BR16" s="45">
        <v>0</v>
      </c>
      <c r="BS16" s="45">
        <v>0</v>
      </c>
      <c r="BT16" s="45"/>
      <c r="BU16" s="45"/>
      <c r="BV16" s="45">
        <v>1199804.8600000001</v>
      </c>
      <c r="BW16" s="45"/>
      <c r="BX16" s="45"/>
      <c r="BY16" s="18">
        <v>0</v>
      </c>
      <c r="BZ16" s="18"/>
      <c r="CA16" s="18"/>
      <c r="CB16" s="188"/>
      <c r="CC16" s="18"/>
      <c r="CD16" s="188"/>
      <c r="CE16" s="18">
        <v>1377676.4</v>
      </c>
      <c r="CF16" s="18">
        <v>0</v>
      </c>
      <c r="CG16" s="33"/>
      <c r="CH16" s="33"/>
      <c r="CI16" s="33">
        <v>0</v>
      </c>
      <c r="CJ16" s="33">
        <v>0</v>
      </c>
      <c r="CK16" s="45" t="s">
        <v>137</v>
      </c>
      <c r="CL16" s="45">
        <v>0</v>
      </c>
      <c r="CM16" s="45"/>
      <c r="CN16" s="45"/>
      <c r="CO16" s="18"/>
      <c r="CP16" s="18"/>
      <c r="CQ16" s="18"/>
      <c r="CR16" s="18">
        <v>30000</v>
      </c>
      <c r="CS16" s="18"/>
      <c r="CT16" s="18"/>
      <c r="CU16" s="18"/>
      <c r="CV16" s="255">
        <v>0</v>
      </c>
      <c r="CW16" s="33"/>
      <c r="CX16" s="18">
        <v>514752.76</v>
      </c>
      <c r="CY16" s="18">
        <v>0</v>
      </c>
      <c r="CZ16" s="18">
        <v>0</v>
      </c>
      <c r="DA16" s="18">
        <v>0</v>
      </c>
      <c r="DB16" s="18"/>
      <c r="DC16" s="18">
        <v>460471.36</v>
      </c>
      <c r="DD16" s="18">
        <v>129700</v>
      </c>
      <c r="DE16" s="255">
        <v>0</v>
      </c>
      <c r="DF16" s="18">
        <v>-51475.76</v>
      </c>
      <c r="DG16" s="18">
        <v>0</v>
      </c>
      <c r="DH16" s="18">
        <v>1780</v>
      </c>
      <c r="DI16" s="18">
        <v>0</v>
      </c>
      <c r="DJ16" s="18">
        <v>0</v>
      </c>
      <c r="DK16" s="229">
        <v>0</v>
      </c>
      <c r="DL16" s="255"/>
      <c r="DM16" s="18">
        <v>0</v>
      </c>
      <c r="DN16" s="18">
        <v>0</v>
      </c>
      <c r="DO16" s="18"/>
      <c r="DP16" s="229"/>
      <c r="DQ16" s="18">
        <v>103250</v>
      </c>
      <c r="DR16" s="18">
        <v>210000</v>
      </c>
      <c r="DS16" s="18">
        <v>0</v>
      </c>
      <c r="DT16" s="18">
        <v>-1000</v>
      </c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76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40">
        <f t="shared" si="0"/>
        <v>1752056.8099999998</v>
      </c>
      <c r="FH16" s="46"/>
      <c r="FI16" s="46"/>
      <c r="FJ16" s="144">
        <v>290888.28999999998</v>
      </c>
      <c r="FK16" s="184"/>
      <c r="FL16" s="33"/>
      <c r="FM16" s="33">
        <v>1461168.5199999998</v>
      </c>
      <c r="FN16" s="225">
        <f t="shared" si="24"/>
        <v>0</v>
      </c>
      <c r="FO16" s="106"/>
      <c r="FP16" s="184"/>
      <c r="FQ16" s="184"/>
      <c r="FR16" s="18">
        <f t="shared" si="25"/>
        <v>0</v>
      </c>
      <c r="FS16" s="184"/>
      <c r="FT16" s="184">
        <v>0</v>
      </c>
      <c r="FU16" s="222"/>
      <c r="FV16" s="184"/>
      <c r="FW16" s="45" t="s">
        <v>137</v>
      </c>
      <c r="FX16" s="38">
        <f t="shared" si="26"/>
        <v>3696718.94</v>
      </c>
      <c r="FY16" s="38"/>
      <c r="FZ16" s="37"/>
      <c r="GA16" s="37"/>
      <c r="GB16" s="84"/>
      <c r="GC16" s="40">
        <f t="shared" si="27"/>
        <v>1479525.33</v>
      </c>
      <c r="GD16" s="104"/>
      <c r="GE16" s="104"/>
      <c r="GF16" s="104"/>
      <c r="GG16" s="104"/>
      <c r="GH16" s="117">
        <f t="shared" si="28"/>
        <v>0</v>
      </c>
      <c r="GI16" s="33">
        <v>1108952</v>
      </c>
      <c r="GJ16" s="104"/>
      <c r="GK16" s="250">
        <v>370573.33</v>
      </c>
      <c r="GL16" s="104"/>
      <c r="GM16" s="32"/>
      <c r="GN16" s="32">
        <v>1155799.24</v>
      </c>
      <c r="GO16" s="32">
        <v>349051.37000000011</v>
      </c>
      <c r="GP16" s="32">
        <v>195317.44</v>
      </c>
      <c r="GQ16" s="32">
        <v>58985.56</v>
      </c>
      <c r="GR16" s="32">
        <v>20000</v>
      </c>
      <c r="GS16" s="33">
        <v>6040</v>
      </c>
      <c r="GT16" s="32"/>
      <c r="GU16" s="32"/>
      <c r="GV16" s="18"/>
      <c r="GW16" s="45" t="s">
        <v>137</v>
      </c>
      <c r="GX16" s="34">
        <f t="shared" si="29"/>
        <v>8975751.7300000004</v>
      </c>
      <c r="GY16" s="34">
        <f t="shared" si="30"/>
        <v>29111697.34</v>
      </c>
    </row>
    <row r="17" spans="1:207" ht="15" customHeight="1">
      <c r="A17" s="18">
        <v>15</v>
      </c>
      <c r="B17" s="45" t="s">
        <v>138</v>
      </c>
      <c r="C17" s="103"/>
      <c r="D17" s="104">
        <f t="shared" si="1"/>
        <v>5047838.7999999989</v>
      </c>
      <c r="E17" s="104">
        <f t="shared" si="2"/>
        <v>0</v>
      </c>
      <c r="F17" s="105"/>
      <c r="G17" s="105">
        <f t="shared" si="31"/>
        <v>0</v>
      </c>
      <c r="H17" s="105">
        <f t="shared" si="32"/>
        <v>0</v>
      </c>
      <c r="I17" s="105">
        <f t="shared" si="3"/>
        <v>0</v>
      </c>
      <c r="J17" s="105">
        <f t="shared" si="4"/>
        <v>0</v>
      </c>
      <c r="K17" s="105">
        <f t="shared" si="5"/>
        <v>8426</v>
      </c>
      <c r="L17" s="142">
        <f t="shared" si="6"/>
        <v>0</v>
      </c>
      <c r="M17" s="142"/>
      <c r="N17" s="142">
        <f t="shared" si="7"/>
        <v>1544642.0199999998</v>
      </c>
      <c r="O17" s="143">
        <f t="shared" si="8"/>
        <v>6600906.8199999984</v>
      </c>
      <c r="P17" s="18"/>
      <c r="Q17" s="142">
        <v>677250</v>
      </c>
      <c r="R17" s="32">
        <v>677250</v>
      </c>
      <c r="S17" s="142">
        <v>18480877</v>
      </c>
      <c r="T17" s="142">
        <v>5581225</v>
      </c>
      <c r="U17" s="55">
        <f t="shared" si="9"/>
        <v>24062102</v>
      </c>
      <c r="V17" s="46"/>
      <c r="W17" s="46"/>
      <c r="X17" s="46">
        <f t="shared" si="10"/>
        <v>0</v>
      </c>
      <c r="Y17" s="196">
        <f t="shared" si="11"/>
        <v>31340258.82</v>
      </c>
      <c r="Z17" s="45" t="s">
        <v>138</v>
      </c>
      <c r="AA17" s="106">
        <f t="shared" si="12"/>
        <v>0</v>
      </c>
      <c r="AB17" s="107">
        <f t="shared" si="13"/>
        <v>1579428.32</v>
      </c>
      <c r="AC17" s="188">
        <f t="shared" si="14"/>
        <v>2175694.96</v>
      </c>
      <c r="AD17" s="188">
        <f t="shared" si="15"/>
        <v>657059.56999999983</v>
      </c>
      <c r="AE17" s="34">
        <f t="shared" si="16"/>
        <v>0</v>
      </c>
      <c r="AF17">
        <f t="shared" si="17"/>
        <v>0</v>
      </c>
      <c r="AG17" s="46">
        <v>279000</v>
      </c>
      <c r="AH17" s="110">
        <f t="shared" si="18"/>
        <v>4691182.8499999996</v>
      </c>
      <c r="AI17" s="111"/>
      <c r="AJ17" s="37">
        <v>0</v>
      </c>
      <c r="AK17" s="18">
        <v>29000</v>
      </c>
      <c r="AL17" s="115">
        <f t="shared" si="19"/>
        <v>29000</v>
      </c>
      <c r="AM17" s="151"/>
      <c r="AN17" s="113"/>
      <c r="AO17" s="117">
        <f t="shared" si="20"/>
        <v>36060441.670000002</v>
      </c>
      <c r="AP17" s="44" t="s">
        <v>138</v>
      </c>
      <c r="AQ17" s="158"/>
      <c r="AR17" s="44"/>
      <c r="AS17" s="44"/>
      <c r="AT17" s="31">
        <f t="shared" si="21"/>
        <v>0</v>
      </c>
      <c r="AU17" s="44"/>
      <c r="AV17" s="44"/>
      <c r="AW17" s="44"/>
      <c r="AX17" s="214">
        <v>225923.04</v>
      </c>
      <c r="AY17" s="31">
        <f t="shared" si="22"/>
        <v>225923.04</v>
      </c>
      <c r="AZ17" s="44" t="s">
        <v>138</v>
      </c>
      <c r="BA17" s="229">
        <v>359619.11</v>
      </c>
      <c r="BB17" s="104">
        <v>0</v>
      </c>
      <c r="BC17" s="105"/>
      <c r="BD17" s="105"/>
      <c r="BE17" s="105"/>
      <c r="BF17" s="33">
        <v>0</v>
      </c>
      <c r="BG17" s="33">
        <v>8426</v>
      </c>
      <c r="BH17" s="33">
        <v>1000</v>
      </c>
      <c r="BI17" s="55"/>
      <c r="BJ17" s="33">
        <v>1544642.0199999998</v>
      </c>
      <c r="BK17" s="142">
        <f t="shared" si="23"/>
        <v>1913687.13</v>
      </c>
      <c r="BL17" s="105">
        <v>0</v>
      </c>
      <c r="BM17" s="33"/>
      <c r="BN17" s="44">
        <v>0</v>
      </c>
      <c r="BO17" s="44"/>
      <c r="BP17" s="44"/>
      <c r="BQ17" s="246">
        <v>0</v>
      </c>
      <c r="BR17" s="44">
        <v>43132</v>
      </c>
      <c r="BS17" s="44">
        <v>0</v>
      </c>
      <c r="BT17" s="44"/>
      <c r="BU17" s="44"/>
      <c r="BV17" s="44">
        <v>0</v>
      </c>
      <c r="BW17" s="44"/>
      <c r="BX17" s="44"/>
      <c r="BY17" s="18">
        <v>0</v>
      </c>
      <c r="BZ17" s="18"/>
      <c r="CA17" s="18"/>
      <c r="CB17" s="188"/>
      <c r="CC17" s="18"/>
      <c r="CD17" s="188"/>
      <c r="CE17" s="18">
        <v>495276.79999999999</v>
      </c>
      <c r="CF17" s="18">
        <v>0</v>
      </c>
      <c r="CG17" s="33"/>
      <c r="CH17" s="33"/>
      <c r="CI17" s="33">
        <v>48000</v>
      </c>
      <c r="CJ17" s="33">
        <v>38295</v>
      </c>
      <c r="CK17" s="44" t="s">
        <v>138</v>
      </c>
      <c r="CL17" s="44">
        <v>93460</v>
      </c>
      <c r="CM17" s="44"/>
      <c r="CN17" s="44"/>
      <c r="CO17" s="18"/>
      <c r="CP17" s="18"/>
      <c r="CQ17" s="18"/>
      <c r="CR17" s="18">
        <v>30000</v>
      </c>
      <c r="CS17" s="18"/>
      <c r="CT17" s="18"/>
      <c r="CU17" s="18"/>
      <c r="CV17" s="255">
        <v>0</v>
      </c>
      <c r="CW17" s="33"/>
      <c r="CX17" s="18">
        <v>583817.18999999994</v>
      </c>
      <c r="CY17" s="18">
        <v>21024.799999999999</v>
      </c>
      <c r="CZ17" s="18">
        <v>0</v>
      </c>
      <c r="DA17" s="18">
        <v>0</v>
      </c>
      <c r="DB17" s="18"/>
      <c r="DC17" s="18">
        <v>0</v>
      </c>
      <c r="DD17" s="18">
        <v>148100</v>
      </c>
      <c r="DE17" s="255">
        <v>0</v>
      </c>
      <c r="DF17" s="18">
        <v>-23140.190000000002</v>
      </c>
      <c r="DG17" s="18">
        <v>0</v>
      </c>
      <c r="DH17" s="18">
        <v>0</v>
      </c>
      <c r="DI17" s="18">
        <v>0</v>
      </c>
      <c r="DJ17" s="18">
        <v>0</v>
      </c>
      <c r="DK17" s="229">
        <v>0</v>
      </c>
      <c r="DL17" s="255"/>
      <c r="DM17" s="18">
        <v>28306.26</v>
      </c>
      <c r="DN17" s="18">
        <v>0</v>
      </c>
      <c r="DO17" s="18"/>
      <c r="DP17" s="229"/>
      <c r="DQ17" s="18">
        <v>180650</v>
      </c>
      <c r="DR17" s="18">
        <v>0</v>
      </c>
      <c r="DS17" s="18">
        <v>0</v>
      </c>
      <c r="DT17" s="18">
        <v>-1000</v>
      </c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76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40">
        <f t="shared" si="0"/>
        <v>3001297.83</v>
      </c>
      <c r="FH17" s="46"/>
      <c r="FI17" s="46"/>
      <c r="FJ17" s="33">
        <v>441257.41</v>
      </c>
      <c r="FK17" s="184"/>
      <c r="FL17" s="33"/>
      <c r="FM17" s="33">
        <v>2560040.42</v>
      </c>
      <c r="FN17" s="225">
        <f t="shared" si="24"/>
        <v>0</v>
      </c>
      <c r="FO17" s="106"/>
      <c r="FP17" s="184"/>
      <c r="FQ17" s="184"/>
      <c r="FR17" s="18">
        <f t="shared" si="25"/>
        <v>0</v>
      </c>
      <c r="FS17" s="184"/>
      <c r="FT17" s="184">
        <v>0</v>
      </c>
      <c r="FU17" s="222"/>
      <c r="FV17" s="184"/>
      <c r="FW17" s="44" t="s">
        <v>138</v>
      </c>
      <c r="FX17" s="38">
        <f t="shared" si="26"/>
        <v>4970182.8499999996</v>
      </c>
      <c r="FY17" s="38"/>
      <c r="FZ17" s="39"/>
      <c r="GA17" s="39"/>
      <c r="GB17" s="84"/>
      <c r="GC17" s="40">
        <f t="shared" si="27"/>
        <v>1579428.32</v>
      </c>
      <c r="GD17" s="104"/>
      <c r="GE17" s="104"/>
      <c r="GF17" s="104"/>
      <c r="GG17" s="104"/>
      <c r="GH17" s="117">
        <f t="shared" si="28"/>
        <v>0</v>
      </c>
      <c r="GI17" s="33">
        <v>1271429</v>
      </c>
      <c r="GJ17" s="104"/>
      <c r="GK17" s="250">
        <v>307999.32</v>
      </c>
      <c r="GL17" s="104"/>
      <c r="GM17" s="32"/>
      <c r="GN17" s="32">
        <v>1972054.17</v>
      </c>
      <c r="GO17" s="32">
        <v>595560.35999999987</v>
      </c>
      <c r="GP17" s="32">
        <v>183640.79</v>
      </c>
      <c r="GQ17" s="32">
        <v>55459.21</v>
      </c>
      <c r="GR17" s="32">
        <v>20000</v>
      </c>
      <c r="GS17" s="33">
        <v>6040</v>
      </c>
      <c r="GT17" s="32"/>
      <c r="GU17" s="32"/>
      <c r="GV17" s="18"/>
      <c r="GW17" s="44" t="s">
        <v>138</v>
      </c>
      <c r="GX17" s="34">
        <f t="shared" si="29"/>
        <v>8849159.1399999987</v>
      </c>
      <c r="GY17" s="34">
        <f t="shared" si="30"/>
        <v>36060441.670000002</v>
      </c>
    </row>
    <row r="18" spans="1:207" ht="15" customHeight="1">
      <c r="A18" s="18">
        <v>16</v>
      </c>
      <c r="B18" s="45" t="s">
        <v>139</v>
      </c>
      <c r="C18" s="103"/>
      <c r="D18" s="104">
        <f t="shared" si="1"/>
        <v>312631.08999999997</v>
      </c>
      <c r="E18" s="104">
        <f t="shared" si="2"/>
        <v>0</v>
      </c>
      <c r="F18" s="105"/>
      <c r="G18" s="105">
        <f t="shared" si="31"/>
        <v>0</v>
      </c>
      <c r="H18" s="105">
        <f t="shared" si="32"/>
        <v>0</v>
      </c>
      <c r="I18" s="105">
        <f t="shared" si="3"/>
        <v>0</v>
      </c>
      <c r="J18" s="105">
        <f t="shared" si="4"/>
        <v>3957</v>
      </c>
      <c r="K18" s="105">
        <f t="shared" si="5"/>
        <v>0</v>
      </c>
      <c r="L18" s="142">
        <f t="shared" si="6"/>
        <v>0</v>
      </c>
      <c r="M18" s="142"/>
      <c r="N18" s="142">
        <f t="shared" si="7"/>
        <v>369230.75</v>
      </c>
      <c r="O18" s="143">
        <f t="shared" si="8"/>
        <v>685818.84</v>
      </c>
      <c r="P18" s="18"/>
      <c r="Q18" s="142">
        <v>99421.6</v>
      </c>
      <c r="R18" s="32">
        <v>116250</v>
      </c>
      <c r="S18" s="142">
        <v>6288947</v>
      </c>
      <c r="T18" s="142">
        <v>1899262</v>
      </c>
      <c r="U18" s="55">
        <f t="shared" si="9"/>
        <v>8188209</v>
      </c>
      <c r="V18" s="46"/>
      <c r="W18" s="46"/>
      <c r="X18" s="46">
        <f t="shared" si="10"/>
        <v>0</v>
      </c>
      <c r="Y18" s="196">
        <f t="shared" si="11"/>
        <v>8990277.8399999999</v>
      </c>
      <c r="Z18" s="45" t="s">
        <v>139</v>
      </c>
      <c r="AA18" s="106">
        <f t="shared" si="12"/>
        <v>0</v>
      </c>
      <c r="AB18" s="107">
        <f t="shared" si="13"/>
        <v>476989.2</v>
      </c>
      <c r="AC18" s="188">
        <f t="shared" si="14"/>
        <v>575006.32000000007</v>
      </c>
      <c r="AD18" s="188">
        <f t="shared" si="15"/>
        <v>173652.02999999997</v>
      </c>
      <c r="AE18" s="34">
        <f t="shared" si="16"/>
        <v>0</v>
      </c>
      <c r="AF18">
        <f t="shared" si="17"/>
        <v>0</v>
      </c>
      <c r="AG18" s="46">
        <v>81000</v>
      </c>
      <c r="AH18" s="110">
        <f t="shared" si="18"/>
        <v>1306647.55</v>
      </c>
      <c r="AI18" s="111"/>
      <c r="AJ18" s="37">
        <v>65000</v>
      </c>
      <c r="AK18" s="18">
        <v>36000</v>
      </c>
      <c r="AL18" s="115">
        <f t="shared" si="19"/>
        <v>101000</v>
      </c>
      <c r="AM18" s="151"/>
      <c r="AN18" s="113"/>
      <c r="AO18" s="117">
        <f t="shared" si="20"/>
        <v>10397925.390000001</v>
      </c>
      <c r="AP18" s="67" t="s">
        <v>139</v>
      </c>
      <c r="AQ18" s="159"/>
      <c r="AR18" s="67"/>
      <c r="AS18" s="67"/>
      <c r="AT18" s="31">
        <f t="shared" si="21"/>
        <v>0</v>
      </c>
      <c r="AU18" s="67"/>
      <c r="AV18" s="67"/>
      <c r="AW18" s="67"/>
      <c r="AX18" s="214">
        <v>83005.63</v>
      </c>
      <c r="AY18" s="31">
        <f t="shared" si="22"/>
        <v>83005.63</v>
      </c>
      <c r="AZ18" s="67" t="s">
        <v>139</v>
      </c>
      <c r="BA18" s="229">
        <v>202812.79999999999</v>
      </c>
      <c r="BB18" s="104">
        <v>0</v>
      </c>
      <c r="BC18" s="105"/>
      <c r="BD18" s="105"/>
      <c r="BE18" s="105"/>
      <c r="BF18" s="33">
        <v>4382</v>
      </c>
      <c r="BG18" s="33">
        <v>0</v>
      </c>
      <c r="BH18" s="33">
        <v>1000</v>
      </c>
      <c r="BI18" s="55"/>
      <c r="BJ18" s="33">
        <v>596614.73</v>
      </c>
      <c r="BK18" s="142">
        <f t="shared" si="23"/>
        <v>804809.53</v>
      </c>
      <c r="BL18" s="105">
        <v>0</v>
      </c>
      <c r="BM18" s="33"/>
      <c r="BN18" s="49">
        <v>82632.23</v>
      </c>
      <c r="BO18" s="49"/>
      <c r="BP18" s="49"/>
      <c r="BQ18" s="246">
        <v>0</v>
      </c>
      <c r="BR18" s="49">
        <v>0</v>
      </c>
      <c r="BS18" s="49">
        <v>0</v>
      </c>
      <c r="BT18" s="49"/>
      <c r="BU18" s="49"/>
      <c r="BV18" s="49">
        <v>0</v>
      </c>
      <c r="BW18" s="49"/>
      <c r="BX18" s="49"/>
      <c r="BY18" s="18">
        <v>0</v>
      </c>
      <c r="BZ18" s="18"/>
      <c r="CA18" s="18"/>
      <c r="CB18" s="188"/>
      <c r="CC18" s="18"/>
      <c r="CD18" s="188"/>
      <c r="CE18" s="18">
        <v>160221.35999999999</v>
      </c>
      <c r="CF18" s="18">
        <v>0</v>
      </c>
      <c r="CG18" s="33"/>
      <c r="CH18" s="33"/>
      <c r="CI18" s="33">
        <v>0</v>
      </c>
      <c r="CJ18" s="33">
        <v>0</v>
      </c>
      <c r="CK18" s="67" t="s">
        <v>139</v>
      </c>
      <c r="CL18" s="67">
        <v>0</v>
      </c>
      <c r="CM18" s="67"/>
      <c r="CN18" s="67"/>
      <c r="CO18" s="18"/>
      <c r="CP18" s="18"/>
      <c r="CQ18" s="18"/>
      <c r="CR18" s="18">
        <v>0</v>
      </c>
      <c r="CS18" s="18"/>
      <c r="CT18" s="18"/>
      <c r="CU18" s="18"/>
      <c r="CV18" s="255">
        <v>0</v>
      </c>
      <c r="CW18" s="33"/>
      <c r="CX18" s="18">
        <v>0</v>
      </c>
      <c r="CY18" s="18">
        <v>0</v>
      </c>
      <c r="CZ18" s="18">
        <v>0</v>
      </c>
      <c r="DA18" s="18">
        <v>0</v>
      </c>
      <c r="DB18" s="18"/>
      <c r="DC18" s="18">
        <v>0</v>
      </c>
      <c r="DD18" s="18">
        <v>0</v>
      </c>
      <c r="DE18" s="255">
        <v>0</v>
      </c>
      <c r="DF18" s="18">
        <v>0</v>
      </c>
      <c r="DG18" s="18">
        <v>0</v>
      </c>
      <c r="DH18" s="18">
        <v>0</v>
      </c>
      <c r="DI18" s="18">
        <v>0</v>
      </c>
      <c r="DJ18" s="18">
        <v>0</v>
      </c>
      <c r="DK18" s="229">
        <v>-425</v>
      </c>
      <c r="DL18" s="255"/>
      <c r="DM18" s="18">
        <v>-176623.6</v>
      </c>
      <c r="DN18" s="18">
        <v>-1000</v>
      </c>
      <c r="DO18" s="18"/>
      <c r="DP18" s="229"/>
      <c r="DQ18" s="18">
        <v>-41422.519999999997</v>
      </c>
      <c r="DR18" s="18">
        <v>-227383.97999999998</v>
      </c>
      <c r="DS18" s="18">
        <v>0</v>
      </c>
      <c r="DT18" s="18">
        <v>0</v>
      </c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76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40">
        <f t="shared" si="0"/>
        <v>85010.819999999978</v>
      </c>
      <c r="FH18" s="46"/>
      <c r="FI18" s="46"/>
      <c r="FJ18" s="33">
        <v>0</v>
      </c>
      <c r="FK18" s="184"/>
      <c r="FL18" s="33"/>
      <c r="FM18" s="33">
        <v>85010.819999999978</v>
      </c>
      <c r="FN18" s="225">
        <f t="shared" si="24"/>
        <v>0</v>
      </c>
      <c r="FO18" s="106"/>
      <c r="FP18" s="184"/>
      <c r="FQ18" s="184"/>
      <c r="FR18" s="18">
        <f t="shared" si="25"/>
        <v>0</v>
      </c>
      <c r="FS18" s="184"/>
      <c r="FT18" s="184">
        <v>0</v>
      </c>
      <c r="FU18" s="222"/>
      <c r="FV18" s="184"/>
      <c r="FW18" s="49" t="s">
        <v>139</v>
      </c>
      <c r="FX18" s="38">
        <f t="shared" si="26"/>
        <v>1387647.55</v>
      </c>
      <c r="FY18" s="38"/>
      <c r="FZ18" s="37"/>
      <c r="GA18" s="37"/>
      <c r="GB18" s="84"/>
      <c r="GC18" s="40">
        <f t="shared" si="27"/>
        <v>476989.2</v>
      </c>
      <c r="GD18" s="104"/>
      <c r="GE18" s="104"/>
      <c r="GF18" s="104"/>
      <c r="GG18" s="104"/>
      <c r="GH18" s="117">
        <f t="shared" si="28"/>
        <v>0</v>
      </c>
      <c r="GI18" s="33">
        <v>117655.85999999999</v>
      </c>
      <c r="GJ18" s="104"/>
      <c r="GK18" s="250">
        <v>359333.34</v>
      </c>
      <c r="GL18" s="104"/>
      <c r="GM18" s="32"/>
      <c r="GN18" s="32">
        <v>444891.89</v>
      </c>
      <c r="GO18" s="32">
        <v>134357.45999999996</v>
      </c>
      <c r="GP18" s="262">
        <v>130114.43000000001</v>
      </c>
      <c r="GQ18" s="262">
        <v>39294.57</v>
      </c>
      <c r="GR18" s="262">
        <v>0</v>
      </c>
      <c r="GS18" s="33">
        <v>0</v>
      </c>
      <c r="GT18" s="32"/>
      <c r="GU18" s="32"/>
      <c r="GV18" s="18"/>
      <c r="GW18" s="67" t="s">
        <v>139</v>
      </c>
      <c r="GX18" s="34">
        <f t="shared" si="29"/>
        <v>1323272.6399999999</v>
      </c>
      <c r="GY18" s="34">
        <f t="shared" si="30"/>
        <v>10397925.390000001</v>
      </c>
    </row>
    <row r="19" spans="1:207" ht="15" customHeight="1">
      <c r="A19" s="18">
        <v>17</v>
      </c>
      <c r="B19" s="45" t="s">
        <v>140</v>
      </c>
      <c r="C19" s="103"/>
      <c r="D19" s="104">
        <f t="shared" si="1"/>
        <v>4350891.7699999996</v>
      </c>
      <c r="E19" s="104">
        <f t="shared" si="2"/>
        <v>0</v>
      </c>
      <c r="F19" s="105"/>
      <c r="G19" s="105">
        <f t="shared" si="31"/>
        <v>0</v>
      </c>
      <c r="H19" s="105">
        <f t="shared" si="32"/>
        <v>0</v>
      </c>
      <c r="I19" s="105">
        <f t="shared" si="3"/>
        <v>0</v>
      </c>
      <c r="J19" s="105">
        <f t="shared" si="4"/>
        <v>1545</v>
      </c>
      <c r="K19" s="105">
        <f t="shared" si="5"/>
        <v>4735</v>
      </c>
      <c r="L19" s="142">
        <f t="shared" si="6"/>
        <v>186.41000000000031</v>
      </c>
      <c r="M19" s="142"/>
      <c r="N19" s="142">
        <f t="shared" si="7"/>
        <v>310944.31999999995</v>
      </c>
      <c r="O19" s="143">
        <f t="shared" si="8"/>
        <v>4668302.5</v>
      </c>
      <c r="P19" s="18"/>
      <c r="Q19" s="142">
        <v>419375</v>
      </c>
      <c r="R19" s="32">
        <v>419375</v>
      </c>
      <c r="S19" s="142">
        <v>13562237</v>
      </c>
      <c r="T19" s="142">
        <v>4095796</v>
      </c>
      <c r="U19" s="55">
        <f t="shared" si="9"/>
        <v>17658033</v>
      </c>
      <c r="V19" s="46"/>
      <c r="W19" s="46"/>
      <c r="X19" s="46">
        <f t="shared" si="10"/>
        <v>0</v>
      </c>
      <c r="Y19" s="196">
        <f t="shared" si="11"/>
        <v>22745710.5</v>
      </c>
      <c r="Z19" s="45" t="s">
        <v>140</v>
      </c>
      <c r="AA19" s="106">
        <f t="shared" si="12"/>
        <v>0</v>
      </c>
      <c r="AB19" s="107">
        <f t="shared" si="13"/>
        <v>1149210.67</v>
      </c>
      <c r="AC19" s="188">
        <f t="shared" si="14"/>
        <v>1416397.49</v>
      </c>
      <c r="AD19" s="188">
        <f t="shared" si="15"/>
        <v>427751.7300000001</v>
      </c>
      <c r="AE19" s="34">
        <f t="shared" si="16"/>
        <v>0</v>
      </c>
      <c r="AF19">
        <f t="shared" si="17"/>
        <v>380000</v>
      </c>
      <c r="AG19" s="46">
        <v>189000</v>
      </c>
      <c r="AH19" s="110">
        <f t="shared" si="18"/>
        <v>3562359.89</v>
      </c>
      <c r="AI19" s="111"/>
      <c r="AJ19" s="37">
        <v>100000</v>
      </c>
      <c r="AK19" s="18"/>
      <c r="AL19" s="115">
        <f t="shared" si="19"/>
        <v>100000</v>
      </c>
      <c r="AM19" s="151"/>
      <c r="AN19" s="113"/>
      <c r="AO19" s="117">
        <f t="shared" si="20"/>
        <v>26408070.390000001</v>
      </c>
      <c r="AP19" s="67" t="s">
        <v>140</v>
      </c>
      <c r="AQ19" s="32"/>
      <c r="AR19" s="67"/>
      <c r="AS19" s="67"/>
      <c r="AT19" s="31">
        <f t="shared" si="21"/>
        <v>0</v>
      </c>
      <c r="AU19" s="67"/>
      <c r="AV19" s="67"/>
      <c r="AW19" s="67"/>
      <c r="AX19" s="214">
        <v>15134.86</v>
      </c>
      <c r="AY19" s="31">
        <f t="shared" si="22"/>
        <v>15134.86</v>
      </c>
      <c r="AZ19" s="67" t="s">
        <v>140</v>
      </c>
      <c r="BA19" s="229">
        <v>323737.83999999997</v>
      </c>
      <c r="BB19" s="104">
        <v>0</v>
      </c>
      <c r="BC19" s="105"/>
      <c r="BD19" s="105"/>
      <c r="BE19" s="105"/>
      <c r="BF19" s="33">
        <v>1545</v>
      </c>
      <c r="BG19" s="33">
        <v>4735</v>
      </c>
      <c r="BH19" s="33">
        <v>1173.5600000000004</v>
      </c>
      <c r="BI19" s="55"/>
      <c r="BJ19" s="33">
        <v>291944.31999999995</v>
      </c>
      <c r="BK19" s="142">
        <f t="shared" si="23"/>
        <v>623135.72</v>
      </c>
      <c r="BL19" s="105">
        <v>0</v>
      </c>
      <c r="BM19" s="33"/>
      <c r="BN19" s="44">
        <v>946400</v>
      </c>
      <c r="BO19" s="44"/>
      <c r="BP19" s="44"/>
      <c r="BQ19" s="246">
        <v>0</v>
      </c>
      <c r="BR19" s="44">
        <v>0</v>
      </c>
      <c r="BS19" s="44">
        <v>0</v>
      </c>
      <c r="BT19" s="44"/>
      <c r="BU19" s="44"/>
      <c r="BV19" s="44">
        <v>0</v>
      </c>
      <c r="BW19" s="44"/>
      <c r="BX19" s="44"/>
      <c r="BY19" s="18">
        <v>0</v>
      </c>
      <c r="BZ19" s="18"/>
      <c r="CA19" s="18"/>
      <c r="CB19" s="188"/>
      <c r="CC19" s="18"/>
      <c r="CD19" s="188"/>
      <c r="CE19" s="18">
        <v>584362</v>
      </c>
      <c r="CF19" s="18">
        <v>0</v>
      </c>
      <c r="CG19" s="33"/>
      <c r="CH19" s="33"/>
      <c r="CI19" s="33">
        <v>0</v>
      </c>
      <c r="CJ19" s="33">
        <v>0</v>
      </c>
      <c r="CK19" s="67" t="s">
        <v>140</v>
      </c>
      <c r="CL19" s="67">
        <v>0</v>
      </c>
      <c r="CM19" s="67"/>
      <c r="CN19" s="67"/>
      <c r="CO19" s="18"/>
      <c r="CP19" s="18"/>
      <c r="CQ19" s="18"/>
      <c r="CR19" s="18">
        <v>30000</v>
      </c>
      <c r="CS19" s="18"/>
      <c r="CT19" s="18"/>
      <c r="CU19" s="18"/>
      <c r="CV19" s="255">
        <v>0</v>
      </c>
      <c r="CW19" s="33"/>
      <c r="CX19" s="18">
        <v>283944.31</v>
      </c>
      <c r="CY19" s="18">
        <v>0</v>
      </c>
      <c r="CZ19" s="18">
        <v>0</v>
      </c>
      <c r="DA19" s="18">
        <v>0</v>
      </c>
      <c r="DB19" s="18"/>
      <c r="DC19" s="18">
        <v>36000</v>
      </c>
      <c r="DD19" s="18">
        <v>19400</v>
      </c>
      <c r="DE19" s="255">
        <v>0</v>
      </c>
      <c r="DF19" s="18">
        <v>43004.69</v>
      </c>
      <c r="DG19" s="18">
        <v>0</v>
      </c>
      <c r="DH19" s="18">
        <v>0</v>
      </c>
      <c r="DI19" s="18">
        <v>20600</v>
      </c>
      <c r="DJ19" s="18">
        <v>0</v>
      </c>
      <c r="DK19" s="229">
        <v>0</v>
      </c>
      <c r="DL19" s="255"/>
      <c r="DM19" s="18">
        <v>98000</v>
      </c>
      <c r="DN19" s="18">
        <v>12.85</v>
      </c>
      <c r="DO19" s="18"/>
      <c r="DP19" s="229"/>
      <c r="DQ19" s="18">
        <v>106200</v>
      </c>
      <c r="DR19" s="18">
        <v>19000</v>
      </c>
      <c r="DS19" s="18">
        <v>0</v>
      </c>
      <c r="DT19" s="18">
        <v>-1000</v>
      </c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76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40">
        <f t="shared" si="0"/>
        <v>1859242.9300000002</v>
      </c>
      <c r="FH19" s="46"/>
      <c r="FI19" s="46"/>
      <c r="FJ19" s="33">
        <v>154888.57</v>
      </c>
      <c r="FK19" s="184"/>
      <c r="FL19" s="33"/>
      <c r="FM19" s="33">
        <v>1704354.36</v>
      </c>
      <c r="FN19" s="225">
        <f t="shared" si="24"/>
        <v>0</v>
      </c>
      <c r="FO19" s="106"/>
      <c r="FP19" s="184"/>
      <c r="FQ19" s="184"/>
      <c r="FR19" s="18">
        <f t="shared" si="25"/>
        <v>380000</v>
      </c>
      <c r="FS19" s="184"/>
      <c r="FT19" s="184">
        <v>380000</v>
      </c>
      <c r="FU19" s="222"/>
      <c r="FV19" s="184"/>
      <c r="FW19" s="44" t="s">
        <v>140</v>
      </c>
      <c r="FX19" s="38">
        <f t="shared" si="26"/>
        <v>3751359.89</v>
      </c>
      <c r="FY19" s="38"/>
      <c r="FZ19" s="37"/>
      <c r="GA19" s="37"/>
      <c r="GB19" s="84"/>
      <c r="GC19" s="40">
        <f t="shared" si="27"/>
        <v>1149210.67</v>
      </c>
      <c r="GD19" s="104"/>
      <c r="GE19" s="104"/>
      <c r="GF19" s="104"/>
      <c r="GG19" s="104"/>
      <c r="GH19" s="117">
        <f t="shared" si="28"/>
        <v>0</v>
      </c>
      <c r="GI19" s="33">
        <v>841210</v>
      </c>
      <c r="GJ19" s="104"/>
      <c r="GK19" s="250">
        <v>308000.67</v>
      </c>
      <c r="GL19" s="104"/>
      <c r="GM19" s="32"/>
      <c r="GN19" s="32">
        <v>1200988.6499999999</v>
      </c>
      <c r="GO19" s="32">
        <v>362698.57000000007</v>
      </c>
      <c r="GP19" s="32">
        <v>195408.84</v>
      </c>
      <c r="GQ19" s="32">
        <v>59013.16</v>
      </c>
      <c r="GR19" s="32">
        <v>20000</v>
      </c>
      <c r="GS19" s="33">
        <v>6040</v>
      </c>
      <c r="GT19" s="32"/>
      <c r="GU19" s="32"/>
      <c r="GV19" s="18"/>
      <c r="GW19" s="67" t="s">
        <v>140</v>
      </c>
      <c r="GX19" s="34">
        <f t="shared" si="29"/>
        <v>6330421.7599999998</v>
      </c>
      <c r="GY19" s="34">
        <f t="shared" si="30"/>
        <v>26408070.390000001</v>
      </c>
    </row>
    <row r="20" spans="1:207" s="174" customFormat="1" ht="15" customHeight="1">
      <c r="A20" s="25">
        <v>18</v>
      </c>
      <c r="B20" s="49" t="s">
        <v>141</v>
      </c>
      <c r="C20" s="163"/>
      <c r="D20" s="104">
        <f t="shared" si="1"/>
        <v>3491425.4799999991</v>
      </c>
      <c r="E20" s="104">
        <f t="shared" si="2"/>
        <v>21000</v>
      </c>
      <c r="F20" s="105"/>
      <c r="G20" s="105">
        <f t="shared" si="31"/>
        <v>29802.15</v>
      </c>
      <c r="H20" s="105">
        <f t="shared" si="32"/>
        <v>9000.15</v>
      </c>
      <c r="I20" s="105">
        <f t="shared" si="3"/>
        <v>0</v>
      </c>
      <c r="J20" s="105">
        <f t="shared" si="4"/>
        <v>5018</v>
      </c>
      <c r="K20" s="105">
        <f t="shared" si="5"/>
        <v>7913</v>
      </c>
      <c r="L20" s="142">
        <f t="shared" si="6"/>
        <v>0</v>
      </c>
      <c r="M20" s="142"/>
      <c r="N20" s="142">
        <f t="shared" si="7"/>
        <v>1279109.8500000001</v>
      </c>
      <c r="O20" s="143">
        <f t="shared" si="8"/>
        <v>4843268.629999999</v>
      </c>
      <c r="P20" s="25"/>
      <c r="Q20" s="142">
        <v>576875</v>
      </c>
      <c r="R20" s="32">
        <v>576875</v>
      </c>
      <c r="S20" s="166">
        <v>18143429</v>
      </c>
      <c r="T20" s="166">
        <v>5479316</v>
      </c>
      <c r="U20" s="165">
        <f t="shared" si="9"/>
        <v>23622745</v>
      </c>
      <c r="V20" s="40"/>
      <c r="W20" s="40"/>
      <c r="X20" s="46">
        <f t="shared" si="10"/>
        <v>0</v>
      </c>
      <c r="Y20" s="196">
        <f t="shared" si="11"/>
        <v>29042888.629999999</v>
      </c>
      <c r="Z20" s="49" t="s">
        <v>141</v>
      </c>
      <c r="AA20" s="106">
        <f t="shared" si="12"/>
        <v>0</v>
      </c>
      <c r="AB20" s="167">
        <f t="shared" si="13"/>
        <v>1780034.67</v>
      </c>
      <c r="AC20" s="188">
        <f t="shared" si="14"/>
        <v>1811226.01</v>
      </c>
      <c r="AD20" s="188">
        <f t="shared" si="15"/>
        <v>546990.24999999977</v>
      </c>
      <c r="AE20" s="34">
        <f t="shared" si="16"/>
        <v>0</v>
      </c>
      <c r="AF20">
        <f t="shared" si="17"/>
        <v>4596163.25</v>
      </c>
      <c r="AG20" s="46">
        <v>234000</v>
      </c>
      <c r="AH20" s="168">
        <f t="shared" si="18"/>
        <v>8968414.1799999997</v>
      </c>
      <c r="AI20" s="40"/>
      <c r="AJ20" s="37">
        <v>70000</v>
      </c>
      <c r="AK20" s="18"/>
      <c r="AL20" s="117">
        <f t="shared" si="19"/>
        <v>70000</v>
      </c>
      <c r="AM20" s="117"/>
      <c r="AN20" s="117"/>
      <c r="AO20" s="117">
        <f t="shared" si="20"/>
        <v>38081302.810000002</v>
      </c>
      <c r="AP20" s="169" t="s">
        <v>141</v>
      </c>
      <c r="AQ20" s="40"/>
      <c r="AR20" s="169"/>
      <c r="AS20" s="169"/>
      <c r="AT20" s="170">
        <f t="shared" si="21"/>
        <v>0</v>
      </c>
      <c r="AU20" s="169"/>
      <c r="AV20" s="169"/>
      <c r="AW20" s="169"/>
      <c r="AX20" s="214">
        <v>3106.71</v>
      </c>
      <c r="AY20" s="31">
        <f t="shared" si="22"/>
        <v>3106.71</v>
      </c>
      <c r="AZ20" s="169" t="s">
        <v>141</v>
      </c>
      <c r="BA20" s="229">
        <v>319095.52999999997</v>
      </c>
      <c r="BB20" s="104">
        <v>21000</v>
      </c>
      <c r="BC20" s="164"/>
      <c r="BD20" s="164"/>
      <c r="BE20" s="164"/>
      <c r="BF20" s="33">
        <v>5018</v>
      </c>
      <c r="BG20" s="33">
        <v>7913</v>
      </c>
      <c r="BH20" s="33">
        <v>1000</v>
      </c>
      <c r="BI20" s="165"/>
      <c r="BJ20" s="33">
        <v>1234109.8500000001</v>
      </c>
      <c r="BK20" s="142">
        <f t="shared" si="23"/>
        <v>1588136.3800000001</v>
      </c>
      <c r="BL20" s="105">
        <v>0</v>
      </c>
      <c r="BM20" s="33"/>
      <c r="BN20" s="49">
        <v>0</v>
      </c>
      <c r="BO20" s="49"/>
      <c r="BP20" s="49"/>
      <c r="BQ20" s="246">
        <v>0</v>
      </c>
      <c r="BR20" s="49">
        <v>49300</v>
      </c>
      <c r="BS20" s="49">
        <v>0</v>
      </c>
      <c r="BT20" s="49"/>
      <c r="BU20" s="49"/>
      <c r="BV20" s="49">
        <v>0</v>
      </c>
      <c r="BW20" s="49"/>
      <c r="BX20" s="49"/>
      <c r="BY20" s="25">
        <v>0</v>
      </c>
      <c r="BZ20" s="25"/>
      <c r="CA20" s="25"/>
      <c r="CB20" s="188"/>
      <c r="CC20" s="25"/>
      <c r="CD20" s="188"/>
      <c r="CE20" s="25">
        <v>313072.08</v>
      </c>
      <c r="CF20" s="25">
        <v>0</v>
      </c>
      <c r="CG20" s="40"/>
      <c r="CH20" s="40"/>
      <c r="CI20" s="33">
        <v>0</v>
      </c>
      <c r="CJ20" s="33">
        <v>0</v>
      </c>
      <c r="CK20" s="169" t="s">
        <v>141</v>
      </c>
      <c r="CL20" s="169">
        <v>0</v>
      </c>
      <c r="CM20" s="169"/>
      <c r="CN20" s="169"/>
      <c r="CO20" s="25"/>
      <c r="CP20" s="25"/>
      <c r="CQ20" s="25"/>
      <c r="CR20" s="25">
        <v>42000</v>
      </c>
      <c r="CS20" s="25"/>
      <c r="CT20" s="25"/>
      <c r="CU20" s="25"/>
      <c r="CV20" s="255">
        <v>0</v>
      </c>
      <c r="CW20" s="33"/>
      <c r="CX20" s="25">
        <v>0</v>
      </c>
      <c r="CY20" s="25">
        <v>0</v>
      </c>
      <c r="CZ20" s="25">
        <v>0</v>
      </c>
      <c r="DA20" s="25">
        <v>0</v>
      </c>
      <c r="DB20" s="25"/>
      <c r="DC20" s="25">
        <v>0</v>
      </c>
      <c r="DD20" s="25">
        <v>221300</v>
      </c>
      <c r="DE20" s="255">
        <v>0</v>
      </c>
      <c r="DF20" s="25">
        <v>100400</v>
      </c>
      <c r="DG20" s="25">
        <v>0</v>
      </c>
      <c r="DH20" s="25">
        <v>0</v>
      </c>
      <c r="DI20" s="25">
        <v>18200</v>
      </c>
      <c r="DJ20" s="25">
        <v>0</v>
      </c>
      <c r="DK20" s="229">
        <v>0</v>
      </c>
      <c r="DL20" s="255"/>
      <c r="DM20" s="25">
        <v>0</v>
      </c>
      <c r="DN20" s="25">
        <v>0</v>
      </c>
      <c r="DO20" s="25"/>
      <c r="DP20" s="229"/>
      <c r="DQ20" s="25">
        <v>266030</v>
      </c>
      <c r="DR20" s="25">
        <v>45000</v>
      </c>
      <c r="DS20" s="25">
        <v>0</v>
      </c>
      <c r="DT20" s="25">
        <v>-1000</v>
      </c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189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40">
        <f t="shared" si="0"/>
        <v>2162027.8699999992</v>
      </c>
      <c r="FH20" s="46">
        <v>29802.15</v>
      </c>
      <c r="FI20" s="46">
        <v>9000.15</v>
      </c>
      <c r="FJ20" s="33">
        <v>328665.99</v>
      </c>
      <c r="FK20" s="185"/>
      <c r="FL20" s="40"/>
      <c r="FM20" s="33">
        <v>1833361.8799999994</v>
      </c>
      <c r="FN20" s="225">
        <f t="shared" si="24"/>
        <v>0</v>
      </c>
      <c r="FO20" s="106"/>
      <c r="FP20" s="185"/>
      <c r="FQ20" s="185"/>
      <c r="FR20" s="18">
        <f t="shared" si="25"/>
        <v>4596163.25</v>
      </c>
      <c r="FS20" s="185"/>
      <c r="FT20" s="185">
        <v>0</v>
      </c>
      <c r="FU20" s="223">
        <f>5000000-403836.75</f>
        <v>4596163.25</v>
      </c>
      <c r="FV20" s="185"/>
      <c r="FW20" s="49" t="s">
        <v>141</v>
      </c>
      <c r="FX20" s="38">
        <f t="shared" si="26"/>
        <v>9223414.1799999997</v>
      </c>
      <c r="FY20" s="171"/>
      <c r="FZ20" s="172"/>
      <c r="GA20" s="172"/>
      <c r="GB20" s="173"/>
      <c r="GC20" s="40">
        <f t="shared" si="27"/>
        <v>1780034.67</v>
      </c>
      <c r="GD20" s="104"/>
      <c r="GE20" s="104"/>
      <c r="GF20" s="104"/>
      <c r="GG20" s="104"/>
      <c r="GH20" s="117">
        <f t="shared" si="28"/>
        <v>0</v>
      </c>
      <c r="GI20" s="33">
        <v>1424848</v>
      </c>
      <c r="GJ20" s="104"/>
      <c r="GK20" s="250">
        <v>355186.67</v>
      </c>
      <c r="GL20" s="104"/>
      <c r="GM20" s="117"/>
      <c r="GN20" s="117">
        <v>1811226.01</v>
      </c>
      <c r="GO20" s="117">
        <v>546990.24999999977</v>
      </c>
      <c r="GP20" s="117">
        <v>0</v>
      </c>
      <c r="GQ20" s="117">
        <v>0</v>
      </c>
      <c r="GR20" s="117">
        <v>0</v>
      </c>
      <c r="GS20" s="40">
        <v>0</v>
      </c>
      <c r="GT20" s="32"/>
      <c r="GU20" s="32"/>
      <c r="GV20" s="18"/>
      <c r="GW20" s="169" t="s">
        <v>141</v>
      </c>
      <c r="GX20" s="34">
        <f t="shared" si="29"/>
        <v>7197444.9999999991</v>
      </c>
      <c r="GY20" s="34">
        <f t="shared" si="30"/>
        <v>38081302.810000002</v>
      </c>
    </row>
    <row r="21" spans="1:207" ht="15" customHeight="1">
      <c r="A21" s="18">
        <v>20</v>
      </c>
      <c r="B21" s="45" t="s">
        <v>142</v>
      </c>
      <c r="C21" s="103"/>
      <c r="D21" s="104">
        <f t="shared" si="1"/>
        <v>2179500.7999999998</v>
      </c>
      <c r="E21" s="104">
        <f t="shared" si="2"/>
        <v>0</v>
      </c>
      <c r="F21" s="105"/>
      <c r="G21" s="105">
        <f t="shared" si="31"/>
        <v>0</v>
      </c>
      <c r="H21" s="105">
        <f t="shared" si="32"/>
        <v>0</v>
      </c>
      <c r="I21" s="105">
        <f t="shared" si="3"/>
        <v>0</v>
      </c>
      <c r="J21" s="105">
        <f t="shared" si="4"/>
        <v>3740</v>
      </c>
      <c r="K21" s="105">
        <f t="shared" si="5"/>
        <v>405</v>
      </c>
      <c r="L21" s="142">
        <f t="shared" si="6"/>
        <v>161.54999999999995</v>
      </c>
      <c r="M21" s="142"/>
      <c r="N21" s="142">
        <f t="shared" si="7"/>
        <v>78219.520000000019</v>
      </c>
      <c r="O21" s="143">
        <f t="shared" si="8"/>
        <v>2262026.8699999996</v>
      </c>
      <c r="P21" s="18"/>
      <c r="Q21" s="142">
        <v>230625</v>
      </c>
      <c r="R21" s="32">
        <v>230625</v>
      </c>
      <c r="S21" s="142">
        <v>9256422</v>
      </c>
      <c r="T21" s="142">
        <v>2795439</v>
      </c>
      <c r="U21" s="55">
        <f t="shared" si="9"/>
        <v>12051861</v>
      </c>
      <c r="V21" s="46"/>
      <c r="W21" s="46"/>
      <c r="X21" s="46">
        <f t="shared" si="10"/>
        <v>0</v>
      </c>
      <c r="Y21" s="196">
        <f t="shared" si="11"/>
        <v>14544512.869999999</v>
      </c>
      <c r="Z21" s="45" t="s">
        <v>142</v>
      </c>
      <c r="AA21" s="106">
        <f t="shared" si="12"/>
        <v>0</v>
      </c>
      <c r="AB21" s="107">
        <f t="shared" si="13"/>
        <v>874089.99</v>
      </c>
      <c r="AC21" s="188">
        <f t="shared" si="14"/>
        <v>918497.36</v>
      </c>
      <c r="AD21" s="188">
        <f t="shared" si="15"/>
        <v>277386.20000000007</v>
      </c>
      <c r="AE21" s="34">
        <f t="shared" si="16"/>
        <v>0</v>
      </c>
      <c r="AF21">
        <f t="shared" si="17"/>
        <v>0</v>
      </c>
      <c r="AG21" s="46">
        <v>81000</v>
      </c>
      <c r="AH21" s="110">
        <f t="shared" si="18"/>
        <v>2150973.5500000003</v>
      </c>
      <c r="AI21" s="111"/>
      <c r="AJ21" s="37">
        <v>100000</v>
      </c>
      <c r="AK21" s="18"/>
      <c r="AL21" s="115">
        <f t="shared" si="19"/>
        <v>100000</v>
      </c>
      <c r="AM21" s="151"/>
      <c r="AN21" s="113"/>
      <c r="AO21" s="117">
        <f t="shared" si="20"/>
        <v>16795486.419999998</v>
      </c>
      <c r="AP21" s="67" t="s">
        <v>142</v>
      </c>
      <c r="AQ21" s="106"/>
      <c r="AR21" s="67"/>
      <c r="AS21" s="67"/>
      <c r="AT21" s="31">
        <f t="shared" si="21"/>
        <v>0</v>
      </c>
      <c r="AU21" s="67"/>
      <c r="AV21" s="67"/>
      <c r="AW21" s="67"/>
      <c r="AX21" s="214">
        <v>11120.08</v>
      </c>
      <c r="AY21" s="31">
        <f t="shared" si="22"/>
        <v>11120.08</v>
      </c>
      <c r="AZ21" s="67" t="s">
        <v>142</v>
      </c>
      <c r="BA21" s="229">
        <v>255272.8</v>
      </c>
      <c r="BB21" s="104">
        <v>0</v>
      </c>
      <c r="BC21" s="105"/>
      <c r="BD21" s="105"/>
      <c r="BE21" s="105"/>
      <c r="BF21" s="33">
        <v>3740</v>
      </c>
      <c r="BG21" s="33">
        <v>270</v>
      </c>
      <c r="BH21" s="33">
        <v>1153.0899999999999</v>
      </c>
      <c r="BI21" s="55"/>
      <c r="BJ21" s="33">
        <v>78219.520000000019</v>
      </c>
      <c r="BK21" s="142">
        <f t="shared" si="23"/>
        <v>338655.41000000003</v>
      </c>
      <c r="BL21" s="105">
        <v>0</v>
      </c>
      <c r="BM21" s="33"/>
      <c r="BN21" s="49">
        <v>490000</v>
      </c>
      <c r="BO21" s="49"/>
      <c r="BP21" s="49"/>
      <c r="BQ21" s="246">
        <v>0</v>
      </c>
      <c r="BR21" s="49">
        <v>0</v>
      </c>
      <c r="BS21" s="49">
        <v>0</v>
      </c>
      <c r="BT21" s="49"/>
      <c r="BU21" s="49"/>
      <c r="BV21" s="49">
        <v>0</v>
      </c>
      <c r="BW21" s="49"/>
      <c r="BX21" s="49"/>
      <c r="BY21" s="18">
        <v>0</v>
      </c>
      <c r="BZ21" s="18"/>
      <c r="CA21" s="18"/>
      <c r="CB21" s="188"/>
      <c r="CC21" s="18"/>
      <c r="CD21" s="188"/>
      <c r="CE21" s="18">
        <v>260720</v>
      </c>
      <c r="CF21" s="18">
        <v>0</v>
      </c>
      <c r="CG21" s="33"/>
      <c r="CH21" s="33"/>
      <c r="CI21" s="33">
        <v>0</v>
      </c>
      <c r="CJ21" s="33">
        <v>0</v>
      </c>
      <c r="CK21" s="67" t="s">
        <v>142</v>
      </c>
      <c r="CL21" s="67">
        <v>0</v>
      </c>
      <c r="CM21" s="67"/>
      <c r="CN21" s="67"/>
      <c r="CO21" s="18"/>
      <c r="CP21" s="18"/>
      <c r="CQ21" s="18"/>
      <c r="CR21" s="18">
        <v>241690.36</v>
      </c>
      <c r="CS21" s="18"/>
      <c r="CT21" s="18"/>
      <c r="CU21" s="18"/>
      <c r="CV21" s="255">
        <v>0</v>
      </c>
      <c r="CW21" s="33"/>
      <c r="CX21" s="18">
        <v>349426.01</v>
      </c>
      <c r="CY21" s="18">
        <v>0</v>
      </c>
      <c r="CZ21" s="18">
        <v>0</v>
      </c>
      <c r="DA21" s="18">
        <v>0</v>
      </c>
      <c r="DB21" s="18"/>
      <c r="DC21" s="18">
        <v>0</v>
      </c>
      <c r="DD21" s="18">
        <v>0</v>
      </c>
      <c r="DE21" s="255">
        <v>0</v>
      </c>
      <c r="DF21" s="18">
        <v>-34943.01</v>
      </c>
      <c r="DG21" s="18">
        <v>0</v>
      </c>
      <c r="DH21" s="18">
        <v>135</v>
      </c>
      <c r="DI21" s="18">
        <v>0</v>
      </c>
      <c r="DJ21" s="18">
        <v>0</v>
      </c>
      <c r="DK21" s="229">
        <v>0</v>
      </c>
      <c r="DL21" s="255"/>
      <c r="DM21" s="18">
        <v>0</v>
      </c>
      <c r="DN21" s="18">
        <v>8.4600000000000009</v>
      </c>
      <c r="DO21" s="18"/>
      <c r="DP21" s="229"/>
      <c r="DQ21" s="18">
        <v>8260</v>
      </c>
      <c r="DR21" s="18">
        <v>0</v>
      </c>
      <c r="DS21" s="18">
        <v>0</v>
      </c>
      <c r="DT21" s="18">
        <v>-1000</v>
      </c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76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40">
        <f t="shared" si="0"/>
        <v>609074.63999999978</v>
      </c>
      <c r="FH21" s="46"/>
      <c r="FI21" s="46"/>
      <c r="FJ21" s="33">
        <v>0</v>
      </c>
      <c r="FK21" s="185"/>
      <c r="FL21" s="33"/>
      <c r="FM21" s="33">
        <v>609074.63999999978</v>
      </c>
      <c r="FN21" s="225">
        <f t="shared" si="24"/>
        <v>0</v>
      </c>
      <c r="FO21" s="106"/>
      <c r="FP21" s="185"/>
      <c r="FQ21" s="185"/>
      <c r="FR21" s="18">
        <f t="shared" si="25"/>
        <v>0</v>
      </c>
      <c r="FS21" s="185"/>
      <c r="FT21" s="185">
        <v>0</v>
      </c>
      <c r="FU21" s="223"/>
      <c r="FV21" s="185"/>
      <c r="FW21" s="49" t="s">
        <v>142</v>
      </c>
      <c r="FX21" s="38">
        <f t="shared" si="26"/>
        <v>2231973.5500000003</v>
      </c>
      <c r="FY21" s="38"/>
      <c r="FZ21" s="37"/>
      <c r="GA21" s="37"/>
      <c r="GB21" s="84"/>
      <c r="GC21" s="40">
        <f t="shared" si="27"/>
        <v>874089.99</v>
      </c>
      <c r="GD21" s="104"/>
      <c r="GE21" s="104"/>
      <c r="GF21" s="104"/>
      <c r="GG21" s="104"/>
      <c r="GH21" s="117">
        <f t="shared" si="28"/>
        <v>0</v>
      </c>
      <c r="GI21" s="33">
        <v>520643</v>
      </c>
      <c r="GJ21" s="104"/>
      <c r="GK21" s="250">
        <v>353446.99</v>
      </c>
      <c r="GL21" s="104"/>
      <c r="GM21" s="32"/>
      <c r="GN21" s="32">
        <v>918497.36</v>
      </c>
      <c r="GO21" s="32">
        <v>277386.20000000007</v>
      </c>
      <c r="GP21" s="32">
        <v>0</v>
      </c>
      <c r="GQ21" s="32">
        <v>0</v>
      </c>
      <c r="GR21" s="32">
        <v>0</v>
      </c>
      <c r="GS21" s="33">
        <v>0</v>
      </c>
      <c r="GT21" s="32"/>
      <c r="GU21" s="32"/>
      <c r="GV21" s="18"/>
      <c r="GW21" s="67" t="s">
        <v>142</v>
      </c>
      <c r="GX21" s="34">
        <f t="shared" si="29"/>
        <v>3462435.3099999996</v>
      </c>
      <c r="GY21" s="34">
        <f t="shared" si="30"/>
        <v>16795486.419999998</v>
      </c>
    </row>
    <row r="22" spans="1:207" ht="15" customHeight="1">
      <c r="A22" s="18">
        <v>21</v>
      </c>
      <c r="B22" s="45" t="s">
        <v>143</v>
      </c>
      <c r="C22" s="103"/>
      <c r="D22" s="104">
        <f t="shared" si="1"/>
        <v>6466326.3900000006</v>
      </c>
      <c r="E22" s="104">
        <f t="shared" si="2"/>
        <v>0</v>
      </c>
      <c r="F22" s="105"/>
      <c r="G22" s="105">
        <f t="shared" si="31"/>
        <v>0</v>
      </c>
      <c r="H22" s="105">
        <f t="shared" si="32"/>
        <v>0</v>
      </c>
      <c r="I22" s="105">
        <f t="shared" si="3"/>
        <v>0</v>
      </c>
      <c r="J22" s="105">
        <f t="shared" si="4"/>
        <v>0</v>
      </c>
      <c r="K22" s="105">
        <f t="shared" si="5"/>
        <v>2720</v>
      </c>
      <c r="L22" s="142">
        <f t="shared" si="6"/>
        <v>265.07999999999993</v>
      </c>
      <c r="M22" s="142"/>
      <c r="N22" s="142">
        <f t="shared" si="7"/>
        <v>401708.76</v>
      </c>
      <c r="O22" s="143">
        <f t="shared" si="8"/>
        <v>6871020.2300000004</v>
      </c>
      <c r="P22" s="18"/>
      <c r="Q22" s="142">
        <v>366875</v>
      </c>
      <c r="R22" s="32">
        <v>366875</v>
      </c>
      <c r="S22" s="142">
        <v>13403545</v>
      </c>
      <c r="T22" s="142">
        <v>4047870</v>
      </c>
      <c r="U22" s="55">
        <f t="shared" si="9"/>
        <v>17451415</v>
      </c>
      <c r="V22" s="46"/>
      <c r="W22" s="46"/>
      <c r="X22" s="46">
        <f t="shared" si="10"/>
        <v>0</v>
      </c>
      <c r="Y22" s="196">
        <f t="shared" si="11"/>
        <v>24689310.23</v>
      </c>
      <c r="Z22" s="45" t="s">
        <v>143</v>
      </c>
      <c r="AA22" s="106">
        <f t="shared" si="12"/>
        <v>0</v>
      </c>
      <c r="AB22" s="107">
        <f t="shared" si="13"/>
        <v>488471</v>
      </c>
      <c r="AC22" s="188">
        <f t="shared" si="14"/>
        <v>1100763.32</v>
      </c>
      <c r="AD22" s="188">
        <f t="shared" si="15"/>
        <v>332430.21000000031</v>
      </c>
      <c r="AE22" s="34">
        <f t="shared" si="16"/>
        <v>0</v>
      </c>
      <c r="AF22">
        <f t="shared" si="17"/>
        <v>0</v>
      </c>
      <c r="AG22" s="46">
        <v>153000</v>
      </c>
      <c r="AH22" s="110">
        <f t="shared" si="18"/>
        <v>2074664.5300000003</v>
      </c>
      <c r="AI22" s="111"/>
      <c r="AJ22" s="37">
        <v>1252820</v>
      </c>
      <c r="AK22" s="18"/>
      <c r="AL22" s="115">
        <f t="shared" si="19"/>
        <v>1252820</v>
      </c>
      <c r="AM22" s="151"/>
      <c r="AN22" s="113"/>
      <c r="AO22" s="117">
        <f t="shared" si="20"/>
        <v>28016794.760000002</v>
      </c>
      <c r="AP22" s="67" t="s">
        <v>143</v>
      </c>
      <c r="AQ22" s="160"/>
      <c r="AR22" s="67"/>
      <c r="AS22" s="67"/>
      <c r="AT22" s="31">
        <f t="shared" si="21"/>
        <v>0</v>
      </c>
      <c r="AU22" s="67"/>
      <c r="AV22" s="67"/>
      <c r="AW22" s="67"/>
      <c r="AX22" s="214">
        <v>29591.52</v>
      </c>
      <c r="AY22" s="31">
        <f t="shared" si="22"/>
        <v>29591.52</v>
      </c>
      <c r="AZ22" s="67" t="s">
        <v>143</v>
      </c>
      <c r="BA22" s="229">
        <v>289066.24999999994</v>
      </c>
      <c r="BB22" s="104">
        <v>0</v>
      </c>
      <c r="BC22" s="105"/>
      <c r="BD22" s="105"/>
      <c r="BE22" s="105"/>
      <c r="BF22" s="33">
        <v>0</v>
      </c>
      <c r="BG22" s="33">
        <v>2720</v>
      </c>
      <c r="BH22" s="33">
        <v>1254.01</v>
      </c>
      <c r="BI22" s="55"/>
      <c r="BJ22" s="33">
        <v>361708.76</v>
      </c>
      <c r="BK22" s="142">
        <f t="shared" si="23"/>
        <v>654749.02</v>
      </c>
      <c r="BL22" s="105">
        <v>64644</v>
      </c>
      <c r="BM22" s="33"/>
      <c r="BN22" s="49">
        <v>1764000</v>
      </c>
      <c r="BO22" s="49"/>
      <c r="BP22" s="49"/>
      <c r="BQ22" s="246">
        <v>0</v>
      </c>
      <c r="BR22" s="49">
        <v>89922</v>
      </c>
      <c r="BS22" s="49">
        <v>0</v>
      </c>
      <c r="BT22" s="49"/>
      <c r="BU22" s="49"/>
      <c r="BV22" s="49">
        <v>0</v>
      </c>
      <c r="BW22" s="49"/>
      <c r="BX22" s="49"/>
      <c r="BY22" s="18">
        <v>1199833.18</v>
      </c>
      <c r="BZ22" s="18"/>
      <c r="CA22" s="18"/>
      <c r="CB22" s="188"/>
      <c r="CC22" s="18"/>
      <c r="CD22" s="188"/>
      <c r="CE22" s="18">
        <v>1931314.6400000001</v>
      </c>
      <c r="CF22" s="18">
        <v>0</v>
      </c>
      <c r="CG22" s="33"/>
      <c r="CH22" s="33"/>
      <c r="CI22" s="33">
        <v>0</v>
      </c>
      <c r="CJ22" s="33">
        <v>0</v>
      </c>
      <c r="CK22" s="67" t="s">
        <v>143</v>
      </c>
      <c r="CL22" s="67">
        <v>29520</v>
      </c>
      <c r="CM22" s="67"/>
      <c r="CN22" s="67"/>
      <c r="CO22" s="18"/>
      <c r="CP22" s="18"/>
      <c r="CQ22" s="18"/>
      <c r="CR22" s="18">
        <v>72000</v>
      </c>
      <c r="CS22" s="18"/>
      <c r="CT22" s="18"/>
      <c r="CU22" s="18"/>
      <c r="CV22" s="255">
        <v>0</v>
      </c>
      <c r="CW22" s="33"/>
      <c r="CX22" s="18">
        <v>0</v>
      </c>
      <c r="CY22" s="18">
        <v>0</v>
      </c>
      <c r="CZ22" s="18">
        <v>0</v>
      </c>
      <c r="DA22" s="18">
        <v>0</v>
      </c>
      <c r="DB22" s="18"/>
      <c r="DC22" s="18">
        <v>0</v>
      </c>
      <c r="DD22" s="18">
        <v>51600</v>
      </c>
      <c r="DE22" s="255">
        <v>0</v>
      </c>
      <c r="DF22" s="18">
        <v>43915</v>
      </c>
      <c r="DG22" s="18">
        <v>0</v>
      </c>
      <c r="DH22" s="18">
        <v>0</v>
      </c>
      <c r="DI22" s="18">
        <v>12500</v>
      </c>
      <c r="DJ22" s="18">
        <v>30000</v>
      </c>
      <c r="DK22" s="229">
        <v>0</v>
      </c>
      <c r="DL22" s="255"/>
      <c r="DM22" s="18">
        <v>0</v>
      </c>
      <c r="DN22" s="18">
        <v>11.07</v>
      </c>
      <c r="DO22" s="18"/>
      <c r="DP22" s="229"/>
      <c r="DQ22" s="18">
        <v>295830.23</v>
      </c>
      <c r="DR22" s="18">
        <v>10000</v>
      </c>
      <c r="DS22" s="18">
        <v>0</v>
      </c>
      <c r="DT22" s="18">
        <v>-1000</v>
      </c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76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40">
        <f t="shared" si="0"/>
        <v>622181.08999999985</v>
      </c>
      <c r="FH22" s="46"/>
      <c r="FI22" s="46"/>
      <c r="FJ22" s="33">
        <v>94444.25</v>
      </c>
      <c r="FK22" s="185"/>
      <c r="FL22" s="33"/>
      <c r="FM22" s="33">
        <v>527736.83999999985</v>
      </c>
      <c r="FN22" s="225">
        <f t="shared" si="24"/>
        <v>0</v>
      </c>
      <c r="FO22" s="106"/>
      <c r="FP22" s="185"/>
      <c r="FQ22" s="185"/>
      <c r="FR22" s="18">
        <f t="shared" si="25"/>
        <v>0</v>
      </c>
      <c r="FS22" s="185"/>
      <c r="FT22" s="185">
        <v>0</v>
      </c>
      <c r="FU22" s="223"/>
      <c r="FV22" s="185"/>
      <c r="FW22" s="49" t="s">
        <v>143</v>
      </c>
      <c r="FX22" s="38">
        <f t="shared" si="26"/>
        <v>2227664.5300000003</v>
      </c>
      <c r="FY22" s="38"/>
      <c r="FZ22" s="37"/>
      <c r="GA22" s="37"/>
      <c r="GB22" s="84"/>
      <c r="GC22" s="40">
        <f t="shared" si="27"/>
        <v>488471</v>
      </c>
      <c r="GD22" s="104"/>
      <c r="GE22" s="104"/>
      <c r="GF22" s="104"/>
      <c r="GG22" s="104"/>
      <c r="GH22" s="117">
        <f t="shared" si="28"/>
        <v>0</v>
      </c>
      <c r="GI22" s="33">
        <v>488471</v>
      </c>
      <c r="GJ22" s="104"/>
      <c r="GK22" s="250"/>
      <c r="GL22" s="104"/>
      <c r="GM22" s="32"/>
      <c r="GN22" s="32">
        <v>900082.59</v>
      </c>
      <c r="GO22" s="32">
        <v>271824.94000000029</v>
      </c>
      <c r="GP22" s="32">
        <v>180680.73</v>
      </c>
      <c r="GQ22" s="32">
        <v>54565.270000000004</v>
      </c>
      <c r="GR22" s="32">
        <v>20000</v>
      </c>
      <c r="GS22" s="33">
        <v>6040</v>
      </c>
      <c r="GT22" s="32"/>
      <c r="GU22" s="32"/>
      <c r="GV22" s="18"/>
      <c r="GW22" s="67" t="s">
        <v>143</v>
      </c>
      <c r="GX22" s="34">
        <f t="shared" si="29"/>
        <v>8976201.1500000004</v>
      </c>
      <c r="GY22" s="34">
        <f t="shared" si="30"/>
        <v>28016794.760000002</v>
      </c>
    </row>
    <row r="23" spans="1:207" ht="15" customHeight="1">
      <c r="A23" s="18">
        <v>22</v>
      </c>
      <c r="B23" s="45" t="s">
        <v>144</v>
      </c>
      <c r="C23" s="103"/>
      <c r="D23" s="104">
        <f t="shared" si="1"/>
        <v>5415993.8899999997</v>
      </c>
      <c r="E23" s="104">
        <f t="shared" si="2"/>
        <v>113388</v>
      </c>
      <c r="F23" s="105"/>
      <c r="G23" s="105">
        <f t="shared" si="31"/>
        <v>0</v>
      </c>
      <c r="H23" s="105">
        <f t="shared" si="32"/>
        <v>0</v>
      </c>
      <c r="I23" s="105">
        <f t="shared" si="3"/>
        <v>0</v>
      </c>
      <c r="J23" s="105">
        <f t="shared" si="4"/>
        <v>0</v>
      </c>
      <c r="K23" s="105">
        <f t="shared" si="5"/>
        <v>3378</v>
      </c>
      <c r="L23" s="142">
        <f t="shared" si="6"/>
        <v>0</v>
      </c>
      <c r="M23" s="142"/>
      <c r="N23" s="142">
        <f t="shared" si="7"/>
        <v>1075317.6299999999</v>
      </c>
      <c r="O23" s="143">
        <f t="shared" si="8"/>
        <v>6608077.5199999996</v>
      </c>
      <c r="P23" s="18"/>
      <c r="Q23" s="142">
        <v>731500</v>
      </c>
      <c r="R23" s="32">
        <v>731500</v>
      </c>
      <c r="S23" s="142">
        <v>19604588</v>
      </c>
      <c r="T23" s="142">
        <v>5920585</v>
      </c>
      <c r="U23" s="55">
        <f t="shared" si="9"/>
        <v>25525173</v>
      </c>
      <c r="V23" s="46"/>
      <c r="W23" s="46"/>
      <c r="X23" s="46">
        <f t="shared" si="10"/>
        <v>0</v>
      </c>
      <c r="Y23" s="196">
        <f t="shared" si="11"/>
        <v>32864750.52</v>
      </c>
      <c r="Z23" s="45" t="s">
        <v>144</v>
      </c>
      <c r="AA23" s="106">
        <f t="shared" si="12"/>
        <v>0</v>
      </c>
      <c r="AB23" s="107">
        <f t="shared" si="13"/>
        <v>4424359.7300000004</v>
      </c>
      <c r="AC23" s="188">
        <f t="shared" si="14"/>
        <v>1947249.96</v>
      </c>
      <c r="AD23" s="188">
        <f t="shared" si="15"/>
        <v>588069.49000000022</v>
      </c>
      <c r="AE23" s="34">
        <f t="shared" si="16"/>
        <v>0</v>
      </c>
      <c r="AF23">
        <f t="shared" si="17"/>
        <v>380000</v>
      </c>
      <c r="AG23" s="46">
        <v>288000</v>
      </c>
      <c r="AH23" s="110">
        <f t="shared" si="18"/>
        <v>7627679.1800000006</v>
      </c>
      <c r="AI23" s="111"/>
      <c r="AJ23" s="37">
        <v>400000</v>
      </c>
      <c r="AK23" s="18"/>
      <c r="AL23" s="115">
        <f t="shared" si="19"/>
        <v>400000</v>
      </c>
      <c r="AM23" s="151"/>
      <c r="AN23" s="113"/>
      <c r="AO23" s="117">
        <f t="shared" si="20"/>
        <v>40892429.700000003</v>
      </c>
      <c r="AP23" s="67" t="s">
        <v>144</v>
      </c>
      <c r="AQ23" s="160"/>
      <c r="AR23" s="67"/>
      <c r="AS23" s="67"/>
      <c r="AT23" s="31">
        <f t="shared" si="21"/>
        <v>0</v>
      </c>
      <c r="AU23" s="67"/>
      <c r="AV23" s="67"/>
      <c r="AW23" s="67"/>
      <c r="AX23" s="214">
        <f>106649.55+25.5</f>
        <v>106675.05</v>
      </c>
      <c r="AY23" s="31">
        <f t="shared" si="22"/>
        <v>106675.05</v>
      </c>
      <c r="AZ23" s="67" t="s">
        <v>144</v>
      </c>
      <c r="BA23" s="229">
        <v>270646.26999999996</v>
      </c>
      <c r="BB23" s="104">
        <v>51035.6</v>
      </c>
      <c r="BC23" s="105"/>
      <c r="BD23" s="105"/>
      <c r="BE23" s="105"/>
      <c r="BF23" s="33">
        <v>0</v>
      </c>
      <c r="BG23" s="33">
        <v>4411</v>
      </c>
      <c r="BH23" s="33">
        <v>1000</v>
      </c>
      <c r="BI23" s="55"/>
      <c r="BJ23" s="33">
        <v>1024317.63</v>
      </c>
      <c r="BK23" s="142">
        <f t="shared" si="23"/>
        <v>1351410.5</v>
      </c>
      <c r="BL23" s="105">
        <v>0</v>
      </c>
      <c r="BM23" s="33"/>
      <c r="BN23" s="45">
        <v>0</v>
      </c>
      <c r="BO23" s="45"/>
      <c r="BP23" s="45"/>
      <c r="BQ23" s="246">
        <v>0</v>
      </c>
      <c r="BR23" s="45">
        <v>0</v>
      </c>
      <c r="BS23" s="45">
        <v>0</v>
      </c>
      <c r="BT23" s="45"/>
      <c r="BU23" s="45"/>
      <c r="BV23" s="45">
        <v>0</v>
      </c>
      <c r="BW23" s="45"/>
      <c r="BX23" s="45"/>
      <c r="BY23" s="18">
        <v>0</v>
      </c>
      <c r="BZ23" s="18"/>
      <c r="CA23" s="18"/>
      <c r="CB23" s="188"/>
      <c r="CC23" s="18"/>
      <c r="CD23" s="188"/>
      <c r="CE23" s="18">
        <v>306673.40000000002</v>
      </c>
      <c r="CF23" s="18">
        <v>0</v>
      </c>
      <c r="CG23" s="33"/>
      <c r="CH23" s="33"/>
      <c r="CI23" s="33">
        <v>0</v>
      </c>
      <c r="CJ23" s="33">
        <v>0</v>
      </c>
      <c r="CK23" s="67" t="s">
        <v>144</v>
      </c>
      <c r="CL23" s="67">
        <v>48000</v>
      </c>
      <c r="CM23" s="67"/>
      <c r="CN23" s="67"/>
      <c r="CO23" s="18"/>
      <c r="CP23" s="18"/>
      <c r="CQ23" s="18"/>
      <c r="CR23" s="18">
        <v>220929.53</v>
      </c>
      <c r="CS23" s="18"/>
      <c r="CT23" s="18"/>
      <c r="CU23" s="18"/>
      <c r="CV23" s="255">
        <v>0</v>
      </c>
      <c r="CW23" s="33"/>
      <c r="CX23" s="18">
        <v>1830894.76</v>
      </c>
      <c r="CY23" s="18">
        <v>10121.4</v>
      </c>
      <c r="CZ23" s="18">
        <v>0</v>
      </c>
      <c r="DA23" s="18">
        <v>0</v>
      </c>
      <c r="DB23" s="18"/>
      <c r="DC23" s="18">
        <v>0</v>
      </c>
      <c r="DD23" s="18">
        <v>61700</v>
      </c>
      <c r="DE23" s="255">
        <v>0</v>
      </c>
      <c r="DF23" s="18">
        <v>-15655.760000000002</v>
      </c>
      <c r="DG23" s="18">
        <v>62352.4</v>
      </c>
      <c r="DH23" s="18">
        <v>0</v>
      </c>
      <c r="DI23" s="18">
        <v>186000</v>
      </c>
      <c r="DJ23" s="18">
        <v>51000</v>
      </c>
      <c r="DK23" s="229">
        <v>0</v>
      </c>
      <c r="DL23" s="255"/>
      <c r="DM23" s="18">
        <v>0</v>
      </c>
      <c r="DN23" s="18">
        <v>0</v>
      </c>
      <c r="DO23" s="18"/>
      <c r="DP23" s="229"/>
      <c r="DQ23" s="18">
        <v>0</v>
      </c>
      <c r="DR23" s="18">
        <v>0</v>
      </c>
      <c r="DS23" s="18">
        <v>-1033</v>
      </c>
      <c r="DT23" s="18">
        <v>-1000</v>
      </c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76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40">
        <f t="shared" si="0"/>
        <v>2496684.29</v>
      </c>
      <c r="FH23" s="46"/>
      <c r="FI23" s="46"/>
      <c r="FJ23" s="33">
        <f>499784.03-356</f>
        <v>499428.03</v>
      </c>
      <c r="FK23" s="185"/>
      <c r="FL23" s="33"/>
      <c r="FM23" s="33">
        <v>1997256.2599999998</v>
      </c>
      <c r="FN23" s="225">
        <f t="shared" si="24"/>
        <v>0</v>
      </c>
      <c r="FO23" s="106"/>
      <c r="FP23" s="185"/>
      <c r="FQ23" s="185"/>
      <c r="FR23" s="18">
        <f t="shared" si="25"/>
        <v>380000</v>
      </c>
      <c r="FS23" s="185"/>
      <c r="FT23" s="185">
        <v>380000</v>
      </c>
      <c r="FU23" s="223"/>
      <c r="FV23" s="185"/>
      <c r="FW23" s="45" t="s">
        <v>144</v>
      </c>
      <c r="FX23" s="38">
        <f t="shared" si="26"/>
        <v>8029067.1800000006</v>
      </c>
      <c r="FY23" s="38"/>
      <c r="FZ23" s="37"/>
      <c r="GA23" s="37"/>
      <c r="GB23" s="84"/>
      <c r="GC23" s="40">
        <f t="shared" si="27"/>
        <v>4424359.7300000004</v>
      </c>
      <c r="GD23" s="104"/>
      <c r="GE23" s="104"/>
      <c r="GF23" s="104"/>
      <c r="GG23" s="104"/>
      <c r="GH23" s="117">
        <f t="shared" si="28"/>
        <v>0</v>
      </c>
      <c r="GI23" s="33">
        <v>1454251</v>
      </c>
      <c r="GJ23" s="104">
        <f>3249634.89-587526.16</f>
        <v>2662108.73</v>
      </c>
      <c r="GK23" s="250">
        <v>308000</v>
      </c>
      <c r="GL23" s="104"/>
      <c r="GM23" s="32"/>
      <c r="GN23" s="32">
        <v>1947249.96</v>
      </c>
      <c r="GO23" s="32">
        <v>588069.49000000022</v>
      </c>
      <c r="GP23" s="32">
        <v>0</v>
      </c>
      <c r="GQ23" s="32">
        <v>0</v>
      </c>
      <c r="GR23" s="32">
        <v>0</v>
      </c>
      <c r="GS23" s="33">
        <v>0</v>
      </c>
      <c r="GT23" s="32"/>
      <c r="GU23" s="32"/>
      <c r="GV23" s="18"/>
      <c r="GW23" s="67" t="s">
        <v>144</v>
      </c>
      <c r="GX23" s="34">
        <f t="shared" si="29"/>
        <v>12047171.25</v>
      </c>
      <c r="GY23" s="34">
        <f t="shared" si="30"/>
        <v>40892429.700000003</v>
      </c>
    </row>
    <row r="24" spans="1:207" ht="15" customHeight="1">
      <c r="A24" s="18">
        <v>24</v>
      </c>
      <c r="B24" s="45" t="s">
        <v>145</v>
      </c>
      <c r="C24" s="103"/>
      <c r="D24" s="104">
        <f t="shared" si="1"/>
        <v>5500793.1999999993</v>
      </c>
      <c r="E24" s="104">
        <f t="shared" si="2"/>
        <v>0</v>
      </c>
      <c r="F24" s="105"/>
      <c r="G24" s="105">
        <f t="shared" si="31"/>
        <v>0</v>
      </c>
      <c r="H24" s="105">
        <f t="shared" si="32"/>
        <v>0</v>
      </c>
      <c r="I24" s="105">
        <f t="shared" si="3"/>
        <v>0</v>
      </c>
      <c r="J24" s="105">
        <f t="shared" si="4"/>
        <v>14590</v>
      </c>
      <c r="K24" s="105">
        <f t="shared" si="5"/>
        <v>8114</v>
      </c>
      <c r="L24" s="142">
        <f t="shared" si="6"/>
        <v>548.88999999999942</v>
      </c>
      <c r="M24" s="142"/>
      <c r="N24" s="142">
        <f t="shared" si="7"/>
        <v>280823.24</v>
      </c>
      <c r="O24" s="143">
        <f t="shared" si="8"/>
        <v>5804869.3299999991</v>
      </c>
      <c r="P24" s="18"/>
      <c r="Q24" s="142">
        <v>331875</v>
      </c>
      <c r="R24" s="32">
        <v>331875</v>
      </c>
      <c r="S24" s="142">
        <v>13458958</v>
      </c>
      <c r="T24" s="142">
        <v>4064606</v>
      </c>
      <c r="U24" s="55">
        <f t="shared" si="9"/>
        <v>17523564</v>
      </c>
      <c r="V24" s="46"/>
      <c r="W24" s="46"/>
      <c r="X24" s="46">
        <f t="shared" si="10"/>
        <v>0</v>
      </c>
      <c r="Y24" s="196">
        <f t="shared" si="11"/>
        <v>23660308.329999998</v>
      </c>
      <c r="Z24" s="45" t="s">
        <v>145</v>
      </c>
      <c r="AA24" s="106">
        <f t="shared" si="12"/>
        <v>0</v>
      </c>
      <c r="AB24" s="107">
        <f t="shared" si="13"/>
        <v>1215869</v>
      </c>
      <c r="AC24" s="188">
        <f t="shared" si="14"/>
        <v>1103627.5900000001</v>
      </c>
      <c r="AD24" s="188">
        <f t="shared" si="15"/>
        <v>333295.5299999998</v>
      </c>
      <c r="AE24" s="34">
        <f t="shared" si="16"/>
        <v>0</v>
      </c>
      <c r="AF24">
        <f t="shared" si="17"/>
        <v>0</v>
      </c>
      <c r="AG24" s="46">
        <v>189000</v>
      </c>
      <c r="AH24" s="110">
        <f t="shared" si="18"/>
        <v>2841792.1199999996</v>
      </c>
      <c r="AI24" s="111"/>
      <c r="AJ24" s="37">
        <v>400000</v>
      </c>
      <c r="AK24" s="18"/>
      <c r="AL24" s="115">
        <f t="shared" si="19"/>
        <v>400000</v>
      </c>
      <c r="AM24" s="151"/>
      <c r="AN24" s="113"/>
      <c r="AO24" s="117">
        <f t="shared" si="20"/>
        <v>26902100.449999999</v>
      </c>
      <c r="AP24" s="67" t="s">
        <v>145</v>
      </c>
      <c r="AQ24" s="158"/>
      <c r="AR24" s="67"/>
      <c r="AS24" s="67"/>
      <c r="AT24" s="31">
        <f t="shared" si="21"/>
        <v>0</v>
      </c>
      <c r="AU24" s="67"/>
      <c r="AV24" s="67"/>
      <c r="AW24" s="67"/>
      <c r="AX24" s="214">
        <v>4953.3100000000004</v>
      </c>
      <c r="AY24" s="31">
        <f t="shared" si="22"/>
        <v>4953.3100000000004</v>
      </c>
      <c r="AZ24" s="67" t="s">
        <v>145</v>
      </c>
      <c r="BA24" s="229">
        <v>361257.76</v>
      </c>
      <c r="BB24" s="104">
        <v>0</v>
      </c>
      <c r="BC24" s="105"/>
      <c r="BD24" s="105"/>
      <c r="BE24" s="105"/>
      <c r="BF24" s="33">
        <v>14590</v>
      </c>
      <c r="BG24" s="33">
        <v>6156</v>
      </c>
      <c r="BH24" s="33">
        <v>1531.5399999999995</v>
      </c>
      <c r="BI24" s="55"/>
      <c r="BJ24" s="33">
        <v>260823.23999999996</v>
      </c>
      <c r="BK24" s="142">
        <f t="shared" si="23"/>
        <v>644358.53999999992</v>
      </c>
      <c r="BL24" s="105">
        <v>0</v>
      </c>
      <c r="BM24" s="33"/>
      <c r="BN24" s="49">
        <v>1596000</v>
      </c>
      <c r="BO24" s="49"/>
      <c r="BP24" s="49"/>
      <c r="BQ24" s="246">
        <v>0</v>
      </c>
      <c r="BR24" s="49">
        <v>44911</v>
      </c>
      <c r="BS24" s="49">
        <v>0</v>
      </c>
      <c r="BT24" s="49"/>
      <c r="BU24" s="49"/>
      <c r="BV24" s="49">
        <v>0</v>
      </c>
      <c r="BW24" s="49"/>
      <c r="BX24" s="49"/>
      <c r="BY24" s="18">
        <v>0</v>
      </c>
      <c r="BZ24" s="18"/>
      <c r="CA24" s="18"/>
      <c r="CB24" s="188"/>
      <c r="CC24" s="18"/>
      <c r="CD24" s="188">
        <v>92120</v>
      </c>
      <c r="CE24" s="18">
        <v>974489.59999999998</v>
      </c>
      <c r="CF24" s="18">
        <v>0</v>
      </c>
      <c r="CG24" s="33"/>
      <c r="CH24" s="33"/>
      <c r="CI24" s="33">
        <v>0</v>
      </c>
      <c r="CJ24" s="33">
        <v>0</v>
      </c>
      <c r="CK24" s="67" t="s">
        <v>145</v>
      </c>
      <c r="CL24" s="67">
        <v>0</v>
      </c>
      <c r="CM24" s="67"/>
      <c r="CN24" s="67"/>
      <c r="CO24" s="18"/>
      <c r="CP24" s="18"/>
      <c r="CQ24" s="18"/>
      <c r="CR24" s="18">
        <v>110000</v>
      </c>
      <c r="CS24" s="18"/>
      <c r="CT24" s="18"/>
      <c r="CU24" s="18"/>
      <c r="CV24" s="255">
        <v>0</v>
      </c>
      <c r="CW24" s="33"/>
      <c r="CX24" s="18">
        <v>0</v>
      </c>
      <c r="CY24" s="18">
        <v>106900</v>
      </c>
      <c r="CZ24" s="18">
        <v>0</v>
      </c>
      <c r="DA24" s="18">
        <v>0</v>
      </c>
      <c r="DB24" s="18"/>
      <c r="DC24" s="18">
        <v>36750</v>
      </c>
      <c r="DD24" s="18">
        <v>150000</v>
      </c>
      <c r="DE24" s="255">
        <v>0</v>
      </c>
      <c r="DF24" s="18">
        <v>44500</v>
      </c>
      <c r="DG24" s="18">
        <v>0</v>
      </c>
      <c r="DH24" s="18">
        <v>1958</v>
      </c>
      <c r="DI24" s="18">
        <v>10600</v>
      </c>
      <c r="DJ24" s="18">
        <v>0</v>
      </c>
      <c r="DK24" s="229">
        <v>0</v>
      </c>
      <c r="DL24" s="255"/>
      <c r="DM24" s="18">
        <v>180000</v>
      </c>
      <c r="DN24" s="18">
        <v>17.350000000000001</v>
      </c>
      <c r="DO24" s="18"/>
      <c r="DP24" s="229"/>
      <c r="DQ24" s="18">
        <v>400776.1</v>
      </c>
      <c r="DR24" s="18">
        <v>20000</v>
      </c>
      <c r="DS24" s="18">
        <v>0</v>
      </c>
      <c r="DT24" s="18">
        <v>-1000</v>
      </c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76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40">
        <f t="shared" si="0"/>
        <v>1392488.7399999998</v>
      </c>
      <c r="FH24" s="46"/>
      <c r="FI24" s="46"/>
      <c r="FJ24" s="33">
        <v>183718.91999999998</v>
      </c>
      <c r="FK24" s="185"/>
      <c r="FL24" s="33"/>
      <c r="FM24" s="33">
        <v>1208769.8199999998</v>
      </c>
      <c r="FN24" s="225">
        <f t="shared" si="24"/>
        <v>0</v>
      </c>
      <c r="FO24" s="106"/>
      <c r="FP24" s="185"/>
      <c r="FQ24" s="185"/>
      <c r="FR24" s="18">
        <f t="shared" si="25"/>
        <v>0</v>
      </c>
      <c r="FS24" s="185"/>
      <c r="FT24" s="185">
        <v>0</v>
      </c>
      <c r="FU24" s="223"/>
      <c r="FV24" s="185"/>
      <c r="FW24" s="49" t="s">
        <v>145</v>
      </c>
      <c r="FX24" s="38">
        <f t="shared" si="26"/>
        <v>3030792.1199999996</v>
      </c>
      <c r="FY24" s="38"/>
      <c r="FZ24" s="37"/>
      <c r="GA24" s="37"/>
      <c r="GB24" s="84"/>
      <c r="GC24" s="40">
        <f t="shared" si="27"/>
        <v>1215869</v>
      </c>
      <c r="GD24" s="104"/>
      <c r="GE24" s="104"/>
      <c r="GF24" s="104"/>
      <c r="GG24" s="104"/>
      <c r="GH24" s="117">
        <f t="shared" si="28"/>
        <v>0</v>
      </c>
      <c r="GI24" s="33">
        <v>840080</v>
      </c>
      <c r="GJ24" s="104"/>
      <c r="GK24" s="250">
        <v>375789</v>
      </c>
      <c r="GL24" s="104"/>
      <c r="GM24" s="32"/>
      <c r="GN24" s="32">
        <v>1103627.5900000001</v>
      </c>
      <c r="GO24" s="32">
        <v>333295.5299999998</v>
      </c>
      <c r="GP24" s="32">
        <v>0</v>
      </c>
      <c r="GQ24" s="32">
        <v>0</v>
      </c>
      <c r="GR24" s="32">
        <v>0</v>
      </c>
      <c r="GS24" s="33">
        <v>0</v>
      </c>
      <c r="GT24" s="32"/>
      <c r="GU24" s="32"/>
      <c r="GV24" s="18"/>
      <c r="GW24" s="67" t="s">
        <v>145</v>
      </c>
      <c r="GX24" s="34">
        <f t="shared" si="29"/>
        <v>7729360.4399999995</v>
      </c>
      <c r="GY24" s="34">
        <f t="shared" si="30"/>
        <v>26902100.449999999</v>
      </c>
    </row>
    <row r="25" spans="1:207" ht="15" customHeight="1">
      <c r="A25" s="18">
        <v>25</v>
      </c>
      <c r="B25" s="45" t="s">
        <v>146</v>
      </c>
      <c r="C25" s="103"/>
      <c r="D25" s="104">
        <f t="shared" si="1"/>
        <v>6375692.6600000001</v>
      </c>
      <c r="E25" s="104">
        <f t="shared" si="2"/>
        <v>0</v>
      </c>
      <c r="F25" s="105"/>
      <c r="G25" s="105">
        <f t="shared" si="31"/>
        <v>0</v>
      </c>
      <c r="H25" s="105">
        <f t="shared" si="32"/>
        <v>0</v>
      </c>
      <c r="I25" s="105">
        <f t="shared" si="3"/>
        <v>0</v>
      </c>
      <c r="J25" s="105">
        <f t="shared" si="4"/>
        <v>0</v>
      </c>
      <c r="K25" s="105">
        <f t="shared" si="5"/>
        <v>2448</v>
      </c>
      <c r="L25" s="142">
        <f t="shared" si="6"/>
        <v>339.24999999999977</v>
      </c>
      <c r="M25" s="142"/>
      <c r="N25" s="142">
        <f t="shared" si="7"/>
        <v>482173.55999999994</v>
      </c>
      <c r="O25" s="143">
        <f t="shared" si="8"/>
        <v>6860653.4699999997</v>
      </c>
      <c r="P25" s="18"/>
      <c r="Q25" s="142">
        <v>372750</v>
      </c>
      <c r="R25" s="32">
        <v>372750</v>
      </c>
      <c r="S25" s="142">
        <v>14181515</v>
      </c>
      <c r="T25" s="142">
        <v>4282817</v>
      </c>
      <c r="U25" s="55">
        <f t="shared" si="9"/>
        <v>18464332</v>
      </c>
      <c r="V25" s="46"/>
      <c r="W25" s="46"/>
      <c r="X25" s="46">
        <f t="shared" si="10"/>
        <v>0</v>
      </c>
      <c r="Y25" s="196">
        <f t="shared" si="11"/>
        <v>25697735.469999999</v>
      </c>
      <c r="Z25" s="45" t="s">
        <v>146</v>
      </c>
      <c r="AA25" s="106">
        <f t="shared" si="12"/>
        <v>0</v>
      </c>
      <c r="AB25" s="107">
        <f t="shared" si="13"/>
        <v>865004.65999999992</v>
      </c>
      <c r="AC25" s="188">
        <f t="shared" si="14"/>
        <v>925683.92</v>
      </c>
      <c r="AD25" s="188">
        <f t="shared" si="15"/>
        <v>279556.54999999993</v>
      </c>
      <c r="AE25" s="34">
        <f t="shared" si="16"/>
        <v>0</v>
      </c>
      <c r="AF25">
        <f t="shared" si="17"/>
        <v>0</v>
      </c>
      <c r="AG25" s="46">
        <v>171000</v>
      </c>
      <c r="AH25" s="110">
        <f t="shared" si="18"/>
        <v>2241245.13</v>
      </c>
      <c r="AI25" s="111"/>
      <c r="AJ25" s="37">
        <v>976430</v>
      </c>
      <c r="AK25" s="18">
        <v>12000</v>
      </c>
      <c r="AL25" s="115">
        <f t="shared" si="19"/>
        <v>988430</v>
      </c>
      <c r="AM25" s="151"/>
      <c r="AN25" s="113"/>
      <c r="AO25" s="117">
        <f t="shared" si="20"/>
        <v>28927410.599999998</v>
      </c>
      <c r="AP25" s="67" t="s">
        <v>146</v>
      </c>
      <c r="AQ25" s="160"/>
      <c r="AR25" s="67"/>
      <c r="AS25" s="67"/>
      <c r="AT25" s="31">
        <f t="shared" si="21"/>
        <v>0</v>
      </c>
      <c r="AU25" s="67"/>
      <c r="AV25" s="67"/>
      <c r="AW25" s="67"/>
      <c r="AX25" s="214">
        <v>114545.60000000001</v>
      </c>
      <c r="AY25" s="31">
        <f t="shared" si="22"/>
        <v>114545.60000000001</v>
      </c>
      <c r="AZ25" s="67" t="s">
        <v>146</v>
      </c>
      <c r="BA25" s="229">
        <v>283982.24999999994</v>
      </c>
      <c r="BB25" s="104">
        <v>0</v>
      </c>
      <c r="BC25" s="105"/>
      <c r="BD25" s="105"/>
      <c r="BE25" s="105"/>
      <c r="BF25" s="33">
        <v>0</v>
      </c>
      <c r="BG25" s="33">
        <v>3960</v>
      </c>
      <c r="BH25" s="33">
        <v>1327.2599999999998</v>
      </c>
      <c r="BI25" s="55"/>
      <c r="BJ25" s="33">
        <v>397173.55999999994</v>
      </c>
      <c r="BK25" s="142">
        <f t="shared" si="23"/>
        <v>686443.06999999983</v>
      </c>
      <c r="BL25" s="105">
        <v>0</v>
      </c>
      <c r="BM25" s="33"/>
      <c r="BN25" s="49">
        <v>1526000</v>
      </c>
      <c r="BO25" s="49"/>
      <c r="BP25" s="49"/>
      <c r="BQ25" s="246">
        <v>17000</v>
      </c>
      <c r="BR25" s="49">
        <v>54543</v>
      </c>
      <c r="BS25" s="49">
        <v>1199947.31</v>
      </c>
      <c r="BT25" s="49"/>
      <c r="BU25" s="49"/>
      <c r="BV25" s="49">
        <v>0</v>
      </c>
      <c r="BW25" s="49"/>
      <c r="BX25" s="49"/>
      <c r="BY25" s="18">
        <v>0</v>
      </c>
      <c r="BZ25" s="18"/>
      <c r="CA25" s="18"/>
      <c r="CB25" s="188"/>
      <c r="CC25" s="18"/>
      <c r="CD25" s="188">
        <v>60280</v>
      </c>
      <c r="CE25" s="18">
        <v>1692322.1</v>
      </c>
      <c r="CF25" s="18">
        <v>0</v>
      </c>
      <c r="CG25" s="33"/>
      <c r="CH25" s="33"/>
      <c r="CI25" s="33">
        <v>0</v>
      </c>
      <c r="CJ25" s="33">
        <v>0</v>
      </c>
      <c r="CK25" s="67" t="s">
        <v>146</v>
      </c>
      <c r="CL25" s="67">
        <v>47900</v>
      </c>
      <c r="CM25" s="67"/>
      <c r="CN25" s="67"/>
      <c r="CO25" s="18"/>
      <c r="CP25" s="18"/>
      <c r="CQ25" s="18"/>
      <c r="CR25" s="18">
        <v>30000</v>
      </c>
      <c r="CS25" s="18"/>
      <c r="CT25" s="18"/>
      <c r="CU25" s="18"/>
      <c r="CV25" s="255">
        <v>51000</v>
      </c>
      <c r="CW25" s="33"/>
      <c r="CX25" s="18">
        <v>0</v>
      </c>
      <c r="CY25" s="18">
        <v>0</v>
      </c>
      <c r="CZ25" s="18">
        <v>0</v>
      </c>
      <c r="DA25" s="18">
        <v>0</v>
      </c>
      <c r="DB25" s="18"/>
      <c r="DC25" s="18">
        <v>0</v>
      </c>
      <c r="DD25" s="18">
        <v>61500</v>
      </c>
      <c r="DE25" s="255">
        <v>14000</v>
      </c>
      <c r="DF25" s="18">
        <v>254111</v>
      </c>
      <c r="DG25" s="18">
        <v>0</v>
      </c>
      <c r="DH25" s="18">
        <v>0</v>
      </c>
      <c r="DI25" s="18">
        <v>53415</v>
      </c>
      <c r="DJ25" s="18">
        <v>85000</v>
      </c>
      <c r="DK25" s="229">
        <v>0</v>
      </c>
      <c r="DL25" s="255"/>
      <c r="DM25" s="18">
        <v>16000</v>
      </c>
      <c r="DN25" s="18">
        <v>11.99</v>
      </c>
      <c r="DO25" s="18"/>
      <c r="DP25" s="229"/>
      <c r="DQ25" s="18">
        <v>80950</v>
      </c>
      <c r="DR25" s="18">
        <v>0</v>
      </c>
      <c r="DS25" s="18">
        <v>-1512</v>
      </c>
      <c r="DT25" s="18">
        <v>-1000</v>
      </c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76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40">
        <f t="shared" si="0"/>
        <v>932741.99999999977</v>
      </c>
      <c r="FH25" s="46"/>
      <c r="FI25" s="46"/>
      <c r="FJ25" s="33">
        <v>100214.07999999999</v>
      </c>
      <c r="FK25" s="185"/>
      <c r="FL25" s="33"/>
      <c r="FM25" s="33">
        <v>832527.91999999981</v>
      </c>
      <c r="FN25" s="225">
        <f t="shared" si="24"/>
        <v>0</v>
      </c>
      <c r="FO25" s="106"/>
      <c r="FP25" s="185"/>
      <c r="FQ25" s="185"/>
      <c r="FR25" s="18">
        <f t="shared" si="25"/>
        <v>0</v>
      </c>
      <c r="FS25" s="185"/>
      <c r="FT25" s="185">
        <v>0</v>
      </c>
      <c r="FU25" s="223"/>
      <c r="FV25" s="185"/>
      <c r="FW25" s="49" t="s">
        <v>146</v>
      </c>
      <c r="FX25" s="38">
        <f t="shared" si="26"/>
        <v>2412245.13</v>
      </c>
      <c r="FY25" s="38"/>
      <c r="FZ25" s="37"/>
      <c r="GA25" s="37"/>
      <c r="GB25" s="84"/>
      <c r="GC25" s="40">
        <f t="shared" si="27"/>
        <v>865004.65999999992</v>
      </c>
      <c r="GD25" s="104"/>
      <c r="GE25" s="104"/>
      <c r="GF25" s="104"/>
      <c r="GG25" s="104"/>
      <c r="GH25" s="117">
        <f t="shared" si="28"/>
        <v>0</v>
      </c>
      <c r="GI25" s="33">
        <v>517235</v>
      </c>
      <c r="GJ25" s="104"/>
      <c r="GK25" s="250">
        <v>347769.66</v>
      </c>
      <c r="GL25" s="104"/>
      <c r="GM25" s="32"/>
      <c r="GN25" s="32">
        <v>925683.92</v>
      </c>
      <c r="GO25" s="32">
        <v>279556.54999999993</v>
      </c>
      <c r="GP25" s="32">
        <v>0</v>
      </c>
      <c r="GQ25" s="32">
        <v>0</v>
      </c>
      <c r="GR25" s="32">
        <v>0</v>
      </c>
      <c r="GS25" s="33">
        <v>0</v>
      </c>
      <c r="GT25" s="32"/>
      <c r="GU25" s="32"/>
      <c r="GV25" s="18"/>
      <c r="GW25" s="67" t="s">
        <v>146</v>
      </c>
      <c r="GX25" s="34">
        <f t="shared" si="29"/>
        <v>9072050.879999999</v>
      </c>
      <c r="GY25" s="34">
        <f t="shared" si="30"/>
        <v>28927410.599999998</v>
      </c>
    </row>
    <row r="26" spans="1:207" ht="15" customHeight="1">
      <c r="A26" s="18">
        <v>26</v>
      </c>
      <c r="B26" s="45" t="s">
        <v>147</v>
      </c>
      <c r="C26" s="103"/>
      <c r="D26" s="104">
        <f t="shared" si="1"/>
        <v>5445932.7400000002</v>
      </c>
      <c r="E26" s="104">
        <f t="shared" si="2"/>
        <v>0</v>
      </c>
      <c r="F26" s="105"/>
      <c r="G26" s="105">
        <f t="shared" si="31"/>
        <v>0</v>
      </c>
      <c r="H26" s="105">
        <f t="shared" si="32"/>
        <v>0</v>
      </c>
      <c r="I26" s="105">
        <f t="shared" si="3"/>
        <v>0</v>
      </c>
      <c r="J26" s="105">
        <f t="shared" si="4"/>
        <v>23892</v>
      </c>
      <c r="K26" s="105">
        <f t="shared" si="5"/>
        <v>10746</v>
      </c>
      <c r="L26" s="142">
        <f t="shared" si="6"/>
        <v>505.2199999999998</v>
      </c>
      <c r="M26" s="142"/>
      <c r="N26" s="142">
        <f t="shared" si="7"/>
        <v>1514749.28</v>
      </c>
      <c r="O26" s="143">
        <f t="shared" si="8"/>
        <v>6995825.2400000002</v>
      </c>
      <c r="P26" s="18"/>
      <c r="Q26" s="142">
        <v>878500</v>
      </c>
      <c r="R26" s="32">
        <v>878500</v>
      </c>
      <c r="S26" s="142">
        <v>23724919</v>
      </c>
      <c r="T26" s="142">
        <v>7164925</v>
      </c>
      <c r="U26" s="55">
        <f t="shared" si="9"/>
        <v>30889844</v>
      </c>
      <c r="V26" s="46"/>
      <c r="W26" s="46"/>
      <c r="X26" s="46">
        <f t="shared" si="10"/>
        <v>0</v>
      </c>
      <c r="Y26" s="196">
        <f t="shared" si="11"/>
        <v>38764169.240000002</v>
      </c>
      <c r="Z26" s="45" t="s">
        <v>147</v>
      </c>
      <c r="AA26" s="106">
        <f t="shared" si="12"/>
        <v>0</v>
      </c>
      <c r="AB26" s="107">
        <f t="shared" si="13"/>
        <v>1506035</v>
      </c>
      <c r="AC26" s="188">
        <f t="shared" si="14"/>
        <v>1861575.53</v>
      </c>
      <c r="AD26" s="188">
        <f t="shared" si="15"/>
        <v>562195.50000000023</v>
      </c>
      <c r="AE26" s="34">
        <f t="shared" si="16"/>
        <v>0</v>
      </c>
      <c r="AF26">
        <f t="shared" si="17"/>
        <v>1927709.72</v>
      </c>
      <c r="AG26" s="46">
        <v>279000</v>
      </c>
      <c r="AH26" s="110">
        <f t="shared" si="18"/>
        <v>6136515.75</v>
      </c>
      <c r="AI26" s="111"/>
      <c r="AJ26" s="37">
        <v>2831490</v>
      </c>
      <c r="AK26" s="18"/>
      <c r="AL26" s="115">
        <f t="shared" si="19"/>
        <v>2831490</v>
      </c>
      <c r="AM26" s="151"/>
      <c r="AN26" s="113"/>
      <c r="AO26" s="117">
        <f t="shared" si="20"/>
        <v>47732174.990000002</v>
      </c>
      <c r="AP26" s="67" t="s">
        <v>147</v>
      </c>
      <c r="AQ26" s="160"/>
      <c r="AR26" s="67"/>
      <c r="AS26" s="67"/>
      <c r="AT26" s="31">
        <f t="shared" si="21"/>
        <v>0</v>
      </c>
      <c r="AU26" s="67"/>
      <c r="AV26" s="67"/>
      <c r="AW26" s="67">
        <f>4371187.52-352929.68</f>
        <v>4018257.8399999994</v>
      </c>
      <c r="AX26" s="214">
        <v>202320.72</v>
      </c>
      <c r="AY26" s="31">
        <f t="shared" si="22"/>
        <v>4220578.5599999996</v>
      </c>
      <c r="AZ26" s="67" t="s">
        <v>147</v>
      </c>
      <c r="BA26" s="229">
        <v>880349.06000000029</v>
      </c>
      <c r="BB26" s="104">
        <v>0</v>
      </c>
      <c r="BC26" s="105"/>
      <c r="BD26" s="105"/>
      <c r="BE26" s="105"/>
      <c r="BF26" s="33">
        <v>23892</v>
      </c>
      <c r="BG26" s="33">
        <v>7734</v>
      </c>
      <c r="BH26" s="33">
        <v>1490.3199999999997</v>
      </c>
      <c r="BI26" s="55"/>
      <c r="BJ26" s="33">
        <v>1415749.28</v>
      </c>
      <c r="BK26" s="142">
        <f t="shared" si="23"/>
        <v>2329214.66</v>
      </c>
      <c r="BL26" s="105">
        <v>23100</v>
      </c>
      <c r="BM26" s="33"/>
      <c r="BN26" s="45">
        <v>0</v>
      </c>
      <c r="BO26" s="45"/>
      <c r="BP26" s="45"/>
      <c r="BQ26" s="246">
        <v>0</v>
      </c>
      <c r="BR26" s="45">
        <v>62193</v>
      </c>
      <c r="BS26" s="45">
        <v>0</v>
      </c>
      <c r="BT26" s="45"/>
      <c r="BU26" s="45"/>
      <c r="BV26" s="45">
        <v>0</v>
      </c>
      <c r="BW26" s="45"/>
      <c r="BX26" s="45"/>
      <c r="BY26" s="18">
        <v>0</v>
      </c>
      <c r="BZ26" s="18"/>
      <c r="CA26" s="18"/>
      <c r="CB26" s="188"/>
      <c r="CC26" s="18"/>
      <c r="CD26" s="188">
        <v>98700</v>
      </c>
      <c r="CE26" s="18">
        <v>749455.05</v>
      </c>
      <c r="CF26" s="18">
        <v>0</v>
      </c>
      <c r="CG26" s="33"/>
      <c r="CH26" s="33"/>
      <c r="CI26" s="33">
        <v>0</v>
      </c>
      <c r="CJ26" s="33">
        <v>48960</v>
      </c>
      <c r="CK26" s="67" t="s">
        <v>147</v>
      </c>
      <c r="CL26" s="67">
        <v>288650</v>
      </c>
      <c r="CM26" s="67"/>
      <c r="CN26" s="67"/>
      <c r="CO26" s="18"/>
      <c r="CP26" s="18"/>
      <c r="CQ26" s="18"/>
      <c r="CR26" s="18">
        <v>30000</v>
      </c>
      <c r="CS26" s="18"/>
      <c r="CT26" s="18"/>
      <c r="CU26" s="18"/>
      <c r="CV26" s="255">
        <v>0</v>
      </c>
      <c r="CW26" s="33"/>
      <c r="CX26" s="18">
        <v>0</v>
      </c>
      <c r="CY26" s="33">
        <v>0</v>
      </c>
      <c r="CZ26" s="33">
        <v>0</v>
      </c>
      <c r="DA26" s="33">
        <v>0</v>
      </c>
      <c r="DB26" s="33"/>
      <c r="DC26" s="33">
        <v>47000</v>
      </c>
      <c r="DD26" s="18">
        <v>136900</v>
      </c>
      <c r="DE26" s="255">
        <v>1024641.03</v>
      </c>
      <c r="DF26" s="18">
        <v>30744.5</v>
      </c>
      <c r="DG26" s="18">
        <v>0</v>
      </c>
      <c r="DH26" s="18">
        <v>3012</v>
      </c>
      <c r="DI26" s="18">
        <v>23500</v>
      </c>
      <c r="DJ26" s="18">
        <v>99000</v>
      </c>
      <c r="DK26" s="229">
        <v>0</v>
      </c>
      <c r="DL26" s="255"/>
      <c r="DM26" s="18">
        <v>132333.29999999999</v>
      </c>
      <c r="DN26" s="18">
        <v>14.9</v>
      </c>
      <c r="DO26" s="18"/>
      <c r="DP26" s="229"/>
      <c r="DQ26" s="18">
        <v>189000</v>
      </c>
      <c r="DR26" s="18">
        <v>0</v>
      </c>
      <c r="DS26" s="18">
        <v>0</v>
      </c>
      <c r="DT26" s="18">
        <v>-1000</v>
      </c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76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40">
        <f t="shared" si="0"/>
        <v>1680406.8</v>
      </c>
      <c r="FH26" s="46"/>
      <c r="FI26" s="46"/>
      <c r="FJ26" s="33">
        <v>0</v>
      </c>
      <c r="FK26" s="185"/>
      <c r="FL26" s="33"/>
      <c r="FM26" s="33">
        <v>1680406.8</v>
      </c>
      <c r="FN26" s="225">
        <f t="shared" si="24"/>
        <v>0</v>
      </c>
      <c r="FO26" s="106"/>
      <c r="FP26" s="185"/>
      <c r="FQ26" s="185"/>
      <c r="FR26" s="18">
        <f t="shared" si="25"/>
        <v>1927709.72</v>
      </c>
      <c r="FS26" s="185"/>
      <c r="FT26" s="185">
        <f>1927709.73-0.01</f>
        <v>1927709.72</v>
      </c>
      <c r="FU26" s="223"/>
      <c r="FV26" s="185"/>
      <c r="FW26" s="45" t="s">
        <v>147</v>
      </c>
      <c r="FX26" s="38">
        <f t="shared" si="26"/>
        <v>6415515.75</v>
      </c>
      <c r="FY26" s="38"/>
      <c r="FZ26" s="37"/>
      <c r="GA26" s="37"/>
      <c r="GB26" s="84"/>
      <c r="GC26" s="40">
        <f t="shared" si="27"/>
        <v>1506035</v>
      </c>
      <c r="GD26" s="104"/>
      <c r="GE26" s="104"/>
      <c r="GF26" s="104"/>
      <c r="GG26" s="104"/>
      <c r="GH26" s="117">
        <f t="shared" si="28"/>
        <v>0</v>
      </c>
      <c r="GI26" s="33">
        <v>1142763</v>
      </c>
      <c r="GJ26" s="104"/>
      <c r="GK26" s="250">
        <v>363272</v>
      </c>
      <c r="GL26" s="104"/>
      <c r="GM26" s="32"/>
      <c r="GN26" s="32">
        <v>1644896.34</v>
      </c>
      <c r="GO26" s="32">
        <v>496758.69000000018</v>
      </c>
      <c r="GP26" s="32">
        <v>196679.19</v>
      </c>
      <c r="GQ26" s="32">
        <v>59396.81</v>
      </c>
      <c r="GR26" s="32">
        <v>20000</v>
      </c>
      <c r="GS26" s="33">
        <v>6040</v>
      </c>
      <c r="GT26" s="32"/>
      <c r="GU26" s="32"/>
      <c r="GV26" s="18"/>
      <c r="GW26" s="67" t="s">
        <v>147</v>
      </c>
      <c r="GX26" s="34">
        <f t="shared" si="29"/>
        <v>12176707.02</v>
      </c>
      <c r="GY26" s="34">
        <f t="shared" si="30"/>
        <v>47732174.990000002</v>
      </c>
    </row>
    <row r="27" spans="1:207" ht="15" customHeight="1">
      <c r="A27" s="18">
        <v>27</v>
      </c>
      <c r="B27" s="45" t="s">
        <v>148</v>
      </c>
      <c r="C27" s="103"/>
      <c r="D27" s="104">
        <f t="shared" si="1"/>
        <v>5723094.1499999994</v>
      </c>
      <c r="E27" s="104">
        <f t="shared" si="2"/>
        <v>0</v>
      </c>
      <c r="F27" s="105"/>
      <c r="G27" s="105">
        <f t="shared" si="31"/>
        <v>0</v>
      </c>
      <c r="H27" s="105">
        <f t="shared" si="32"/>
        <v>0</v>
      </c>
      <c r="I27" s="105">
        <f t="shared" si="3"/>
        <v>0</v>
      </c>
      <c r="J27" s="105">
        <f t="shared" si="4"/>
        <v>0</v>
      </c>
      <c r="K27" s="105">
        <f t="shared" si="5"/>
        <v>5320</v>
      </c>
      <c r="L27" s="142">
        <f t="shared" si="6"/>
        <v>443.69000000000005</v>
      </c>
      <c r="M27" s="142"/>
      <c r="N27" s="142">
        <f t="shared" si="7"/>
        <v>244601.19999999995</v>
      </c>
      <c r="O27" s="143">
        <f t="shared" si="8"/>
        <v>5973459.04</v>
      </c>
      <c r="P27" s="18"/>
      <c r="Q27" s="142">
        <v>363125</v>
      </c>
      <c r="R27" s="32">
        <v>363125</v>
      </c>
      <c r="S27" s="142">
        <v>12612276</v>
      </c>
      <c r="T27" s="142">
        <v>3808908</v>
      </c>
      <c r="U27" s="55">
        <f t="shared" si="9"/>
        <v>16421184</v>
      </c>
      <c r="V27" s="46"/>
      <c r="W27" s="46"/>
      <c r="X27" s="46">
        <f t="shared" si="10"/>
        <v>0</v>
      </c>
      <c r="Y27" s="196">
        <f t="shared" si="11"/>
        <v>22757768.039999999</v>
      </c>
      <c r="Z27" s="45" t="s">
        <v>148</v>
      </c>
      <c r="AA27" s="106">
        <f t="shared" si="12"/>
        <v>400000</v>
      </c>
      <c r="AB27" s="107">
        <f t="shared" si="13"/>
        <v>1171400</v>
      </c>
      <c r="AC27" s="188">
        <f t="shared" si="14"/>
        <v>978564.24</v>
      </c>
      <c r="AD27" s="188">
        <f t="shared" si="15"/>
        <v>295526.40000000014</v>
      </c>
      <c r="AE27" s="34">
        <f t="shared" si="16"/>
        <v>0</v>
      </c>
      <c r="AF27">
        <f t="shared" si="17"/>
        <v>6511492.7400000002</v>
      </c>
      <c r="AG27" s="46">
        <v>198000</v>
      </c>
      <c r="AH27" s="110">
        <f t="shared" si="18"/>
        <v>9554983.3800000008</v>
      </c>
      <c r="AI27" s="111"/>
      <c r="AJ27" s="37">
        <v>170000</v>
      </c>
      <c r="AK27" s="18"/>
      <c r="AL27" s="115">
        <f t="shared" si="19"/>
        <v>170000</v>
      </c>
      <c r="AM27" s="151"/>
      <c r="AN27" s="113"/>
      <c r="AO27" s="117">
        <f t="shared" si="20"/>
        <v>32482751.420000002</v>
      </c>
      <c r="AP27" s="67" t="s">
        <v>148</v>
      </c>
      <c r="AQ27" s="94"/>
      <c r="AR27" s="67"/>
      <c r="AS27" s="67"/>
      <c r="AT27" s="31">
        <f t="shared" si="21"/>
        <v>0</v>
      </c>
      <c r="AU27" s="67"/>
      <c r="AV27" s="67"/>
      <c r="AW27" s="67"/>
      <c r="AX27" s="214">
        <v>62768.25</v>
      </c>
      <c r="AY27" s="31">
        <f t="shared" si="22"/>
        <v>62768.25</v>
      </c>
      <c r="AZ27" s="67" t="s">
        <v>148</v>
      </c>
      <c r="BA27" s="229">
        <v>307079.14999999997</v>
      </c>
      <c r="BB27" s="104">
        <v>0</v>
      </c>
      <c r="BC27" s="105"/>
      <c r="BD27" s="105"/>
      <c r="BE27" s="105"/>
      <c r="BF27" s="33">
        <v>0</v>
      </c>
      <c r="BG27" s="33">
        <v>5320</v>
      </c>
      <c r="BH27" s="33">
        <v>1000</v>
      </c>
      <c r="BI27" s="55"/>
      <c r="BJ27" s="33">
        <v>244601.19999999995</v>
      </c>
      <c r="BK27" s="142">
        <f t="shared" si="23"/>
        <v>558000.34999999986</v>
      </c>
      <c r="BL27" s="105">
        <v>0</v>
      </c>
      <c r="BM27" s="33"/>
      <c r="BN27" s="45">
        <v>1176000</v>
      </c>
      <c r="BO27" s="45"/>
      <c r="BP27" s="45"/>
      <c r="BQ27" s="246">
        <v>0</v>
      </c>
      <c r="BR27" s="45">
        <v>0</v>
      </c>
      <c r="BS27" s="45">
        <v>1199446.27</v>
      </c>
      <c r="BT27" s="45"/>
      <c r="BU27" s="45"/>
      <c r="BV27" s="45">
        <v>0</v>
      </c>
      <c r="BW27" s="45"/>
      <c r="BX27" s="45"/>
      <c r="BY27" s="18">
        <v>0</v>
      </c>
      <c r="BZ27" s="18"/>
      <c r="CA27" s="18"/>
      <c r="CB27" s="188"/>
      <c r="CC27" s="18"/>
      <c r="CD27" s="188"/>
      <c r="CE27" s="18">
        <f>1672947+6720979.22</f>
        <v>8393926.2199999988</v>
      </c>
      <c r="CF27" s="18">
        <v>0</v>
      </c>
      <c r="CG27" s="33"/>
      <c r="CH27" s="33"/>
      <c r="CI27" s="33">
        <v>0</v>
      </c>
      <c r="CJ27" s="33">
        <v>-6720979.2199999997</v>
      </c>
      <c r="CK27" s="67" t="s">
        <v>148</v>
      </c>
      <c r="CL27" s="67">
        <v>0</v>
      </c>
      <c r="CM27" s="67"/>
      <c r="CN27" s="67"/>
      <c r="CO27" s="18"/>
      <c r="CP27" s="18"/>
      <c r="CQ27" s="18"/>
      <c r="CR27" s="18">
        <v>105000.01000000001</v>
      </c>
      <c r="CS27" s="18"/>
      <c r="CT27" s="18"/>
      <c r="CU27" s="18"/>
      <c r="CV27" s="255">
        <v>0</v>
      </c>
      <c r="CW27" s="33"/>
      <c r="CX27" s="18">
        <v>0</v>
      </c>
      <c r="CY27" s="18">
        <v>40200</v>
      </c>
      <c r="CZ27" s="18">
        <v>0</v>
      </c>
      <c r="DA27" s="18">
        <v>0</v>
      </c>
      <c r="DB27" s="18"/>
      <c r="DC27" s="18">
        <v>0</v>
      </c>
      <c r="DD27" s="18">
        <v>24700</v>
      </c>
      <c r="DE27" s="255">
        <v>0</v>
      </c>
      <c r="DF27" s="18">
        <v>35620</v>
      </c>
      <c r="DG27" s="18">
        <v>0</v>
      </c>
      <c r="DH27" s="18">
        <v>0</v>
      </c>
      <c r="DI27" s="18">
        <v>1200</v>
      </c>
      <c r="DJ27" s="18">
        <v>0</v>
      </c>
      <c r="DK27" s="229">
        <v>0</v>
      </c>
      <c r="DL27" s="255"/>
      <c r="DM27" s="18">
        <v>0</v>
      </c>
      <c r="DN27" s="18">
        <v>443.69</v>
      </c>
      <c r="DO27" s="18"/>
      <c r="DP27" s="229"/>
      <c r="DQ27" s="18">
        <v>0</v>
      </c>
      <c r="DR27" s="18">
        <v>0</v>
      </c>
      <c r="DS27" s="18">
        <v>0</v>
      </c>
      <c r="DT27" s="18">
        <v>-1000</v>
      </c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76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40">
        <f t="shared" si="0"/>
        <v>1160901.72</v>
      </c>
      <c r="FH27" s="46"/>
      <c r="FI27" s="46"/>
      <c r="FJ27" s="33">
        <v>159752.94</v>
      </c>
      <c r="FK27" s="185"/>
      <c r="FL27" s="33"/>
      <c r="FM27" s="33">
        <v>1001148.7799999999</v>
      </c>
      <c r="FN27" s="225">
        <f t="shared" si="24"/>
        <v>400000</v>
      </c>
      <c r="FO27" s="106">
        <v>400000</v>
      </c>
      <c r="FP27" s="185"/>
      <c r="FQ27" s="185"/>
      <c r="FR27" s="18">
        <f t="shared" si="25"/>
        <v>6511492.7400000002</v>
      </c>
      <c r="FS27" s="185"/>
      <c r="FT27" s="185">
        <f>6717323.34+194169.4-400000</f>
        <v>6511492.7400000002</v>
      </c>
      <c r="FU27" s="223"/>
      <c r="FV27" s="185"/>
      <c r="FW27" s="45" t="s">
        <v>148</v>
      </c>
      <c r="FX27" s="38">
        <f t="shared" si="26"/>
        <v>9352983.3800000008</v>
      </c>
      <c r="FY27" s="38"/>
      <c r="FZ27" s="37"/>
      <c r="GA27" s="37"/>
      <c r="GB27" s="84"/>
      <c r="GC27" s="40">
        <f t="shared" si="27"/>
        <v>1171400</v>
      </c>
      <c r="GD27" s="104"/>
      <c r="GE27" s="104"/>
      <c r="GF27" s="104"/>
      <c r="GG27" s="104"/>
      <c r="GH27" s="117">
        <f t="shared" si="28"/>
        <v>0</v>
      </c>
      <c r="GI27" s="33">
        <v>803900</v>
      </c>
      <c r="GJ27" s="104"/>
      <c r="GK27" s="250">
        <v>367500</v>
      </c>
      <c r="GL27" s="104"/>
      <c r="GM27" s="32"/>
      <c r="GN27" s="32">
        <v>978564.24</v>
      </c>
      <c r="GO27" s="32">
        <v>295526.40000000014</v>
      </c>
      <c r="GP27" s="32">
        <v>0</v>
      </c>
      <c r="GQ27" s="32">
        <v>0</v>
      </c>
      <c r="GR27" s="32">
        <v>0</v>
      </c>
      <c r="GS27" s="33">
        <v>0</v>
      </c>
      <c r="GT27" s="32"/>
      <c r="GU27" s="32"/>
      <c r="GV27" s="18"/>
      <c r="GW27" s="67" t="s">
        <v>148</v>
      </c>
      <c r="GX27" s="34">
        <f t="shared" si="29"/>
        <v>7672220.3499999996</v>
      </c>
      <c r="GY27" s="34">
        <f t="shared" si="30"/>
        <v>32482751.420000002</v>
      </c>
    </row>
    <row r="28" spans="1:207" ht="15" customHeight="1">
      <c r="A28" s="18">
        <v>28</v>
      </c>
      <c r="B28" s="45" t="s">
        <v>149</v>
      </c>
      <c r="C28" s="103"/>
      <c r="D28" s="104">
        <f t="shared" si="1"/>
        <v>1780731.08</v>
      </c>
      <c r="E28" s="104">
        <f t="shared" si="2"/>
        <v>0</v>
      </c>
      <c r="F28" s="105"/>
      <c r="G28" s="105">
        <f t="shared" si="31"/>
        <v>0</v>
      </c>
      <c r="H28" s="105">
        <f t="shared" si="32"/>
        <v>0</v>
      </c>
      <c r="I28" s="105">
        <f t="shared" si="3"/>
        <v>0</v>
      </c>
      <c r="J28" s="105">
        <f t="shared" si="4"/>
        <v>553</v>
      </c>
      <c r="K28" s="105">
        <f t="shared" si="5"/>
        <v>0</v>
      </c>
      <c r="L28" s="142">
        <f t="shared" si="6"/>
        <v>161.83999999999969</v>
      </c>
      <c r="M28" s="142"/>
      <c r="N28" s="142">
        <f t="shared" si="7"/>
        <v>134536.20000000004</v>
      </c>
      <c r="O28" s="143">
        <f t="shared" si="8"/>
        <v>1915982.12</v>
      </c>
      <c r="P28" s="18"/>
      <c r="Q28" s="142">
        <v>136875</v>
      </c>
      <c r="R28" s="32">
        <v>136875</v>
      </c>
      <c r="S28" s="142">
        <v>8854011</v>
      </c>
      <c r="T28" s="142">
        <v>2673911</v>
      </c>
      <c r="U28" s="55">
        <f t="shared" si="9"/>
        <v>11527922</v>
      </c>
      <c r="V28" s="46"/>
      <c r="W28" s="46"/>
      <c r="X28" s="46">
        <f t="shared" si="10"/>
        <v>0</v>
      </c>
      <c r="Y28" s="196">
        <f t="shared" si="11"/>
        <v>13580779.120000001</v>
      </c>
      <c r="Z28" s="45" t="s">
        <v>149</v>
      </c>
      <c r="AA28" s="106">
        <f t="shared" si="12"/>
        <v>0</v>
      </c>
      <c r="AB28" s="107">
        <f t="shared" si="13"/>
        <v>680973.33000000007</v>
      </c>
      <c r="AC28" s="188">
        <f t="shared" si="14"/>
        <v>1156426.8900000001</v>
      </c>
      <c r="AD28" s="188">
        <f t="shared" si="15"/>
        <v>349240.62000000023</v>
      </c>
      <c r="AE28" s="34">
        <f t="shared" si="16"/>
        <v>0</v>
      </c>
      <c r="AF28">
        <f t="shared" si="17"/>
        <v>0</v>
      </c>
      <c r="AG28" s="46">
        <v>126000</v>
      </c>
      <c r="AH28" s="110">
        <f t="shared" si="18"/>
        <v>2312640.8400000003</v>
      </c>
      <c r="AI28" s="111"/>
      <c r="AJ28" s="37">
        <v>15000</v>
      </c>
      <c r="AK28" s="18"/>
      <c r="AL28" s="115">
        <f t="shared" si="19"/>
        <v>15000</v>
      </c>
      <c r="AM28" s="151"/>
      <c r="AN28" s="113"/>
      <c r="AO28" s="117">
        <f t="shared" si="20"/>
        <v>15908419.960000001</v>
      </c>
      <c r="AP28" s="67" t="s">
        <v>149</v>
      </c>
      <c r="AQ28" s="94"/>
      <c r="AR28" s="67"/>
      <c r="AS28" s="67"/>
      <c r="AT28" s="31">
        <f t="shared" si="21"/>
        <v>0</v>
      </c>
      <c r="AU28" s="67"/>
      <c r="AV28" s="67"/>
      <c r="AW28" s="67"/>
      <c r="AX28" s="214">
        <v>39987.54</v>
      </c>
      <c r="AY28" s="31">
        <f t="shared" si="22"/>
        <v>39987.54</v>
      </c>
      <c r="AZ28" s="67" t="s">
        <v>149</v>
      </c>
      <c r="BA28" s="229">
        <v>215406.4</v>
      </c>
      <c r="BB28" s="104">
        <v>0</v>
      </c>
      <c r="BC28" s="105"/>
      <c r="BD28" s="105"/>
      <c r="BE28" s="105"/>
      <c r="BF28" s="33">
        <v>553</v>
      </c>
      <c r="BG28" s="33">
        <v>0</v>
      </c>
      <c r="BH28" s="33">
        <v>1153.3499999999997</v>
      </c>
      <c r="BI28" s="55"/>
      <c r="BJ28" s="33">
        <v>134536.20000000004</v>
      </c>
      <c r="BK28" s="142">
        <f t="shared" si="23"/>
        <v>351648.95000000007</v>
      </c>
      <c r="BL28" s="105">
        <v>0</v>
      </c>
      <c r="BM28" s="33"/>
      <c r="BN28" s="49">
        <v>595000</v>
      </c>
      <c r="BO28" s="49"/>
      <c r="BP28" s="49"/>
      <c r="BQ28" s="246">
        <v>0</v>
      </c>
      <c r="BR28" s="49">
        <v>0</v>
      </c>
      <c r="BS28" s="49">
        <v>0</v>
      </c>
      <c r="BT28" s="49"/>
      <c r="BU28" s="49"/>
      <c r="BV28" s="49">
        <v>0</v>
      </c>
      <c r="BW28" s="49"/>
      <c r="BX28" s="49"/>
      <c r="BY28" s="18">
        <v>0</v>
      </c>
      <c r="BZ28" s="18"/>
      <c r="CA28" s="18"/>
      <c r="CB28" s="188"/>
      <c r="CC28" s="18"/>
      <c r="CD28" s="188"/>
      <c r="CE28" s="18">
        <v>447429.52</v>
      </c>
      <c r="CF28" s="18">
        <v>0</v>
      </c>
      <c r="CG28" s="33"/>
      <c r="CH28" s="33"/>
      <c r="CI28" s="33">
        <v>0</v>
      </c>
      <c r="CJ28" s="33">
        <v>0</v>
      </c>
      <c r="CK28" s="67" t="s">
        <v>149</v>
      </c>
      <c r="CL28" s="67">
        <v>0</v>
      </c>
      <c r="CM28" s="67"/>
      <c r="CN28" s="67"/>
      <c r="CO28" s="18"/>
      <c r="CP28" s="18"/>
      <c r="CQ28" s="18"/>
      <c r="CR28" s="18">
        <v>92000</v>
      </c>
      <c r="CS28" s="18"/>
      <c r="CT28" s="18"/>
      <c r="CU28" s="18"/>
      <c r="CV28" s="255">
        <v>0</v>
      </c>
      <c r="CW28" s="33"/>
      <c r="CX28" s="18">
        <v>0</v>
      </c>
      <c r="CY28" s="18">
        <v>0</v>
      </c>
      <c r="CZ28" s="18">
        <v>0</v>
      </c>
      <c r="DA28" s="18">
        <v>0</v>
      </c>
      <c r="DB28" s="18"/>
      <c r="DC28" s="18">
        <v>0</v>
      </c>
      <c r="DD28" s="18">
        <v>0</v>
      </c>
      <c r="DE28" s="255">
        <v>0</v>
      </c>
      <c r="DF28" s="18">
        <v>0</v>
      </c>
      <c r="DG28" s="18">
        <v>0</v>
      </c>
      <c r="DH28" s="18">
        <v>0</v>
      </c>
      <c r="DI28" s="18">
        <v>0</v>
      </c>
      <c r="DJ28" s="18">
        <v>0</v>
      </c>
      <c r="DK28" s="229">
        <v>0</v>
      </c>
      <c r="DL28" s="255"/>
      <c r="DM28" s="18">
        <v>0</v>
      </c>
      <c r="DN28" s="18">
        <v>8.49</v>
      </c>
      <c r="DO28" s="18"/>
      <c r="DP28" s="229"/>
      <c r="DQ28" s="18">
        <v>0</v>
      </c>
      <c r="DR28" s="18">
        <v>0</v>
      </c>
      <c r="DS28" s="18">
        <v>0</v>
      </c>
      <c r="DT28" s="18">
        <v>-1000</v>
      </c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76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40">
        <f t="shared" si="0"/>
        <v>430895.16</v>
      </c>
      <c r="FH28" s="46"/>
      <c r="FI28" s="46"/>
      <c r="FJ28" s="33">
        <v>86714.74</v>
      </c>
      <c r="FK28" s="185"/>
      <c r="FL28" s="33"/>
      <c r="FM28" s="33">
        <v>344180.42</v>
      </c>
      <c r="FN28" s="225">
        <f t="shared" si="24"/>
        <v>0</v>
      </c>
      <c r="FO28" s="106"/>
      <c r="FP28" s="185"/>
      <c r="FQ28" s="185"/>
      <c r="FR28" s="18">
        <f t="shared" si="25"/>
        <v>0</v>
      </c>
      <c r="FS28" s="185"/>
      <c r="FT28" s="185">
        <v>0</v>
      </c>
      <c r="FU28" s="223"/>
      <c r="FV28" s="185"/>
      <c r="FW28" s="49" t="s">
        <v>149</v>
      </c>
      <c r="FX28" s="38">
        <f t="shared" si="26"/>
        <v>2438640.8400000003</v>
      </c>
      <c r="FY28" s="38"/>
      <c r="FZ28" s="37"/>
      <c r="GA28" s="37"/>
      <c r="GB28" s="84"/>
      <c r="GC28" s="40">
        <f t="shared" si="27"/>
        <v>680973.33000000007</v>
      </c>
      <c r="GD28" s="18"/>
      <c r="GE28" s="104"/>
      <c r="GF28" s="104"/>
      <c r="GG28" s="104"/>
      <c r="GH28" s="117">
        <f t="shared" si="28"/>
        <v>0</v>
      </c>
      <c r="GI28" s="33">
        <v>327800</v>
      </c>
      <c r="GJ28" s="104"/>
      <c r="GK28" s="250">
        <v>353173.33</v>
      </c>
      <c r="GL28" s="104"/>
      <c r="GM28" s="32"/>
      <c r="GN28" s="32">
        <v>940511.14</v>
      </c>
      <c r="GO28" s="32">
        <v>284034.37000000023</v>
      </c>
      <c r="GP28" s="32">
        <v>195915.75</v>
      </c>
      <c r="GQ28" s="32">
        <v>59166.25</v>
      </c>
      <c r="GR28" s="32">
        <v>20000</v>
      </c>
      <c r="GS28" s="33">
        <v>6040</v>
      </c>
      <c r="GT28" s="32"/>
      <c r="GU28" s="32"/>
      <c r="GV28" s="18"/>
      <c r="GW28" s="67" t="s">
        <v>149</v>
      </c>
      <c r="GX28" s="34">
        <f t="shared" si="29"/>
        <v>2748115.6100000003</v>
      </c>
      <c r="GY28" s="34">
        <f t="shared" si="30"/>
        <v>15908419.960000001</v>
      </c>
    </row>
    <row r="29" spans="1:207" ht="15" customHeight="1">
      <c r="A29" s="18">
        <v>29</v>
      </c>
      <c r="B29" s="45" t="s">
        <v>150</v>
      </c>
      <c r="C29" s="103"/>
      <c r="D29" s="104">
        <f t="shared" si="1"/>
        <v>5133612.8699999992</v>
      </c>
      <c r="E29" s="104">
        <f t="shared" si="2"/>
        <v>0</v>
      </c>
      <c r="F29" s="105"/>
      <c r="G29" s="105">
        <f t="shared" si="31"/>
        <v>0</v>
      </c>
      <c r="H29" s="105">
        <f t="shared" si="32"/>
        <v>0</v>
      </c>
      <c r="I29" s="105">
        <f t="shared" si="3"/>
        <v>0</v>
      </c>
      <c r="J29" s="105">
        <f t="shared" si="4"/>
        <v>0</v>
      </c>
      <c r="K29" s="105">
        <f t="shared" si="5"/>
        <v>10839</v>
      </c>
      <c r="L29" s="142">
        <f t="shared" si="6"/>
        <v>344.97000000000025</v>
      </c>
      <c r="M29" s="142"/>
      <c r="N29" s="142">
        <f t="shared" si="7"/>
        <v>416613.52</v>
      </c>
      <c r="O29" s="143">
        <f t="shared" si="8"/>
        <v>5561410.3599999994</v>
      </c>
      <c r="P29" s="18"/>
      <c r="Q29" s="142">
        <v>571875</v>
      </c>
      <c r="R29" s="32">
        <v>571875</v>
      </c>
      <c r="S29" s="142">
        <v>18941824</v>
      </c>
      <c r="T29" s="142">
        <v>5720433</v>
      </c>
      <c r="U29" s="55">
        <f t="shared" si="9"/>
        <v>24662257</v>
      </c>
      <c r="V29" s="46"/>
      <c r="W29" s="46"/>
      <c r="X29" s="46">
        <f t="shared" si="10"/>
        <v>0</v>
      </c>
      <c r="Y29" s="196">
        <f t="shared" si="11"/>
        <v>30795542.359999999</v>
      </c>
      <c r="Z29" s="45" t="s">
        <v>150</v>
      </c>
      <c r="AA29" s="106">
        <f t="shared" si="12"/>
        <v>4583172.74</v>
      </c>
      <c r="AB29" s="107">
        <f t="shared" si="13"/>
        <v>6028250.0699999994</v>
      </c>
      <c r="AC29" s="188">
        <f t="shared" si="14"/>
        <v>1616981.3</v>
      </c>
      <c r="AD29" s="188">
        <f t="shared" si="15"/>
        <v>488328.34999999986</v>
      </c>
      <c r="AE29" s="34">
        <f t="shared" si="16"/>
        <v>57685814.120000005</v>
      </c>
      <c r="AF29">
        <f t="shared" si="17"/>
        <v>599000</v>
      </c>
      <c r="AG29" s="46">
        <v>270000</v>
      </c>
      <c r="AH29" s="110">
        <f t="shared" si="18"/>
        <v>71271546.579999998</v>
      </c>
      <c r="AI29" s="111"/>
      <c r="AJ29" s="37">
        <v>185000</v>
      </c>
      <c r="AK29" s="18"/>
      <c r="AL29" s="115">
        <f t="shared" si="19"/>
        <v>185000</v>
      </c>
      <c r="AM29" s="151"/>
      <c r="AN29" s="113"/>
      <c r="AO29" s="117">
        <f t="shared" si="20"/>
        <v>102252088.94</v>
      </c>
      <c r="AP29" s="67" t="s">
        <v>150</v>
      </c>
      <c r="AQ29" s="94"/>
      <c r="AR29" s="67"/>
      <c r="AS29" s="67"/>
      <c r="AT29" s="31">
        <f t="shared" si="21"/>
        <v>0</v>
      </c>
      <c r="AU29" s="67"/>
      <c r="AV29" s="67"/>
      <c r="AW29" s="67"/>
      <c r="AX29" s="214">
        <v>250067.48</v>
      </c>
      <c r="AY29" s="31">
        <f t="shared" si="22"/>
        <v>250067.48</v>
      </c>
      <c r="AZ29" s="67" t="s">
        <v>150</v>
      </c>
      <c r="BA29" s="229">
        <v>353459.61</v>
      </c>
      <c r="BB29" s="104">
        <v>0</v>
      </c>
      <c r="BC29" s="105"/>
      <c r="BD29" s="105"/>
      <c r="BE29" s="105"/>
      <c r="BF29" s="33">
        <v>0</v>
      </c>
      <c r="BG29" s="33">
        <v>9713</v>
      </c>
      <c r="BH29" s="33">
        <v>1332.6600000000003</v>
      </c>
      <c r="BI29" s="55"/>
      <c r="BJ29" s="33">
        <v>346613.52</v>
      </c>
      <c r="BK29" s="142">
        <f t="shared" si="23"/>
        <v>711118.79</v>
      </c>
      <c r="BL29" s="105">
        <v>0</v>
      </c>
      <c r="BM29" s="33"/>
      <c r="BN29" s="45">
        <v>594000</v>
      </c>
      <c r="BO29" s="45"/>
      <c r="BP29" s="45"/>
      <c r="BQ29" s="246">
        <v>0</v>
      </c>
      <c r="BR29" s="45">
        <v>151057</v>
      </c>
      <c r="BS29" s="45">
        <v>35313</v>
      </c>
      <c r="BT29" s="45"/>
      <c r="BU29" s="45"/>
      <c r="BV29" s="45">
        <v>0</v>
      </c>
      <c r="BW29" s="45"/>
      <c r="BX29" s="45"/>
      <c r="BY29" s="18">
        <v>0</v>
      </c>
      <c r="BZ29" s="18"/>
      <c r="CA29" s="18"/>
      <c r="CB29" s="188"/>
      <c r="CC29" s="18"/>
      <c r="CD29" s="188">
        <v>356300</v>
      </c>
      <c r="CE29" s="18">
        <v>121008</v>
      </c>
      <c r="CF29" s="18">
        <v>0</v>
      </c>
      <c r="CG29" s="33"/>
      <c r="CH29" s="33"/>
      <c r="CI29" s="33">
        <v>0</v>
      </c>
      <c r="CJ29" s="33">
        <v>0</v>
      </c>
      <c r="CK29" s="67" t="s">
        <v>150</v>
      </c>
      <c r="CL29" s="67">
        <v>0</v>
      </c>
      <c r="CM29" s="67"/>
      <c r="CN29" s="67"/>
      <c r="CO29" s="18"/>
      <c r="CP29" s="18"/>
      <c r="CQ29" s="18"/>
      <c r="CR29" s="18">
        <v>37200</v>
      </c>
      <c r="CS29" s="18"/>
      <c r="CT29" s="18"/>
      <c r="CU29" s="18"/>
      <c r="CV29" s="255">
        <v>0</v>
      </c>
      <c r="CW29" s="33"/>
      <c r="CX29" s="18">
        <v>0</v>
      </c>
      <c r="CY29" s="18">
        <v>0</v>
      </c>
      <c r="CZ29" s="18">
        <v>0</v>
      </c>
      <c r="DA29" s="18">
        <v>0</v>
      </c>
      <c r="DB29" s="18"/>
      <c r="DC29" s="18">
        <v>0</v>
      </c>
      <c r="DD29" s="18">
        <v>-100000</v>
      </c>
      <c r="DE29" s="255">
        <v>0</v>
      </c>
      <c r="DF29" s="18">
        <v>208850</v>
      </c>
      <c r="DG29" s="18">
        <v>0</v>
      </c>
      <c r="DH29" s="18">
        <v>1126</v>
      </c>
      <c r="DI29" s="18">
        <v>0</v>
      </c>
      <c r="DJ29" s="18">
        <v>0</v>
      </c>
      <c r="DK29" s="229">
        <v>0</v>
      </c>
      <c r="DL29" s="255"/>
      <c r="DM29" s="18">
        <v>423300</v>
      </c>
      <c r="DN29" s="18">
        <v>12.31</v>
      </c>
      <c r="DO29" s="18"/>
      <c r="DP29" s="229"/>
      <c r="DQ29" s="18">
        <v>796900</v>
      </c>
      <c r="DR29" s="18">
        <v>70000</v>
      </c>
      <c r="DS29" s="18">
        <v>0</v>
      </c>
      <c r="DT29" s="18">
        <v>-1000</v>
      </c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76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40">
        <f t="shared" si="0"/>
        <v>2156225.2599999998</v>
      </c>
      <c r="FH29" s="46"/>
      <c r="FI29" s="46"/>
      <c r="FJ29" s="33">
        <v>0</v>
      </c>
      <c r="FK29" s="185"/>
      <c r="FL29" s="33"/>
      <c r="FM29" s="33">
        <v>2156225.2599999998</v>
      </c>
      <c r="FN29" s="225">
        <f t="shared" si="24"/>
        <v>4583172.74</v>
      </c>
      <c r="FO29" s="106">
        <f>5000000-416827.26</f>
        <v>4583172.74</v>
      </c>
      <c r="FP29" s="185"/>
      <c r="FQ29" s="185"/>
      <c r="FR29" s="18">
        <f t="shared" si="25"/>
        <v>599000</v>
      </c>
      <c r="FS29" s="185"/>
      <c r="FT29" s="185">
        <f>600000-1000</f>
        <v>599000</v>
      </c>
      <c r="FU29" s="223"/>
      <c r="FV29" s="185"/>
      <c r="FW29" s="45" t="s">
        <v>150</v>
      </c>
      <c r="FX29" s="38">
        <f t="shared" si="26"/>
        <v>66958373.839999996</v>
      </c>
      <c r="FY29" s="38"/>
      <c r="FZ29" s="37"/>
      <c r="GA29" s="37"/>
      <c r="GB29" s="84"/>
      <c r="GC29" s="40">
        <f t="shared" si="27"/>
        <v>6028250.0699999994</v>
      </c>
      <c r="GD29" s="104"/>
      <c r="GE29" s="104">
        <v>57685814.120000005</v>
      </c>
      <c r="GF29" s="243">
        <v>4529920.0699999994</v>
      </c>
      <c r="GG29" s="104"/>
      <c r="GH29" s="117">
        <f>GE29</f>
        <v>57685814.120000005</v>
      </c>
      <c r="GI29" s="33">
        <v>1120330</v>
      </c>
      <c r="GJ29" s="104"/>
      <c r="GK29" s="250">
        <v>378000</v>
      </c>
      <c r="GL29" s="104"/>
      <c r="GM29" s="32"/>
      <c r="GN29" s="32">
        <v>1616981.3</v>
      </c>
      <c r="GO29" s="32">
        <v>488328.34999999986</v>
      </c>
      <c r="GP29" s="32">
        <v>0</v>
      </c>
      <c r="GQ29" s="32">
        <v>0</v>
      </c>
      <c r="GR29" s="32">
        <v>0</v>
      </c>
      <c r="GS29" s="33">
        <v>0</v>
      </c>
      <c r="GT29" s="232">
        <f>62827558.74-4574466.94+0.01-19691666.38</f>
        <v>38561425.430000007</v>
      </c>
      <c r="GU29" s="232">
        <v>4574466.9400000004</v>
      </c>
      <c r="GV29" s="233"/>
      <c r="GW29" s="67" t="s">
        <v>150</v>
      </c>
      <c r="GX29" s="34">
        <f t="shared" si="29"/>
        <v>12335351.459999997</v>
      </c>
      <c r="GY29" s="34">
        <f t="shared" si="30"/>
        <v>102252088.94</v>
      </c>
    </row>
    <row r="30" spans="1:207" ht="15" customHeight="1">
      <c r="A30" s="18">
        <v>30</v>
      </c>
      <c r="B30" s="45" t="s">
        <v>151</v>
      </c>
      <c r="C30" s="103"/>
      <c r="D30" s="104">
        <f t="shared" si="1"/>
        <v>0</v>
      </c>
      <c r="E30" s="104">
        <f t="shared" si="2"/>
        <v>0</v>
      </c>
      <c r="F30" s="105"/>
      <c r="G30" s="105">
        <f t="shared" si="31"/>
        <v>0</v>
      </c>
      <c r="H30" s="105">
        <f t="shared" si="32"/>
        <v>0</v>
      </c>
      <c r="I30" s="105">
        <f t="shared" si="3"/>
        <v>0</v>
      </c>
      <c r="J30" s="105">
        <f t="shared" si="4"/>
        <v>0</v>
      </c>
      <c r="K30" s="105">
        <f t="shared" si="5"/>
        <v>0</v>
      </c>
      <c r="L30" s="142">
        <f t="shared" si="6"/>
        <v>0</v>
      </c>
      <c r="M30" s="142"/>
      <c r="N30" s="142">
        <f t="shared" si="7"/>
        <v>0</v>
      </c>
      <c r="O30" s="143">
        <f t="shared" si="8"/>
        <v>0</v>
      </c>
      <c r="P30" s="18"/>
      <c r="Q30" s="142">
        <v>0</v>
      </c>
      <c r="R30" s="32">
        <v>0</v>
      </c>
      <c r="S30" s="142">
        <v>0</v>
      </c>
      <c r="T30" s="142">
        <v>0</v>
      </c>
      <c r="U30" s="55">
        <f t="shared" si="9"/>
        <v>0</v>
      </c>
      <c r="V30" s="46"/>
      <c r="W30" s="46"/>
      <c r="X30" s="46">
        <f t="shared" si="10"/>
        <v>0</v>
      </c>
      <c r="Y30" s="196">
        <f t="shared" si="11"/>
        <v>0</v>
      </c>
      <c r="Z30" s="45" t="s">
        <v>151</v>
      </c>
      <c r="AA30" s="106">
        <f t="shared" si="12"/>
        <v>0</v>
      </c>
      <c r="AB30" s="107">
        <f t="shared" si="13"/>
        <v>0</v>
      </c>
      <c r="AC30" s="188">
        <f t="shared" si="14"/>
        <v>0</v>
      </c>
      <c r="AD30" s="188">
        <f t="shared" si="15"/>
        <v>0</v>
      </c>
      <c r="AE30" s="34">
        <f t="shared" si="16"/>
        <v>0</v>
      </c>
      <c r="AF30">
        <f t="shared" si="17"/>
        <v>0</v>
      </c>
      <c r="AG30" s="46">
        <v>0</v>
      </c>
      <c r="AH30" s="110">
        <f t="shared" si="18"/>
        <v>0</v>
      </c>
      <c r="AI30" s="111"/>
      <c r="AJ30" s="37">
        <v>0</v>
      </c>
      <c r="AK30" s="18"/>
      <c r="AL30" s="115">
        <f t="shared" si="19"/>
        <v>0</v>
      </c>
      <c r="AM30" s="151"/>
      <c r="AN30" s="113"/>
      <c r="AO30" s="117">
        <f t="shared" si="20"/>
        <v>0</v>
      </c>
      <c r="AP30" s="67" t="s">
        <v>151</v>
      </c>
      <c r="AQ30" s="94"/>
      <c r="AR30" s="67"/>
      <c r="AS30" s="67"/>
      <c r="AT30" s="31">
        <f t="shared" si="21"/>
        <v>0</v>
      </c>
      <c r="AU30" s="67"/>
      <c r="AV30" s="67"/>
      <c r="AW30" s="67"/>
      <c r="AX30" s="214">
        <v>0</v>
      </c>
      <c r="AY30" s="31">
        <f t="shared" si="22"/>
        <v>0</v>
      </c>
      <c r="AZ30" s="67" t="s">
        <v>151</v>
      </c>
      <c r="BA30" s="229">
        <v>0</v>
      </c>
      <c r="BB30" s="104">
        <v>0</v>
      </c>
      <c r="BC30" s="105"/>
      <c r="BD30" s="105"/>
      <c r="BE30" s="105"/>
      <c r="BF30" s="33">
        <v>0</v>
      </c>
      <c r="BG30" s="33">
        <v>0</v>
      </c>
      <c r="BH30" s="33">
        <v>0</v>
      </c>
      <c r="BI30" s="55"/>
      <c r="BJ30" s="33">
        <v>0</v>
      </c>
      <c r="BK30" s="142">
        <f t="shared" si="23"/>
        <v>0</v>
      </c>
      <c r="BL30" s="105">
        <v>0</v>
      </c>
      <c r="BM30" s="33"/>
      <c r="BN30" s="49">
        <v>0</v>
      </c>
      <c r="BO30" s="49"/>
      <c r="BP30" s="49"/>
      <c r="BQ30" s="246">
        <v>0</v>
      </c>
      <c r="BR30" s="49">
        <v>0</v>
      </c>
      <c r="BS30" s="49">
        <v>0</v>
      </c>
      <c r="BT30" s="49"/>
      <c r="BU30" s="49"/>
      <c r="BV30" s="49">
        <v>0</v>
      </c>
      <c r="BW30" s="49"/>
      <c r="BX30" s="49"/>
      <c r="BY30" s="18">
        <v>0</v>
      </c>
      <c r="BZ30" s="18"/>
      <c r="CA30" s="18"/>
      <c r="CB30" s="188"/>
      <c r="CC30" s="18"/>
      <c r="CD30" s="188"/>
      <c r="CE30" s="18">
        <v>0</v>
      </c>
      <c r="CF30" s="18">
        <v>0</v>
      </c>
      <c r="CG30" s="33"/>
      <c r="CH30" s="33"/>
      <c r="CI30" s="33">
        <v>0</v>
      </c>
      <c r="CJ30" s="33">
        <v>0</v>
      </c>
      <c r="CK30" s="67" t="s">
        <v>151</v>
      </c>
      <c r="CL30" s="67">
        <v>0</v>
      </c>
      <c r="CM30" s="67"/>
      <c r="CN30" s="67"/>
      <c r="CO30" s="18"/>
      <c r="CP30" s="18"/>
      <c r="CQ30" s="18"/>
      <c r="CR30" s="18">
        <v>0</v>
      </c>
      <c r="CS30" s="18"/>
      <c r="CT30" s="18"/>
      <c r="CU30" s="18"/>
      <c r="CV30" s="255">
        <v>0</v>
      </c>
      <c r="CW30" s="33"/>
      <c r="CX30" s="18">
        <v>0</v>
      </c>
      <c r="CY30" s="18">
        <v>0</v>
      </c>
      <c r="CZ30" s="18">
        <v>0</v>
      </c>
      <c r="DA30" s="18">
        <v>0</v>
      </c>
      <c r="DB30" s="18"/>
      <c r="DC30" s="18">
        <v>0</v>
      </c>
      <c r="DD30" s="18">
        <v>0</v>
      </c>
      <c r="DE30" s="255">
        <v>0</v>
      </c>
      <c r="DF30" s="18">
        <v>0</v>
      </c>
      <c r="DG30" s="18">
        <v>0</v>
      </c>
      <c r="DH30" s="18">
        <v>0</v>
      </c>
      <c r="DI30" s="18">
        <v>0</v>
      </c>
      <c r="DJ30" s="18">
        <v>0</v>
      </c>
      <c r="DK30" s="229">
        <v>0</v>
      </c>
      <c r="DL30" s="255"/>
      <c r="DM30" s="18">
        <v>0</v>
      </c>
      <c r="DN30" s="18">
        <v>0</v>
      </c>
      <c r="DO30" s="18"/>
      <c r="DP30" s="229"/>
      <c r="DQ30" s="18">
        <v>0</v>
      </c>
      <c r="DR30" s="18">
        <v>0</v>
      </c>
      <c r="DS30" s="18">
        <v>0</v>
      </c>
      <c r="DT30" s="18">
        <v>0</v>
      </c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76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40">
        <f t="shared" si="0"/>
        <v>0</v>
      </c>
      <c r="FH30" s="46"/>
      <c r="FI30" s="46"/>
      <c r="FJ30" s="33">
        <v>0</v>
      </c>
      <c r="FK30" s="18"/>
      <c r="FL30" s="33"/>
      <c r="FM30" s="33">
        <v>0</v>
      </c>
      <c r="FN30" s="225">
        <f t="shared" si="24"/>
        <v>0</v>
      </c>
      <c r="FO30" s="106"/>
      <c r="FP30" s="18"/>
      <c r="FQ30" s="18"/>
      <c r="FR30" s="18">
        <f t="shared" si="25"/>
        <v>0</v>
      </c>
      <c r="FS30" s="18"/>
      <c r="FT30" s="18">
        <v>0</v>
      </c>
      <c r="FU30" s="220"/>
      <c r="FV30" s="18"/>
      <c r="FW30" s="49" t="s">
        <v>151</v>
      </c>
      <c r="FX30" s="38">
        <f t="shared" si="26"/>
        <v>0</v>
      </c>
      <c r="FY30" s="38"/>
      <c r="FZ30" s="37"/>
      <c r="GA30" s="37"/>
      <c r="GB30" s="84"/>
      <c r="GC30" s="40">
        <f t="shared" si="27"/>
        <v>0</v>
      </c>
      <c r="GD30" s="104"/>
      <c r="GE30" s="104"/>
      <c r="GF30" s="104"/>
      <c r="GG30" s="104"/>
      <c r="GH30" s="117">
        <f t="shared" si="28"/>
        <v>0</v>
      </c>
      <c r="GI30" s="33">
        <v>0</v>
      </c>
      <c r="GJ30" s="104"/>
      <c r="GK30" s="250"/>
      <c r="GL30" s="104"/>
      <c r="GM30" s="32"/>
      <c r="GN30" s="32">
        <v>0</v>
      </c>
      <c r="GO30" s="32">
        <v>0</v>
      </c>
      <c r="GP30" s="32">
        <v>0</v>
      </c>
      <c r="GQ30" s="32">
        <v>0</v>
      </c>
      <c r="GR30" s="32">
        <v>0</v>
      </c>
      <c r="GS30" s="33">
        <v>0</v>
      </c>
      <c r="GT30" s="32"/>
      <c r="GU30" s="32"/>
      <c r="GV30" s="18"/>
      <c r="GW30" s="67" t="s">
        <v>151</v>
      </c>
      <c r="GX30" s="34">
        <f t="shared" si="29"/>
        <v>0</v>
      </c>
      <c r="GY30" s="34">
        <f t="shared" si="30"/>
        <v>0</v>
      </c>
    </row>
    <row r="31" spans="1:207" ht="15" customHeight="1">
      <c r="A31" s="18">
        <v>31</v>
      </c>
      <c r="B31" s="45" t="s">
        <v>152</v>
      </c>
      <c r="C31" s="103"/>
      <c r="D31" s="104">
        <f>BA31+FG31+BL31+BN31+BQ31+BR31+BV31+CB31+CD31+CE31+BY31+CI31+CV31+CY31+DC31+CR31+DD31+DE31+DF31+DI31+DL31+DM31+EO31+ER31+BS31+CL31+DP31+DQ31+DU31+DW31+DY31+EC31+ED31+EF31+EG31+EH31+EW31+FC31+CJ31+CX31</f>
        <v>5923808.9500000002</v>
      </c>
      <c r="E31" s="104">
        <f t="shared" si="2"/>
        <v>0</v>
      </c>
      <c r="F31" s="105"/>
      <c r="G31" s="105">
        <f t="shared" si="31"/>
        <v>29205</v>
      </c>
      <c r="H31" s="105">
        <f t="shared" si="32"/>
        <v>8819.85</v>
      </c>
      <c r="I31" s="105">
        <f t="shared" si="3"/>
        <v>0</v>
      </c>
      <c r="J31" s="105">
        <f t="shared" si="4"/>
        <v>0</v>
      </c>
      <c r="K31" s="105">
        <f t="shared" si="5"/>
        <v>13731</v>
      </c>
      <c r="L31" s="142">
        <f t="shared" si="6"/>
        <v>201.57000000000039</v>
      </c>
      <c r="M31" s="142"/>
      <c r="N31" s="142">
        <f t="shared" si="7"/>
        <v>395154.47999999992</v>
      </c>
      <c r="O31" s="143">
        <f t="shared" si="8"/>
        <v>6370920.8499999996</v>
      </c>
      <c r="P31" s="18"/>
      <c r="Q31" s="142">
        <v>480000</v>
      </c>
      <c r="R31" s="32">
        <v>480000</v>
      </c>
      <c r="S31" s="142">
        <v>14470247</v>
      </c>
      <c r="T31" s="142">
        <v>4370015</v>
      </c>
      <c r="U31" s="55">
        <f t="shared" si="9"/>
        <v>18840262</v>
      </c>
      <c r="V31" s="46"/>
      <c r="W31" s="46"/>
      <c r="X31" s="46">
        <f t="shared" si="10"/>
        <v>0</v>
      </c>
      <c r="Y31" s="196">
        <f t="shared" si="11"/>
        <v>25691182.850000001</v>
      </c>
      <c r="Z31" s="45" t="s">
        <v>152</v>
      </c>
      <c r="AA31" s="106">
        <f t="shared" si="12"/>
        <v>0</v>
      </c>
      <c r="AB31" s="107">
        <f t="shared" si="13"/>
        <v>1363206</v>
      </c>
      <c r="AC31" s="188">
        <f t="shared" si="14"/>
        <v>1379097.33</v>
      </c>
      <c r="AD31" s="188">
        <f t="shared" si="15"/>
        <v>416487.08999999985</v>
      </c>
      <c r="AE31" s="34">
        <f t="shared" si="16"/>
        <v>0</v>
      </c>
      <c r="AF31">
        <f t="shared" si="17"/>
        <v>4579873.97</v>
      </c>
      <c r="AG31" s="46">
        <v>162000</v>
      </c>
      <c r="AH31" s="110">
        <f t="shared" si="18"/>
        <v>7900664.3899999997</v>
      </c>
      <c r="AI31" s="111"/>
      <c r="AJ31" s="37">
        <v>470000</v>
      </c>
      <c r="AK31" s="18"/>
      <c r="AL31" s="115">
        <f t="shared" si="19"/>
        <v>470000</v>
      </c>
      <c r="AM31" s="151"/>
      <c r="AN31" s="113"/>
      <c r="AO31" s="117">
        <f t="shared" si="20"/>
        <v>34061847.240000002</v>
      </c>
      <c r="AP31" s="67" t="s">
        <v>152</v>
      </c>
      <c r="AQ31" s="94"/>
      <c r="AR31" s="67"/>
      <c r="AS31" s="67"/>
      <c r="AT31" s="31">
        <f t="shared" si="21"/>
        <v>0</v>
      </c>
      <c r="AU31" s="67"/>
      <c r="AV31" s="67"/>
      <c r="AW31" s="67"/>
      <c r="AX31" s="214">
        <v>57644</v>
      </c>
      <c r="AY31" s="31">
        <f t="shared" si="22"/>
        <v>57644</v>
      </c>
      <c r="AZ31" s="67" t="s">
        <v>152</v>
      </c>
      <c r="BA31" s="229">
        <v>444236.58000000013</v>
      </c>
      <c r="BB31" s="104">
        <v>0</v>
      </c>
      <c r="BC31" s="105"/>
      <c r="BD31" s="105"/>
      <c r="BE31" s="105"/>
      <c r="BF31" s="33">
        <v>0</v>
      </c>
      <c r="BG31" s="33">
        <v>11259</v>
      </c>
      <c r="BH31" s="33">
        <v>1199.6900000000003</v>
      </c>
      <c r="BI31" s="55"/>
      <c r="BJ31" s="33">
        <v>395154.47999999992</v>
      </c>
      <c r="BK31" s="142">
        <f t="shared" si="23"/>
        <v>851849.75</v>
      </c>
      <c r="BL31" s="105">
        <v>0</v>
      </c>
      <c r="BM31" s="33"/>
      <c r="BN31" s="45">
        <v>840000</v>
      </c>
      <c r="BO31" s="45"/>
      <c r="BP31" s="45"/>
      <c r="BQ31" s="246">
        <v>0</v>
      </c>
      <c r="BR31" s="45">
        <v>56470</v>
      </c>
      <c r="BS31" s="45">
        <v>0</v>
      </c>
      <c r="BT31" s="45"/>
      <c r="BU31" s="45"/>
      <c r="BV31" s="45">
        <v>0</v>
      </c>
      <c r="BW31" s="45"/>
      <c r="BX31" s="45"/>
      <c r="BY31" s="18">
        <v>0</v>
      </c>
      <c r="BZ31" s="18"/>
      <c r="CA31" s="18"/>
      <c r="CB31" s="188"/>
      <c r="CC31" s="18"/>
      <c r="CD31" s="188">
        <v>104120</v>
      </c>
      <c r="CE31" s="18">
        <v>676081.4</v>
      </c>
      <c r="CF31" s="18">
        <v>0</v>
      </c>
      <c r="CG31" s="33"/>
      <c r="CH31" s="33"/>
      <c r="CI31" s="33">
        <v>22900</v>
      </c>
      <c r="CJ31" s="33">
        <v>0</v>
      </c>
      <c r="CK31" s="67" t="s">
        <v>152</v>
      </c>
      <c r="CL31" s="67">
        <v>54000</v>
      </c>
      <c r="CM31" s="67"/>
      <c r="CN31" s="67"/>
      <c r="CO31" s="18"/>
      <c r="CP31" s="18"/>
      <c r="CQ31" s="18"/>
      <c r="CR31" s="18">
        <v>30000</v>
      </c>
      <c r="CS31" s="18"/>
      <c r="CT31" s="18"/>
      <c r="CU31" s="18"/>
      <c r="CV31" s="255">
        <v>0</v>
      </c>
      <c r="CW31" s="33"/>
      <c r="CX31" s="18">
        <v>0</v>
      </c>
      <c r="CY31" s="18">
        <v>0</v>
      </c>
      <c r="CZ31" s="18">
        <v>0</v>
      </c>
      <c r="DA31" s="18">
        <v>0</v>
      </c>
      <c r="DB31" s="18"/>
      <c r="DC31" s="18">
        <v>0</v>
      </c>
      <c r="DD31" s="18">
        <v>206000</v>
      </c>
      <c r="DE31" s="255">
        <v>0</v>
      </c>
      <c r="DF31" s="18">
        <v>0</v>
      </c>
      <c r="DG31" s="18">
        <v>0</v>
      </c>
      <c r="DH31" s="18">
        <v>2472</v>
      </c>
      <c r="DI31" s="33">
        <v>1272247.25</v>
      </c>
      <c r="DJ31" s="33">
        <v>0</v>
      </c>
      <c r="DK31" s="229">
        <v>0</v>
      </c>
      <c r="DL31" s="255">
        <v>10500</v>
      </c>
      <c r="DM31" s="18">
        <v>0</v>
      </c>
      <c r="DN31" s="18">
        <v>1.88</v>
      </c>
      <c r="DO31" s="18"/>
      <c r="DP31" s="229"/>
      <c r="DQ31" s="18">
        <v>454500</v>
      </c>
      <c r="DR31" s="18">
        <v>0</v>
      </c>
      <c r="DS31" s="18">
        <v>0</v>
      </c>
      <c r="DT31" s="18">
        <v>-1000</v>
      </c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76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40">
        <f>FJ31+FL31+FM31+FK31</f>
        <v>1752753.72</v>
      </c>
      <c r="FH31" s="46">
        <v>29205</v>
      </c>
      <c r="FI31" s="46">
        <v>8819.85</v>
      </c>
      <c r="FJ31" s="33">
        <v>188888.5</v>
      </c>
      <c r="FK31" s="18"/>
      <c r="FL31" s="33"/>
      <c r="FM31" s="33">
        <v>1563865.22</v>
      </c>
      <c r="FN31" s="225">
        <f t="shared" si="24"/>
        <v>0</v>
      </c>
      <c r="FO31" s="106"/>
      <c r="FP31" s="18"/>
      <c r="FQ31" s="18"/>
      <c r="FR31" s="18">
        <f t="shared" si="25"/>
        <v>4579873.97</v>
      </c>
      <c r="FS31" s="18"/>
      <c r="FT31" s="18">
        <v>0</v>
      </c>
      <c r="FU31" s="220">
        <f>6055251.26-1341298.34-134078.95</f>
        <v>4579873.97</v>
      </c>
      <c r="FV31" s="18"/>
      <c r="FW31" s="45" t="s">
        <v>152</v>
      </c>
      <c r="FX31" s="38">
        <f t="shared" si="26"/>
        <v>8062664.3899999997</v>
      </c>
      <c r="FY31" s="38"/>
      <c r="FZ31" s="37"/>
      <c r="GA31" s="37"/>
      <c r="GB31" s="84"/>
      <c r="GC31" s="40">
        <f t="shared" si="27"/>
        <v>1363206</v>
      </c>
      <c r="GD31" s="104"/>
      <c r="GE31" s="104"/>
      <c r="GF31" s="104"/>
      <c r="GG31" s="104"/>
      <c r="GH31" s="117">
        <f t="shared" si="28"/>
        <v>0</v>
      </c>
      <c r="GI31" s="33">
        <v>996006</v>
      </c>
      <c r="GJ31" s="104"/>
      <c r="GK31" s="250">
        <v>367200</v>
      </c>
      <c r="GL31" s="104"/>
      <c r="GM31" s="32"/>
      <c r="GN31" s="32">
        <v>1164563.3</v>
      </c>
      <c r="GO31" s="32">
        <v>351698.11999999988</v>
      </c>
      <c r="GP31" s="32">
        <v>194534.03</v>
      </c>
      <c r="GQ31" s="32">
        <v>58748.97</v>
      </c>
      <c r="GR31" s="32">
        <v>20000</v>
      </c>
      <c r="GS31" s="33">
        <v>6040</v>
      </c>
      <c r="GT31" s="32"/>
      <c r="GU31" s="32"/>
      <c r="GV31" s="18"/>
      <c r="GW31" s="67" t="s">
        <v>152</v>
      </c>
      <c r="GX31" s="34">
        <f t="shared" si="29"/>
        <v>8632169.4299999997</v>
      </c>
      <c r="GY31" s="34">
        <f t="shared" si="30"/>
        <v>34061847.240000002</v>
      </c>
    </row>
    <row r="32" spans="1:207" ht="15" customHeight="1">
      <c r="A32" s="18">
        <v>32</v>
      </c>
      <c r="B32" s="45" t="s">
        <v>153</v>
      </c>
      <c r="C32" s="103"/>
      <c r="D32" s="104">
        <f t="shared" si="1"/>
        <v>3957968.63</v>
      </c>
      <c r="E32" s="104">
        <f t="shared" si="2"/>
        <v>0</v>
      </c>
      <c r="F32" s="105"/>
      <c r="G32" s="105">
        <f t="shared" si="31"/>
        <v>0</v>
      </c>
      <c r="H32" s="105">
        <f t="shared" si="32"/>
        <v>0</v>
      </c>
      <c r="I32" s="105">
        <f t="shared" si="3"/>
        <v>0</v>
      </c>
      <c r="J32" s="105">
        <f t="shared" si="4"/>
        <v>0</v>
      </c>
      <c r="K32" s="105">
        <f t="shared" si="5"/>
        <v>4380</v>
      </c>
      <c r="L32" s="142">
        <f t="shared" si="6"/>
        <v>197.15999999999985</v>
      </c>
      <c r="M32" s="142"/>
      <c r="N32" s="142">
        <f t="shared" si="7"/>
        <v>316826.39999999997</v>
      </c>
      <c r="O32" s="143">
        <f t="shared" si="8"/>
        <v>4279372.1900000004</v>
      </c>
      <c r="P32" s="18"/>
      <c r="Q32" s="142">
        <v>559750</v>
      </c>
      <c r="R32" s="32">
        <v>559750</v>
      </c>
      <c r="S32" s="142">
        <v>17012608</v>
      </c>
      <c r="T32" s="142">
        <v>5137807</v>
      </c>
      <c r="U32" s="55">
        <f t="shared" si="9"/>
        <v>22150415</v>
      </c>
      <c r="V32" s="46"/>
      <c r="W32" s="46"/>
      <c r="X32" s="46">
        <f t="shared" si="10"/>
        <v>0</v>
      </c>
      <c r="Y32" s="196">
        <f t="shared" si="11"/>
        <v>26989537.190000001</v>
      </c>
      <c r="Z32" s="45" t="s">
        <v>153</v>
      </c>
      <c r="AA32" s="106">
        <f t="shared" si="12"/>
        <v>0</v>
      </c>
      <c r="AB32" s="107">
        <f t="shared" si="13"/>
        <v>32524129.209999997</v>
      </c>
      <c r="AC32" s="188">
        <f t="shared" si="14"/>
        <v>1349744.04</v>
      </c>
      <c r="AD32" s="188">
        <f t="shared" si="15"/>
        <v>407622.39000000019</v>
      </c>
      <c r="AE32" s="34">
        <f t="shared" si="16"/>
        <v>5441830</v>
      </c>
      <c r="AF32">
        <f t="shared" si="17"/>
        <v>0</v>
      </c>
      <c r="AG32" s="46">
        <v>234000</v>
      </c>
      <c r="AH32" s="110">
        <f t="shared" si="18"/>
        <v>39957325.640000001</v>
      </c>
      <c r="AI32" s="111"/>
      <c r="AJ32" s="37">
        <v>1763400</v>
      </c>
      <c r="AK32" s="18"/>
      <c r="AL32" s="115">
        <f t="shared" si="19"/>
        <v>1763400</v>
      </c>
      <c r="AM32" s="151"/>
      <c r="AN32" s="113"/>
      <c r="AO32" s="117">
        <f t="shared" si="20"/>
        <v>68710262.829999998</v>
      </c>
      <c r="AP32" s="67" t="s">
        <v>153</v>
      </c>
      <c r="AQ32" s="94"/>
      <c r="AR32" s="67"/>
      <c r="AS32" s="67"/>
      <c r="AT32" s="31">
        <f t="shared" si="21"/>
        <v>0</v>
      </c>
      <c r="AU32" s="67"/>
      <c r="AV32" s="67"/>
      <c r="AW32" s="67"/>
      <c r="AX32" s="214">
        <v>186023.74</v>
      </c>
      <c r="AY32" s="31">
        <f t="shared" si="22"/>
        <v>186023.74</v>
      </c>
      <c r="AZ32" s="67" t="s">
        <v>153</v>
      </c>
      <c r="BA32" s="229">
        <v>341113.52999999997</v>
      </c>
      <c r="BB32" s="104">
        <v>0</v>
      </c>
      <c r="BC32" s="105"/>
      <c r="BD32" s="105"/>
      <c r="BE32" s="105"/>
      <c r="BF32" s="33">
        <v>0</v>
      </c>
      <c r="BG32" s="33">
        <v>2600</v>
      </c>
      <c r="BH32" s="33">
        <v>1195.56</v>
      </c>
      <c r="BI32" s="55"/>
      <c r="BJ32" s="33">
        <v>296826.39999999997</v>
      </c>
      <c r="BK32" s="142">
        <f t="shared" si="23"/>
        <v>641735.49</v>
      </c>
      <c r="BL32" s="105">
        <v>0</v>
      </c>
      <c r="BM32" s="33"/>
      <c r="BN32" s="45">
        <v>420000</v>
      </c>
      <c r="BO32" s="45"/>
      <c r="BP32" s="45"/>
      <c r="BQ32" s="246">
        <v>78850</v>
      </c>
      <c r="BR32" s="45">
        <v>51892</v>
      </c>
      <c r="BS32" s="45">
        <v>0</v>
      </c>
      <c r="BT32" s="45"/>
      <c r="BU32" s="45"/>
      <c r="BV32" s="45">
        <v>0</v>
      </c>
      <c r="BW32" s="45"/>
      <c r="BX32" s="45"/>
      <c r="BY32" s="18">
        <v>0</v>
      </c>
      <c r="BZ32" s="18"/>
      <c r="CA32" s="18"/>
      <c r="CB32" s="188">
        <v>146159.5</v>
      </c>
      <c r="CC32" s="18"/>
      <c r="CD32" s="188"/>
      <c r="CE32" s="18">
        <v>362699.4</v>
      </c>
      <c r="CF32" s="18">
        <v>0</v>
      </c>
      <c r="CG32" s="33"/>
      <c r="CH32" s="33"/>
      <c r="CI32" s="33">
        <v>0</v>
      </c>
      <c r="CJ32" s="33">
        <v>130760</v>
      </c>
      <c r="CK32" s="67" t="s">
        <v>153</v>
      </c>
      <c r="CL32" s="67">
        <v>210845.36</v>
      </c>
      <c r="CM32" s="67"/>
      <c r="CN32" s="67"/>
      <c r="CO32" s="18"/>
      <c r="CP32" s="18"/>
      <c r="CQ32" s="18"/>
      <c r="CR32" s="18">
        <v>30000</v>
      </c>
      <c r="CS32" s="18"/>
      <c r="CT32" s="18"/>
      <c r="CU32" s="18"/>
      <c r="CV32" s="255">
        <v>582639.54</v>
      </c>
      <c r="CW32" s="33"/>
      <c r="CX32" s="18">
        <v>299877.78999999998</v>
      </c>
      <c r="CY32" s="18">
        <v>0</v>
      </c>
      <c r="CZ32" s="18">
        <v>0</v>
      </c>
      <c r="DA32" s="18">
        <v>0</v>
      </c>
      <c r="DB32" s="18"/>
      <c r="DC32" s="18">
        <v>0</v>
      </c>
      <c r="DD32" s="18">
        <v>24800</v>
      </c>
      <c r="DE32" s="255">
        <v>355276.93</v>
      </c>
      <c r="DF32" s="18">
        <v>756.68999999999869</v>
      </c>
      <c r="DG32" s="18">
        <v>0</v>
      </c>
      <c r="DH32" s="18">
        <v>1780</v>
      </c>
      <c r="DI32" s="18">
        <v>63960</v>
      </c>
      <c r="DJ32" s="18">
        <v>20000</v>
      </c>
      <c r="DK32" s="229">
        <v>0</v>
      </c>
      <c r="DL32" s="255"/>
      <c r="DM32" s="18">
        <v>238715</v>
      </c>
      <c r="DN32" s="18">
        <v>1.6</v>
      </c>
      <c r="DO32" s="18"/>
      <c r="DP32" s="229"/>
      <c r="DQ32" s="18">
        <v>-238576.93</v>
      </c>
      <c r="DR32" s="18">
        <v>0</v>
      </c>
      <c r="DS32" s="18">
        <v>0</v>
      </c>
      <c r="DT32" s="18">
        <v>-1000</v>
      </c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76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40">
        <f t="shared" si="0"/>
        <v>858199.82</v>
      </c>
      <c r="FH32" s="46"/>
      <c r="FI32" s="46"/>
      <c r="FJ32" s="33">
        <v>0</v>
      </c>
      <c r="FK32" s="18"/>
      <c r="FL32" s="33"/>
      <c r="FM32" s="33">
        <v>858199.82</v>
      </c>
      <c r="FN32" s="225">
        <f t="shared" si="24"/>
        <v>0</v>
      </c>
      <c r="FO32" s="106"/>
      <c r="FP32" s="18"/>
      <c r="FQ32" s="18"/>
      <c r="FR32" s="18">
        <f t="shared" si="25"/>
        <v>0</v>
      </c>
      <c r="FS32" s="18"/>
      <c r="FT32" s="18">
        <v>0</v>
      </c>
      <c r="FU32" s="220"/>
      <c r="FV32" s="18"/>
      <c r="FW32" s="45" t="s">
        <v>153</v>
      </c>
      <c r="FX32" s="38">
        <f t="shared" si="26"/>
        <v>40191325.640000001</v>
      </c>
      <c r="FY32" s="38"/>
      <c r="FZ32" s="37"/>
      <c r="GA32" s="37"/>
      <c r="GB32" s="84"/>
      <c r="GC32" s="40">
        <f>GI32+GJ32+GL32+GF32+GK32</f>
        <v>32524129.209999997</v>
      </c>
      <c r="GD32" s="104">
        <f>5460530-18700</f>
        <v>5441830</v>
      </c>
      <c r="GE32" s="104"/>
      <c r="GF32" s="104"/>
      <c r="GG32" s="104"/>
      <c r="GH32" s="117">
        <f t="shared" si="28"/>
        <v>5441830</v>
      </c>
      <c r="GI32" s="33">
        <v>566837</v>
      </c>
      <c r="GJ32" s="104"/>
      <c r="GK32" s="250">
        <v>379726.66</v>
      </c>
      <c r="GL32" s="104">
        <v>31577565.549999997</v>
      </c>
      <c r="GM32" s="32"/>
      <c r="GN32" s="32">
        <v>1111049.49</v>
      </c>
      <c r="GO32" s="32">
        <v>335536.94000000018</v>
      </c>
      <c r="GP32" s="32">
        <v>218694.55</v>
      </c>
      <c r="GQ32" s="32">
        <v>66045.45</v>
      </c>
      <c r="GR32" s="32">
        <v>20000</v>
      </c>
      <c r="GS32" s="33">
        <v>6040</v>
      </c>
      <c r="GT32" s="32"/>
      <c r="GU32" s="32"/>
      <c r="GV32" s="18"/>
      <c r="GW32" s="67" t="s">
        <v>153</v>
      </c>
      <c r="GX32" s="34">
        <f t="shared" si="29"/>
        <v>39122074.239999995</v>
      </c>
      <c r="GY32" s="34">
        <f t="shared" si="30"/>
        <v>68710262.829999998</v>
      </c>
    </row>
    <row r="33" spans="1:208" ht="15" customHeight="1">
      <c r="A33" s="18">
        <v>33</v>
      </c>
      <c r="B33" s="45" t="s">
        <v>154</v>
      </c>
      <c r="C33" s="103"/>
      <c r="D33" s="104">
        <f t="shared" si="1"/>
        <v>6571401.0699999994</v>
      </c>
      <c r="E33" s="104">
        <f t="shared" si="2"/>
        <v>0</v>
      </c>
      <c r="F33" s="105"/>
      <c r="G33" s="105">
        <f t="shared" si="31"/>
        <v>0</v>
      </c>
      <c r="H33" s="105">
        <f t="shared" si="32"/>
        <v>0</v>
      </c>
      <c r="I33" s="105">
        <f t="shared" si="3"/>
        <v>0</v>
      </c>
      <c r="J33" s="105">
        <f t="shared" si="4"/>
        <v>0</v>
      </c>
      <c r="K33" s="105">
        <f t="shared" si="5"/>
        <v>4736</v>
      </c>
      <c r="L33" s="142">
        <f t="shared" si="6"/>
        <v>302.39999999999986</v>
      </c>
      <c r="M33" s="142"/>
      <c r="N33" s="142">
        <f t="shared" si="7"/>
        <v>149671.39999999997</v>
      </c>
      <c r="O33" s="143">
        <f t="shared" si="8"/>
        <v>6726110.8700000001</v>
      </c>
      <c r="P33" s="18"/>
      <c r="Q33" s="142">
        <v>215625</v>
      </c>
      <c r="R33" s="32">
        <v>215625</v>
      </c>
      <c r="S33" s="142">
        <v>10094156</v>
      </c>
      <c r="T33" s="142">
        <v>3048435</v>
      </c>
      <c r="U33" s="55">
        <f t="shared" si="9"/>
        <v>13142591</v>
      </c>
      <c r="V33" s="46"/>
      <c r="W33" s="46"/>
      <c r="X33" s="46">
        <f t="shared" si="10"/>
        <v>0</v>
      </c>
      <c r="Y33" s="196">
        <f t="shared" si="11"/>
        <v>20084326.870000001</v>
      </c>
      <c r="Z33" s="45" t="s">
        <v>154</v>
      </c>
      <c r="AA33" s="106">
        <f t="shared" si="12"/>
        <v>0</v>
      </c>
      <c r="AB33" s="107">
        <f t="shared" si="13"/>
        <v>577900.66</v>
      </c>
      <c r="AC33" s="188">
        <f t="shared" si="14"/>
        <v>1176244.56</v>
      </c>
      <c r="AD33" s="188">
        <f t="shared" si="15"/>
        <v>355225.54000000004</v>
      </c>
      <c r="AE33" s="34">
        <f t="shared" si="16"/>
        <v>0</v>
      </c>
      <c r="AF33">
        <f t="shared" si="17"/>
        <v>0</v>
      </c>
      <c r="AG33" s="46">
        <v>117000</v>
      </c>
      <c r="AH33" s="110">
        <f t="shared" si="18"/>
        <v>2226370.7600000002</v>
      </c>
      <c r="AI33" s="111"/>
      <c r="AJ33" s="37">
        <v>120000</v>
      </c>
      <c r="AK33" s="18"/>
      <c r="AL33" s="115">
        <f t="shared" si="19"/>
        <v>120000</v>
      </c>
      <c r="AM33" s="151"/>
      <c r="AN33" s="113"/>
      <c r="AO33" s="117">
        <f t="shared" si="20"/>
        <v>22430697.630000003</v>
      </c>
      <c r="AP33" s="67" t="s">
        <v>154</v>
      </c>
      <c r="AQ33" s="94"/>
      <c r="AR33" s="67"/>
      <c r="AS33" s="67"/>
      <c r="AT33" s="31">
        <f t="shared" si="21"/>
        <v>0</v>
      </c>
      <c r="AU33" s="67"/>
      <c r="AV33" s="67"/>
      <c r="AW33" s="67"/>
      <c r="AX33" s="214">
        <v>14751.69</v>
      </c>
      <c r="AY33" s="31">
        <f t="shared" si="22"/>
        <v>14751.69</v>
      </c>
      <c r="AZ33" s="67" t="s">
        <v>154</v>
      </c>
      <c r="BA33" s="229">
        <v>273660.84999999992</v>
      </c>
      <c r="BB33" s="104">
        <v>0</v>
      </c>
      <c r="BC33" s="105"/>
      <c r="BD33" s="105"/>
      <c r="BE33" s="105"/>
      <c r="BF33" s="33">
        <v>0</v>
      </c>
      <c r="BG33" s="33">
        <v>4202</v>
      </c>
      <c r="BH33" s="33">
        <v>1292.2699999999998</v>
      </c>
      <c r="BI33" s="55"/>
      <c r="BJ33" s="33">
        <v>129671.39999999998</v>
      </c>
      <c r="BK33" s="142">
        <f t="shared" si="23"/>
        <v>408826.5199999999</v>
      </c>
      <c r="BL33" s="105">
        <v>0</v>
      </c>
      <c r="BM33" s="33"/>
      <c r="BN33" s="49">
        <v>826000</v>
      </c>
      <c r="BO33" s="49"/>
      <c r="BP33" s="49"/>
      <c r="BQ33" s="246">
        <v>0</v>
      </c>
      <c r="BR33" s="49">
        <v>0</v>
      </c>
      <c r="BS33" s="49">
        <v>0</v>
      </c>
      <c r="BT33" s="49"/>
      <c r="BU33" s="49"/>
      <c r="BV33" s="49">
        <v>0</v>
      </c>
      <c r="BW33" s="49"/>
      <c r="BX33" s="49"/>
      <c r="BY33" s="18">
        <v>1199786.56</v>
      </c>
      <c r="BZ33" s="18"/>
      <c r="CA33" s="18"/>
      <c r="CB33" s="188"/>
      <c r="CC33" s="18"/>
      <c r="CD33" s="188">
        <v>43840</v>
      </c>
      <c r="CE33" s="18">
        <v>1559189</v>
      </c>
      <c r="CF33" s="18">
        <v>0</v>
      </c>
      <c r="CG33" s="33"/>
      <c r="CH33" s="33"/>
      <c r="CI33" s="33">
        <v>0</v>
      </c>
      <c r="CJ33" s="33">
        <v>0</v>
      </c>
      <c r="CK33" s="67" t="s">
        <v>154</v>
      </c>
      <c r="CL33" s="67">
        <v>0</v>
      </c>
      <c r="CM33" s="67"/>
      <c r="CN33" s="67"/>
      <c r="CO33" s="18"/>
      <c r="CP33" s="18"/>
      <c r="CQ33" s="18"/>
      <c r="CR33" s="18">
        <v>30000</v>
      </c>
      <c r="CS33" s="18"/>
      <c r="CT33" s="18"/>
      <c r="CU33" s="18"/>
      <c r="CV33" s="255">
        <v>0</v>
      </c>
      <c r="CW33" s="33"/>
      <c r="CX33" s="18">
        <v>0</v>
      </c>
      <c r="CY33" s="18">
        <v>0</v>
      </c>
      <c r="CZ33" s="18">
        <v>0</v>
      </c>
      <c r="DA33" s="18">
        <v>0</v>
      </c>
      <c r="DB33" s="18"/>
      <c r="DC33" s="18">
        <v>0</v>
      </c>
      <c r="DD33" s="18">
        <v>47700</v>
      </c>
      <c r="DE33" s="255">
        <v>1200000</v>
      </c>
      <c r="DF33" s="18">
        <v>0</v>
      </c>
      <c r="DG33" s="18">
        <v>0</v>
      </c>
      <c r="DH33" s="18">
        <v>534</v>
      </c>
      <c r="DI33" s="18">
        <v>0</v>
      </c>
      <c r="DJ33" s="18">
        <v>20000</v>
      </c>
      <c r="DK33" s="229">
        <v>0</v>
      </c>
      <c r="DL33" s="255"/>
      <c r="DM33" s="18">
        <v>480013.12</v>
      </c>
      <c r="DN33" s="18">
        <v>10.130000000000001</v>
      </c>
      <c r="DO33" s="18"/>
      <c r="DP33" s="229"/>
      <c r="DQ33" s="18">
        <v>47200</v>
      </c>
      <c r="DR33" s="18">
        <v>0</v>
      </c>
      <c r="DS33" s="18">
        <v>0</v>
      </c>
      <c r="DT33" s="18">
        <v>-1000</v>
      </c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76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40">
        <f t="shared" si="0"/>
        <v>864011.54</v>
      </c>
      <c r="FH33" s="46"/>
      <c r="FI33" s="46"/>
      <c r="FJ33" s="33">
        <v>0</v>
      </c>
      <c r="FK33" s="106"/>
      <c r="FL33" s="33"/>
      <c r="FM33" s="33">
        <v>864011.54</v>
      </c>
      <c r="FN33" s="225">
        <f t="shared" si="24"/>
        <v>0</v>
      </c>
      <c r="FO33" s="106"/>
      <c r="FP33" s="106"/>
      <c r="FQ33" s="106"/>
      <c r="FR33" s="18">
        <f t="shared" si="25"/>
        <v>0</v>
      </c>
      <c r="FS33" s="106"/>
      <c r="FT33" s="106">
        <v>0</v>
      </c>
      <c r="FU33" s="221"/>
      <c r="FV33" s="106"/>
      <c r="FW33" s="49" t="s">
        <v>154</v>
      </c>
      <c r="FX33" s="38">
        <f t="shared" si="26"/>
        <v>2343370.7600000002</v>
      </c>
      <c r="FY33" s="38"/>
      <c r="FZ33" s="37"/>
      <c r="GA33" s="37"/>
      <c r="GB33" s="84"/>
      <c r="GC33" s="40">
        <f t="shared" si="27"/>
        <v>577900.66</v>
      </c>
      <c r="GD33" s="104"/>
      <c r="GE33" s="104"/>
      <c r="GF33" s="104"/>
      <c r="GG33" s="104"/>
      <c r="GH33" s="117">
        <f t="shared" si="28"/>
        <v>0</v>
      </c>
      <c r="GI33" s="33">
        <v>414660</v>
      </c>
      <c r="GJ33" s="104"/>
      <c r="GK33" s="250">
        <v>163240.66</v>
      </c>
      <c r="GL33" s="104"/>
      <c r="GM33" s="32"/>
      <c r="GN33" s="32">
        <v>962477.04</v>
      </c>
      <c r="GO33" s="32">
        <v>290668.06000000006</v>
      </c>
      <c r="GP33" s="32">
        <v>193767.52</v>
      </c>
      <c r="GQ33" s="32">
        <v>58517.479999999996</v>
      </c>
      <c r="GR33" s="32">
        <v>20000</v>
      </c>
      <c r="GS33" s="33">
        <v>6040</v>
      </c>
      <c r="GT33" s="32"/>
      <c r="GU33" s="32"/>
      <c r="GV33" s="18"/>
      <c r="GW33" s="67" t="s">
        <v>154</v>
      </c>
      <c r="GX33" s="34">
        <f t="shared" si="29"/>
        <v>7634598.1299999999</v>
      </c>
      <c r="GY33" s="34">
        <f t="shared" si="30"/>
        <v>22430697.630000003</v>
      </c>
    </row>
    <row r="34" spans="1:208" ht="15" customHeight="1">
      <c r="A34" s="18">
        <v>34</v>
      </c>
      <c r="B34" s="45" t="s">
        <v>155</v>
      </c>
      <c r="C34" s="103"/>
      <c r="D34" s="104">
        <f t="shared" si="1"/>
        <v>1186042.9100000001</v>
      </c>
      <c r="E34" s="104">
        <f t="shared" si="2"/>
        <v>0</v>
      </c>
      <c r="F34" s="105"/>
      <c r="G34" s="105">
        <f t="shared" si="31"/>
        <v>0</v>
      </c>
      <c r="H34" s="105">
        <f t="shared" si="32"/>
        <v>0</v>
      </c>
      <c r="I34" s="105">
        <f t="shared" si="3"/>
        <v>0</v>
      </c>
      <c r="J34" s="105">
        <f t="shared" si="4"/>
        <v>0</v>
      </c>
      <c r="K34" s="105">
        <f t="shared" si="5"/>
        <v>851</v>
      </c>
      <c r="L34" s="142">
        <f t="shared" si="6"/>
        <v>0</v>
      </c>
      <c r="M34" s="142"/>
      <c r="N34" s="142">
        <f t="shared" si="7"/>
        <v>1222867.44</v>
      </c>
      <c r="O34" s="143">
        <f t="shared" si="8"/>
        <v>2409761.35</v>
      </c>
      <c r="P34" s="18"/>
      <c r="Q34" s="142">
        <v>368000</v>
      </c>
      <c r="R34" s="32">
        <v>368000</v>
      </c>
      <c r="S34" s="142">
        <v>13352074</v>
      </c>
      <c r="T34" s="142">
        <v>4032327</v>
      </c>
      <c r="U34" s="55">
        <f t="shared" si="9"/>
        <v>17384401</v>
      </c>
      <c r="V34" s="46"/>
      <c r="W34" s="46"/>
      <c r="X34" s="46">
        <f t="shared" si="10"/>
        <v>0</v>
      </c>
      <c r="Y34" s="196">
        <f t="shared" si="11"/>
        <v>20162162.350000001</v>
      </c>
      <c r="Z34" s="45" t="s">
        <v>155</v>
      </c>
      <c r="AA34" s="106">
        <f t="shared" si="12"/>
        <v>0</v>
      </c>
      <c r="AB34" s="107">
        <f t="shared" si="13"/>
        <v>668306.66999999993</v>
      </c>
      <c r="AC34" s="188">
        <f t="shared" si="14"/>
        <v>1211222.8500000001</v>
      </c>
      <c r="AD34" s="188">
        <f t="shared" si="15"/>
        <v>365788.98999999987</v>
      </c>
      <c r="AE34" s="34">
        <f t="shared" si="16"/>
        <v>0</v>
      </c>
      <c r="AF34">
        <f t="shared" si="17"/>
        <v>0</v>
      </c>
      <c r="AG34" s="46">
        <v>162000</v>
      </c>
      <c r="AH34" s="110">
        <f t="shared" si="18"/>
        <v>2407318.5099999998</v>
      </c>
      <c r="AI34" s="111"/>
      <c r="AJ34" s="37">
        <v>1152820</v>
      </c>
      <c r="AK34" s="18">
        <v>28000</v>
      </c>
      <c r="AL34" s="115">
        <f t="shared" si="19"/>
        <v>1180820</v>
      </c>
      <c r="AM34" s="151"/>
      <c r="AN34" s="113"/>
      <c r="AO34" s="117">
        <f t="shared" si="20"/>
        <v>23750300.859999999</v>
      </c>
      <c r="AP34" s="67" t="s">
        <v>155</v>
      </c>
      <c r="AQ34" s="94"/>
      <c r="AR34" s="67"/>
      <c r="AS34" s="67"/>
      <c r="AT34" s="31">
        <f t="shared" si="21"/>
        <v>0</v>
      </c>
      <c r="AU34" s="67"/>
      <c r="AV34" s="67"/>
      <c r="AW34" s="67"/>
      <c r="AX34" s="214">
        <v>244160.99</v>
      </c>
      <c r="AY34" s="31">
        <f t="shared" si="22"/>
        <v>244160.99</v>
      </c>
      <c r="AZ34" s="67" t="s">
        <v>155</v>
      </c>
      <c r="BA34" s="229">
        <v>220849.6</v>
      </c>
      <c r="BB34" s="104">
        <v>0</v>
      </c>
      <c r="BC34" s="105"/>
      <c r="BD34" s="105"/>
      <c r="BE34" s="105"/>
      <c r="BF34" s="33">
        <v>0</v>
      </c>
      <c r="BG34" s="33">
        <v>734</v>
      </c>
      <c r="BH34" s="33">
        <v>1000</v>
      </c>
      <c r="BI34" s="55"/>
      <c r="BJ34" s="33">
        <v>1222867.44</v>
      </c>
      <c r="BK34" s="142">
        <f t="shared" si="23"/>
        <v>1445451.04</v>
      </c>
      <c r="BL34" s="105">
        <v>0</v>
      </c>
      <c r="BM34" s="33"/>
      <c r="BN34" s="49">
        <v>0</v>
      </c>
      <c r="BO34" s="49"/>
      <c r="BP34" s="49"/>
      <c r="BQ34" s="246">
        <v>0</v>
      </c>
      <c r="BR34" s="49">
        <v>0</v>
      </c>
      <c r="BS34" s="49">
        <v>0</v>
      </c>
      <c r="BT34" s="49"/>
      <c r="BU34" s="49"/>
      <c r="BV34" s="49">
        <v>0</v>
      </c>
      <c r="BW34" s="49"/>
      <c r="BX34" s="49"/>
      <c r="BY34" s="18">
        <v>0</v>
      </c>
      <c r="BZ34" s="18"/>
      <c r="CA34" s="18"/>
      <c r="CB34" s="188"/>
      <c r="CC34" s="18"/>
      <c r="CD34" s="188"/>
      <c r="CE34" s="18">
        <v>204784.5</v>
      </c>
      <c r="CF34" s="18">
        <v>0</v>
      </c>
      <c r="CG34" s="33"/>
      <c r="CH34" s="33"/>
      <c r="CI34" s="33">
        <v>0</v>
      </c>
      <c r="CJ34" s="33">
        <v>0</v>
      </c>
      <c r="CK34" s="67" t="s">
        <v>155</v>
      </c>
      <c r="CL34" s="67">
        <v>0</v>
      </c>
      <c r="CM34" s="67"/>
      <c r="CN34" s="67"/>
      <c r="CO34" s="18"/>
      <c r="CP34" s="18"/>
      <c r="CQ34" s="18"/>
      <c r="CR34" s="18">
        <v>30000</v>
      </c>
      <c r="CS34" s="18"/>
      <c r="CT34" s="18"/>
      <c r="CU34" s="18"/>
      <c r="CV34" s="255">
        <v>0</v>
      </c>
      <c r="CW34" s="33"/>
      <c r="CX34" s="18">
        <v>0</v>
      </c>
      <c r="CY34" s="18">
        <v>0</v>
      </c>
      <c r="CZ34" s="18">
        <v>0</v>
      </c>
      <c r="DA34" s="18">
        <v>0</v>
      </c>
      <c r="DB34" s="18"/>
      <c r="DC34" s="18">
        <v>0</v>
      </c>
      <c r="DD34" s="18">
        <v>0</v>
      </c>
      <c r="DE34" s="255">
        <v>0</v>
      </c>
      <c r="DF34" s="18">
        <v>0</v>
      </c>
      <c r="DG34" s="18">
        <v>0</v>
      </c>
      <c r="DH34" s="18">
        <v>117</v>
      </c>
      <c r="DI34" s="18">
        <v>85000</v>
      </c>
      <c r="DJ34" s="18">
        <v>0</v>
      </c>
      <c r="DK34" s="229">
        <v>0</v>
      </c>
      <c r="DL34" s="255"/>
      <c r="DM34" s="18">
        <v>0</v>
      </c>
      <c r="DN34" s="18">
        <v>0</v>
      </c>
      <c r="DO34" s="18"/>
      <c r="DP34" s="229"/>
      <c r="DQ34" s="18">
        <v>0</v>
      </c>
      <c r="DR34" s="18">
        <v>0</v>
      </c>
      <c r="DS34" s="18">
        <v>0</v>
      </c>
      <c r="DT34" s="18">
        <v>-1000</v>
      </c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76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40">
        <f t="shared" si="0"/>
        <v>645408.81000000017</v>
      </c>
      <c r="FH34" s="46"/>
      <c r="FI34" s="46"/>
      <c r="FJ34" s="33">
        <v>79333.17</v>
      </c>
      <c r="FK34" s="106"/>
      <c r="FL34" s="33"/>
      <c r="FM34" s="33">
        <v>566075.64000000013</v>
      </c>
      <c r="FN34" s="225">
        <f t="shared" si="24"/>
        <v>0</v>
      </c>
      <c r="FO34" s="106"/>
      <c r="FP34" s="106"/>
      <c r="FQ34" s="106"/>
      <c r="FR34" s="18">
        <f t="shared" si="25"/>
        <v>0</v>
      </c>
      <c r="FS34" s="106"/>
      <c r="FT34" s="106">
        <v>0</v>
      </c>
      <c r="FU34" s="221"/>
      <c r="FV34" s="106"/>
      <c r="FW34" s="49" t="s">
        <v>155</v>
      </c>
      <c r="FX34" s="38">
        <f t="shared" si="26"/>
        <v>2569318.5099999998</v>
      </c>
      <c r="FY34" s="38"/>
      <c r="FZ34" s="37"/>
      <c r="GA34" s="37"/>
      <c r="GB34" s="84"/>
      <c r="GC34" s="40">
        <f t="shared" si="27"/>
        <v>668306.66999999993</v>
      </c>
      <c r="GD34" s="104"/>
      <c r="GE34" s="104"/>
      <c r="GF34" s="104"/>
      <c r="GG34" s="104"/>
      <c r="GH34" s="117">
        <f t="shared" si="28"/>
        <v>0</v>
      </c>
      <c r="GI34" s="33">
        <v>301540</v>
      </c>
      <c r="GJ34" s="104"/>
      <c r="GK34" s="250">
        <v>366766.67</v>
      </c>
      <c r="GL34" s="104"/>
      <c r="GM34" s="32"/>
      <c r="GN34" s="32">
        <v>993041.35</v>
      </c>
      <c r="GO34" s="32">
        <v>299898.48999999987</v>
      </c>
      <c r="GP34" s="32">
        <v>198181.5</v>
      </c>
      <c r="GQ34" s="32">
        <v>59850.5</v>
      </c>
      <c r="GR34" s="32">
        <v>20000</v>
      </c>
      <c r="GS34" s="33">
        <v>6040</v>
      </c>
      <c r="GT34" s="32"/>
      <c r="GU34" s="32"/>
      <c r="GV34" s="18"/>
      <c r="GW34" s="67" t="s">
        <v>155</v>
      </c>
      <c r="GX34" s="34">
        <f t="shared" si="29"/>
        <v>4598037.0199999996</v>
      </c>
      <c r="GY34" s="34">
        <f t="shared" si="30"/>
        <v>23750300.859999999</v>
      </c>
    </row>
    <row r="35" spans="1:208" ht="15" customHeight="1">
      <c r="A35" s="18">
        <v>36</v>
      </c>
      <c r="B35" s="45" t="s">
        <v>156</v>
      </c>
      <c r="C35" s="103"/>
      <c r="D35" s="104">
        <f t="shared" si="1"/>
        <v>4086042.88</v>
      </c>
      <c r="E35" s="104">
        <f t="shared" si="2"/>
        <v>0</v>
      </c>
      <c r="F35" s="105"/>
      <c r="G35" s="105">
        <f t="shared" si="31"/>
        <v>0</v>
      </c>
      <c r="H35" s="105">
        <f t="shared" si="32"/>
        <v>0</v>
      </c>
      <c r="I35" s="105">
        <f t="shared" si="3"/>
        <v>0</v>
      </c>
      <c r="J35" s="105">
        <f t="shared" si="4"/>
        <v>21347</v>
      </c>
      <c r="K35" s="105">
        <f t="shared" si="5"/>
        <v>2535</v>
      </c>
      <c r="L35" s="142">
        <f t="shared" si="6"/>
        <v>178.02999999999997</v>
      </c>
      <c r="M35" s="142"/>
      <c r="N35" s="142">
        <f t="shared" si="7"/>
        <v>1102434.92</v>
      </c>
      <c r="O35" s="143">
        <f t="shared" si="8"/>
        <v>5212537.83</v>
      </c>
      <c r="P35" s="18"/>
      <c r="Q35" s="142">
        <v>444375</v>
      </c>
      <c r="R35" s="32">
        <v>444375</v>
      </c>
      <c r="S35" s="142">
        <v>11790288</v>
      </c>
      <c r="T35" s="142">
        <v>3560667</v>
      </c>
      <c r="U35" s="55">
        <f t="shared" si="9"/>
        <v>15350955</v>
      </c>
      <c r="V35" s="46"/>
      <c r="W35" s="46"/>
      <c r="X35" s="46">
        <f t="shared" si="10"/>
        <v>0</v>
      </c>
      <c r="Y35" s="196">
        <f t="shared" si="11"/>
        <v>21007867.829999998</v>
      </c>
      <c r="Z35" s="45" t="s">
        <v>156</v>
      </c>
      <c r="AA35" s="106">
        <f t="shared" si="12"/>
        <v>0</v>
      </c>
      <c r="AB35" s="107">
        <f t="shared" si="13"/>
        <v>1293127</v>
      </c>
      <c r="AC35" s="188">
        <f t="shared" si="14"/>
        <v>1170465.1499999999</v>
      </c>
      <c r="AD35" s="188">
        <f t="shared" si="15"/>
        <v>353480.17000000004</v>
      </c>
      <c r="AE35" s="34">
        <f t="shared" si="16"/>
        <v>0</v>
      </c>
      <c r="AF35">
        <f t="shared" si="17"/>
        <v>0</v>
      </c>
      <c r="AG35" s="46">
        <v>153000</v>
      </c>
      <c r="AH35" s="110">
        <f t="shared" si="18"/>
        <v>2970072.32</v>
      </c>
      <c r="AI35" s="111"/>
      <c r="AJ35" s="37">
        <v>130000</v>
      </c>
      <c r="AK35" s="18">
        <v>12000</v>
      </c>
      <c r="AL35" s="115">
        <f t="shared" si="19"/>
        <v>142000</v>
      </c>
      <c r="AM35" s="151"/>
      <c r="AN35" s="113"/>
      <c r="AO35" s="117">
        <f t="shared" si="20"/>
        <v>24119940.149999999</v>
      </c>
      <c r="AP35" s="67" t="s">
        <v>156</v>
      </c>
      <c r="AQ35" s="94"/>
      <c r="AR35" s="67"/>
      <c r="AS35" s="67"/>
      <c r="AT35" s="31">
        <f t="shared" si="21"/>
        <v>0</v>
      </c>
      <c r="AU35" s="67"/>
      <c r="AV35" s="67"/>
      <c r="AW35" s="67"/>
      <c r="AX35" s="214">
        <v>70008.149999999994</v>
      </c>
      <c r="AY35" s="31">
        <f t="shared" si="22"/>
        <v>70008.149999999994</v>
      </c>
      <c r="AZ35" s="67" t="s">
        <v>156</v>
      </c>
      <c r="BA35" s="229">
        <v>269774.84999999998</v>
      </c>
      <c r="BB35" s="104">
        <v>0</v>
      </c>
      <c r="BC35" s="105"/>
      <c r="BD35" s="105"/>
      <c r="BE35" s="105"/>
      <c r="BF35" s="33">
        <v>21347</v>
      </c>
      <c r="BG35" s="33">
        <v>4221</v>
      </c>
      <c r="BH35" s="33">
        <v>1000</v>
      </c>
      <c r="BI35" s="55"/>
      <c r="BJ35" s="33">
        <v>1102434.92</v>
      </c>
      <c r="BK35" s="142">
        <f t="shared" si="23"/>
        <v>1398777.77</v>
      </c>
      <c r="BL35" s="105">
        <v>0</v>
      </c>
      <c r="BM35" s="33"/>
      <c r="BN35" s="44">
        <v>0</v>
      </c>
      <c r="BO35" s="44"/>
      <c r="BP35" s="44"/>
      <c r="BQ35" s="246">
        <v>0</v>
      </c>
      <c r="BR35" s="44">
        <v>71882</v>
      </c>
      <c r="BS35" s="44">
        <v>791469.74</v>
      </c>
      <c r="BT35" s="44"/>
      <c r="BU35" s="44"/>
      <c r="BV35" s="44">
        <v>0</v>
      </c>
      <c r="BW35" s="44"/>
      <c r="BX35" s="44"/>
      <c r="BY35" s="18">
        <v>0</v>
      </c>
      <c r="BZ35" s="18"/>
      <c r="CA35" s="18"/>
      <c r="CB35" s="188"/>
      <c r="CC35" s="18"/>
      <c r="CD35" s="188"/>
      <c r="CE35" s="18">
        <v>1311316.3700000001</v>
      </c>
      <c r="CF35" s="18">
        <v>0</v>
      </c>
      <c r="CG35" s="33"/>
      <c r="CH35" s="33"/>
      <c r="CI35" s="33">
        <v>0</v>
      </c>
      <c r="CJ35" s="33">
        <v>128985</v>
      </c>
      <c r="CK35" s="67" t="s">
        <v>156</v>
      </c>
      <c r="CL35" s="67">
        <v>96000</v>
      </c>
      <c r="CM35" s="67"/>
      <c r="CN35" s="67"/>
      <c r="CO35" s="18"/>
      <c r="CP35" s="18"/>
      <c r="CQ35" s="18"/>
      <c r="CR35" s="18">
        <v>30000</v>
      </c>
      <c r="CS35" s="18"/>
      <c r="CT35" s="18"/>
      <c r="CU35" s="18"/>
      <c r="CV35" s="255">
        <v>50200</v>
      </c>
      <c r="CW35" s="33"/>
      <c r="CX35" s="18">
        <v>0</v>
      </c>
      <c r="CY35" s="18">
        <v>0</v>
      </c>
      <c r="CZ35" s="18">
        <v>0</v>
      </c>
      <c r="DA35" s="18">
        <v>0</v>
      </c>
      <c r="DB35" s="18"/>
      <c r="DC35" s="18">
        <v>88400</v>
      </c>
      <c r="DD35" s="18">
        <v>89500</v>
      </c>
      <c r="DE35" s="255">
        <v>0</v>
      </c>
      <c r="DF35" s="18">
        <v>0</v>
      </c>
      <c r="DG35" s="18">
        <v>0</v>
      </c>
      <c r="DH35" s="18">
        <v>0</v>
      </c>
      <c r="DI35" s="18">
        <v>0</v>
      </c>
      <c r="DJ35" s="18">
        <v>0</v>
      </c>
      <c r="DK35" s="229">
        <v>0</v>
      </c>
      <c r="DL35" s="255"/>
      <c r="DM35" s="18">
        <v>0</v>
      </c>
      <c r="DN35" s="18">
        <v>178.03</v>
      </c>
      <c r="DO35" s="18"/>
      <c r="DP35" s="229"/>
      <c r="DQ35" s="18">
        <v>84000</v>
      </c>
      <c r="DR35" s="18">
        <v>0</v>
      </c>
      <c r="DS35" s="18">
        <v>-1686</v>
      </c>
      <c r="DT35" s="18">
        <v>-1000</v>
      </c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76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40">
        <f t="shared" si="0"/>
        <v>1074514.92</v>
      </c>
      <c r="FH35" s="46"/>
      <c r="FI35" s="46"/>
      <c r="FJ35" s="216">
        <v>0</v>
      </c>
      <c r="FK35" s="106"/>
      <c r="FL35" s="33"/>
      <c r="FM35" s="33">
        <v>1074514.92</v>
      </c>
      <c r="FN35" s="225">
        <f t="shared" si="24"/>
        <v>0</v>
      </c>
      <c r="FO35" s="106"/>
      <c r="FP35" s="106"/>
      <c r="FQ35" s="106"/>
      <c r="FR35" s="18">
        <f t="shared" si="25"/>
        <v>0</v>
      </c>
      <c r="FS35" s="106"/>
      <c r="FT35" s="106">
        <v>0</v>
      </c>
      <c r="FU35" s="221"/>
      <c r="FV35" s="106"/>
      <c r="FW35" s="44" t="s">
        <v>156</v>
      </c>
      <c r="FX35" s="38">
        <f t="shared" si="26"/>
        <v>3123072.32</v>
      </c>
      <c r="FY35" s="38"/>
      <c r="FZ35" s="37"/>
      <c r="GA35" s="37"/>
      <c r="GB35" s="84"/>
      <c r="GC35" s="40">
        <f t="shared" si="27"/>
        <v>1293127</v>
      </c>
      <c r="GD35" s="104"/>
      <c r="GE35" s="104"/>
      <c r="GF35" s="104"/>
      <c r="GG35" s="104"/>
      <c r="GH35" s="117">
        <f t="shared" si="28"/>
        <v>0</v>
      </c>
      <c r="GI35" s="33">
        <v>929127</v>
      </c>
      <c r="GJ35" s="104"/>
      <c r="GK35" s="250">
        <v>364000</v>
      </c>
      <c r="GL35" s="104"/>
      <c r="GM35" s="32"/>
      <c r="GN35" s="32">
        <v>954335.88</v>
      </c>
      <c r="GO35" s="32">
        <v>288209.44000000006</v>
      </c>
      <c r="GP35" s="32">
        <v>196129.27</v>
      </c>
      <c r="GQ35" s="32">
        <v>59230.729999999996</v>
      </c>
      <c r="GR35" s="32">
        <v>20000</v>
      </c>
      <c r="GS35" s="33">
        <v>6040</v>
      </c>
      <c r="GT35" s="32"/>
      <c r="GU35" s="32"/>
      <c r="GV35" s="18"/>
      <c r="GW35" s="67" t="s">
        <v>156</v>
      </c>
      <c r="GX35" s="34">
        <f t="shared" si="29"/>
        <v>7055979.7999999998</v>
      </c>
      <c r="GY35" s="34">
        <f t="shared" si="30"/>
        <v>24119940.149999999</v>
      </c>
    </row>
    <row r="36" spans="1:208" ht="15" customHeight="1">
      <c r="A36" s="18">
        <v>37</v>
      </c>
      <c r="B36" s="45" t="s">
        <v>157</v>
      </c>
      <c r="C36" s="103"/>
      <c r="D36" s="104">
        <f t="shared" si="1"/>
        <v>5312181.1700000009</v>
      </c>
      <c r="E36" s="104">
        <f t="shared" si="2"/>
        <v>0</v>
      </c>
      <c r="F36" s="105"/>
      <c r="G36" s="105">
        <f t="shared" si="31"/>
        <v>0</v>
      </c>
      <c r="H36" s="105">
        <f t="shared" si="32"/>
        <v>0</v>
      </c>
      <c r="I36" s="105">
        <f t="shared" si="3"/>
        <v>0</v>
      </c>
      <c r="J36" s="105">
        <f t="shared" si="4"/>
        <v>0</v>
      </c>
      <c r="K36" s="105">
        <f t="shared" si="5"/>
        <v>8114</v>
      </c>
      <c r="L36" s="142">
        <f t="shared" si="6"/>
        <v>0</v>
      </c>
      <c r="M36" s="142"/>
      <c r="N36" s="142">
        <f t="shared" si="7"/>
        <v>2289256.3800000004</v>
      </c>
      <c r="O36" s="143">
        <f t="shared" si="8"/>
        <v>7609551.5500000007</v>
      </c>
      <c r="P36" s="18"/>
      <c r="Q36" s="142">
        <v>755500</v>
      </c>
      <c r="R36" s="32">
        <v>755500</v>
      </c>
      <c r="S36" s="142">
        <v>18654174</v>
      </c>
      <c r="T36" s="142">
        <v>5633560</v>
      </c>
      <c r="U36" s="55">
        <f t="shared" si="9"/>
        <v>24287734</v>
      </c>
      <c r="V36" s="46"/>
      <c r="W36" s="46"/>
      <c r="X36" s="46">
        <f t="shared" si="10"/>
        <v>0</v>
      </c>
      <c r="Y36" s="196">
        <f t="shared" si="11"/>
        <v>32652785.550000001</v>
      </c>
      <c r="Z36" s="45" t="s">
        <v>157</v>
      </c>
      <c r="AA36" s="106">
        <f t="shared" si="12"/>
        <v>0</v>
      </c>
      <c r="AB36" s="107">
        <f t="shared" si="13"/>
        <v>1299962.6099999999</v>
      </c>
      <c r="AC36" s="188">
        <f t="shared" si="14"/>
        <v>1447092.33</v>
      </c>
      <c r="AD36" s="188">
        <f t="shared" si="15"/>
        <v>437022.01999999996</v>
      </c>
      <c r="AE36" s="34">
        <f t="shared" si="16"/>
        <v>4638694.55</v>
      </c>
      <c r="AF36">
        <f t="shared" si="17"/>
        <v>6474707.0899999999</v>
      </c>
      <c r="AG36" s="46">
        <v>234000</v>
      </c>
      <c r="AH36" s="110">
        <f t="shared" si="18"/>
        <v>14531478.6</v>
      </c>
      <c r="AI36" s="111"/>
      <c r="AJ36" s="37">
        <v>2454270</v>
      </c>
      <c r="AK36" s="18">
        <v>60000</v>
      </c>
      <c r="AL36" s="115">
        <f t="shared" si="19"/>
        <v>2514270</v>
      </c>
      <c r="AM36" s="151"/>
      <c r="AN36" s="113"/>
      <c r="AO36" s="117">
        <f t="shared" si="20"/>
        <v>49698534.150000006</v>
      </c>
      <c r="AP36" s="67" t="s">
        <v>157</v>
      </c>
      <c r="AQ36" s="94"/>
      <c r="AR36" s="67"/>
      <c r="AS36" s="67"/>
      <c r="AT36" s="31">
        <f t="shared" si="21"/>
        <v>0</v>
      </c>
      <c r="AU36" s="67"/>
      <c r="AV36" s="67"/>
      <c r="AW36" s="67"/>
      <c r="AX36" s="214">
        <v>471348.38</v>
      </c>
      <c r="AY36" s="31">
        <f t="shared" si="22"/>
        <v>471348.38</v>
      </c>
      <c r="AZ36" s="67" t="s">
        <v>157</v>
      </c>
      <c r="BA36" s="229">
        <v>331954.73</v>
      </c>
      <c r="BB36" s="104">
        <v>0</v>
      </c>
      <c r="BC36" s="105"/>
      <c r="BD36" s="105"/>
      <c r="BE36" s="105"/>
      <c r="BF36" s="33">
        <v>0</v>
      </c>
      <c r="BG36" s="33">
        <v>7580</v>
      </c>
      <c r="BH36" s="33">
        <v>1000</v>
      </c>
      <c r="BI36" s="55"/>
      <c r="BJ36" s="33">
        <v>2289256.3800000004</v>
      </c>
      <c r="BK36" s="142">
        <f t="shared" si="23"/>
        <v>2629791.1100000003</v>
      </c>
      <c r="BL36" s="105">
        <v>0</v>
      </c>
      <c r="BM36" s="33"/>
      <c r="BN36" s="44">
        <v>32176</v>
      </c>
      <c r="BO36" s="44"/>
      <c r="BP36" s="44"/>
      <c r="BQ36" s="246">
        <v>98640</v>
      </c>
      <c r="BR36" s="44">
        <v>46440</v>
      </c>
      <c r="BS36" s="44">
        <v>0</v>
      </c>
      <c r="BT36" s="44"/>
      <c r="BU36" s="44"/>
      <c r="BV36" s="44">
        <v>0</v>
      </c>
      <c r="BW36" s="44"/>
      <c r="BX36" s="44"/>
      <c r="BY36" s="18">
        <v>0</v>
      </c>
      <c r="BZ36" s="18"/>
      <c r="CA36" s="18"/>
      <c r="CB36" s="188"/>
      <c r="CC36" s="18"/>
      <c r="CD36" s="188"/>
      <c r="CE36" s="18">
        <v>463997.3</v>
      </c>
      <c r="CF36" s="18">
        <v>0</v>
      </c>
      <c r="CG36" s="33"/>
      <c r="CH36" s="33"/>
      <c r="CI36" s="33">
        <v>19569.39</v>
      </c>
      <c r="CJ36" s="33">
        <v>0</v>
      </c>
      <c r="CK36" s="67" t="s">
        <v>157</v>
      </c>
      <c r="CL36" s="67">
        <v>28000</v>
      </c>
      <c r="CM36" s="67"/>
      <c r="CN36" s="67"/>
      <c r="CO36" s="18"/>
      <c r="CP36" s="18"/>
      <c r="CQ36" s="18"/>
      <c r="CR36" s="18">
        <v>50000</v>
      </c>
      <c r="CS36" s="18"/>
      <c r="CT36" s="18"/>
      <c r="CU36" s="18"/>
      <c r="CV36" s="255">
        <v>0</v>
      </c>
      <c r="CW36" s="33"/>
      <c r="CX36" s="18">
        <v>583064.44999999995</v>
      </c>
      <c r="CY36" s="18">
        <v>70150</v>
      </c>
      <c r="CZ36" s="18">
        <v>0</v>
      </c>
      <c r="DA36" s="18">
        <v>0</v>
      </c>
      <c r="DB36" s="18"/>
      <c r="DC36" s="18">
        <v>0</v>
      </c>
      <c r="DD36" s="18">
        <v>77900</v>
      </c>
      <c r="DE36" s="255">
        <v>0</v>
      </c>
      <c r="DF36" s="18">
        <v>906901.55</v>
      </c>
      <c r="DG36" s="18">
        <v>0</v>
      </c>
      <c r="DH36" s="18">
        <v>534</v>
      </c>
      <c r="DI36" s="18">
        <v>616334.29</v>
      </c>
      <c r="DJ36" s="18">
        <v>0</v>
      </c>
      <c r="DK36" s="229">
        <v>0</v>
      </c>
      <c r="DL36" s="255"/>
      <c r="DM36" s="18">
        <v>0</v>
      </c>
      <c r="DN36" s="18">
        <v>0</v>
      </c>
      <c r="DO36" s="18"/>
      <c r="DP36" s="229"/>
      <c r="DQ36" s="18">
        <v>164750</v>
      </c>
      <c r="DR36" s="18">
        <v>0</v>
      </c>
      <c r="DS36" s="18">
        <v>0</v>
      </c>
      <c r="DT36" s="18">
        <v>-1000</v>
      </c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76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40">
        <f t="shared" si="0"/>
        <v>1822303.4600000002</v>
      </c>
      <c r="FH36" s="46"/>
      <c r="FI36" s="46"/>
      <c r="FJ36" s="206">
        <v>0</v>
      </c>
      <c r="FK36" s="106"/>
      <c r="FL36" s="33"/>
      <c r="FM36" s="33">
        <v>1822303.4600000002</v>
      </c>
      <c r="FN36" s="225">
        <f t="shared" si="24"/>
        <v>0</v>
      </c>
      <c r="FO36" s="106"/>
      <c r="FP36" s="106"/>
      <c r="FQ36" s="106"/>
      <c r="FR36" s="18">
        <f t="shared" si="25"/>
        <v>6474707.0899999999</v>
      </c>
      <c r="FS36" s="106"/>
      <c r="FT36" s="106">
        <v>4086536.06</v>
      </c>
      <c r="FU36" s="221">
        <f>2615365.66-227194.63</f>
        <v>2388171.0300000003</v>
      </c>
      <c r="FV36" s="106"/>
      <c r="FW36" s="44" t="s">
        <v>157</v>
      </c>
      <c r="FX36" s="38">
        <f t="shared" si="26"/>
        <v>14765478.6</v>
      </c>
      <c r="FY36" s="38"/>
      <c r="FZ36" s="37"/>
      <c r="GA36" s="37"/>
      <c r="GB36" s="84"/>
      <c r="GC36" s="40">
        <f t="shared" si="27"/>
        <v>1299962.6099999999</v>
      </c>
      <c r="GD36" s="104">
        <f>379066.92-379066.92+379066.92</f>
        <v>379066.92</v>
      </c>
      <c r="GE36" s="104"/>
      <c r="GF36" s="104"/>
      <c r="GG36" s="104">
        <v>4259627.63</v>
      </c>
      <c r="GH36" s="117">
        <f t="shared" si="28"/>
        <v>4638694.55</v>
      </c>
      <c r="GI36" s="33">
        <v>942915</v>
      </c>
      <c r="GJ36" s="104"/>
      <c r="GK36" s="250">
        <v>357047.61</v>
      </c>
      <c r="GL36" s="104"/>
      <c r="GM36" s="32"/>
      <c r="GN36" s="32">
        <v>1229737.47</v>
      </c>
      <c r="GO36" s="32">
        <v>371380.72</v>
      </c>
      <c r="GP36" s="32">
        <v>197354.86</v>
      </c>
      <c r="GQ36" s="32">
        <v>59601.3</v>
      </c>
      <c r="GR36" s="32">
        <v>20000</v>
      </c>
      <c r="GS36" s="33">
        <v>6040</v>
      </c>
      <c r="GT36" s="32"/>
      <c r="GU36" s="32"/>
      <c r="GV36" s="18"/>
      <c r="GW36" s="67" t="s">
        <v>157</v>
      </c>
      <c r="GX36" s="34">
        <f t="shared" si="29"/>
        <v>12111170.16</v>
      </c>
      <c r="GY36" s="34">
        <f t="shared" si="30"/>
        <v>49698534.150000006</v>
      </c>
    </row>
    <row r="37" spans="1:208" ht="30" customHeight="1" thickBot="1">
      <c r="A37" s="18">
        <v>38</v>
      </c>
      <c r="B37" s="45" t="s">
        <v>158</v>
      </c>
      <c r="C37" s="103"/>
      <c r="D37" s="104">
        <f t="shared" si="1"/>
        <v>6465129.9000000004</v>
      </c>
      <c r="E37" s="104">
        <f t="shared" si="2"/>
        <v>0</v>
      </c>
      <c r="F37" s="105"/>
      <c r="G37" s="105">
        <f t="shared" si="31"/>
        <v>0</v>
      </c>
      <c r="H37" s="105">
        <f t="shared" si="32"/>
        <v>0</v>
      </c>
      <c r="I37" s="105">
        <f t="shared" si="3"/>
        <v>0</v>
      </c>
      <c r="J37" s="105">
        <f t="shared" si="4"/>
        <v>0</v>
      </c>
      <c r="K37" s="105">
        <f t="shared" si="5"/>
        <v>4856</v>
      </c>
      <c r="L37" s="142">
        <f t="shared" si="6"/>
        <v>261.16999999999985</v>
      </c>
      <c r="M37" s="142"/>
      <c r="N37" s="142">
        <f t="shared" si="7"/>
        <v>317499.24</v>
      </c>
      <c r="O37" s="143">
        <f t="shared" si="8"/>
        <v>6787746.3100000005</v>
      </c>
      <c r="P37" s="18"/>
      <c r="Q37" s="142">
        <v>291453.40000000002</v>
      </c>
      <c r="R37" s="32">
        <v>274625</v>
      </c>
      <c r="S37" s="142">
        <v>12351084</v>
      </c>
      <c r="T37" s="142">
        <v>3730027</v>
      </c>
      <c r="U37" s="55">
        <f t="shared" si="9"/>
        <v>16081111</v>
      </c>
      <c r="V37" s="46"/>
      <c r="W37" s="46"/>
      <c r="X37" s="46">
        <f t="shared" si="10"/>
        <v>0</v>
      </c>
      <c r="Y37" s="196">
        <f t="shared" si="11"/>
        <v>23143482.310000002</v>
      </c>
      <c r="Z37" s="45" t="s">
        <v>158</v>
      </c>
      <c r="AA37" s="106">
        <f t="shared" si="12"/>
        <v>0</v>
      </c>
      <c r="AB37" s="107">
        <f t="shared" si="13"/>
        <v>896065</v>
      </c>
      <c r="AC37" s="188">
        <f t="shared" si="14"/>
        <v>1032546.41</v>
      </c>
      <c r="AD37" s="188">
        <f t="shared" si="15"/>
        <v>311829.00999999989</v>
      </c>
      <c r="AE37" s="34">
        <f t="shared" si="16"/>
        <v>0</v>
      </c>
      <c r="AF37">
        <f t="shared" si="17"/>
        <v>0</v>
      </c>
      <c r="AG37" s="46">
        <v>162000</v>
      </c>
      <c r="AH37" s="110">
        <f t="shared" si="18"/>
        <v>2402440.42</v>
      </c>
      <c r="AI37" s="111"/>
      <c r="AJ37" s="37">
        <v>741410</v>
      </c>
      <c r="AK37" s="18"/>
      <c r="AL37" s="104">
        <f t="shared" si="19"/>
        <v>741410</v>
      </c>
      <c r="AM37" s="151"/>
      <c r="AN37" s="113"/>
      <c r="AO37" s="117">
        <f t="shared" si="20"/>
        <v>26287332.730000004</v>
      </c>
      <c r="AP37" s="67" t="s">
        <v>158</v>
      </c>
      <c r="AQ37" s="94"/>
      <c r="AR37" s="67"/>
      <c r="AS37" s="67"/>
      <c r="AT37" s="31">
        <f t="shared" si="21"/>
        <v>0</v>
      </c>
      <c r="AU37" s="67"/>
      <c r="AV37" s="67"/>
      <c r="AW37" s="67"/>
      <c r="AX37" s="214">
        <v>56272.77</v>
      </c>
      <c r="AY37" s="31">
        <f t="shared" si="22"/>
        <v>56272.77</v>
      </c>
      <c r="AZ37" s="67" t="s">
        <v>158</v>
      </c>
      <c r="BA37" s="229">
        <v>274775.04999999993</v>
      </c>
      <c r="BB37" s="104">
        <v>0</v>
      </c>
      <c r="BC37" s="105"/>
      <c r="BD37" s="105"/>
      <c r="BE37" s="105"/>
      <c r="BF37" s="32">
        <v>0</v>
      </c>
      <c r="BG37" s="33">
        <v>4322</v>
      </c>
      <c r="BH37" s="33">
        <v>1221.1899999999998</v>
      </c>
      <c r="BI37" s="55"/>
      <c r="BJ37" s="33">
        <v>302499.24</v>
      </c>
      <c r="BK37" s="142">
        <f t="shared" si="23"/>
        <v>582817.48</v>
      </c>
      <c r="BL37" s="105">
        <v>0</v>
      </c>
      <c r="BM37" s="33"/>
      <c r="BN37" s="49">
        <v>1316000</v>
      </c>
      <c r="BO37" s="49"/>
      <c r="BP37" s="49"/>
      <c r="BQ37" s="246">
        <v>0</v>
      </c>
      <c r="BR37" s="49">
        <v>0</v>
      </c>
      <c r="BS37" s="49">
        <v>0</v>
      </c>
      <c r="BT37" s="49"/>
      <c r="BU37" s="49"/>
      <c r="BV37" s="49">
        <v>0</v>
      </c>
      <c r="BW37" s="49"/>
      <c r="BX37" s="49"/>
      <c r="BY37" s="18">
        <v>0</v>
      </c>
      <c r="BZ37" s="18"/>
      <c r="CA37" s="18"/>
      <c r="CB37" s="188"/>
      <c r="CC37" s="18"/>
      <c r="CD37" s="188"/>
      <c r="CE37" s="18">
        <v>675414.21</v>
      </c>
      <c r="CF37" s="18">
        <v>0</v>
      </c>
      <c r="CG37" s="33"/>
      <c r="CH37" s="33"/>
      <c r="CI37" s="33">
        <v>0</v>
      </c>
      <c r="CJ37" s="33">
        <v>0</v>
      </c>
      <c r="CK37" s="67" t="s">
        <v>158</v>
      </c>
      <c r="CL37" s="67">
        <v>24000</v>
      </c>
      <c r="CM37" s="67"/>
      <c r="CN37" s="67"/>
      <c r="CO37" s="18"/>
      <c r="CP37" s="18"/>
      <c r="CQ37" s="18"/>
      <c r="CR37" s="18">
        <v>30000</v>
      </c>
      <c r="CS37" s="18"/>
      <c r="CT37" s="18"/>
      <c r="CU37" s="18"/>
      <c r="CV37" s="255">
        <v>0</v>
      </c>
      <c r="CW37" s="33"/>
      <c r="CX37" s="18">
        <v>1760777.9300000002</v>
      </c>
      <c r="CY37" s="18">
        <v>0</v>
      </c>
      <c r="CZ37" s="18">
        <v>0</v>
      </c>
      <c r="DA37" s="18">
        <v>0</v>
      </c>
      <c r="DB37" s="18"/>
      <c r="DC37" s="18">
        <v>44350</v>
      </c>
      <c r="DD37" s="33">
        <v>86900</v>
      </c>
      <c r="DE37" s="255">
        <v>29600</v>
      </c>
      <c r="DF37" s="33">
        <v>1225337.07</v>
      </c>
      <c r="DG37" s="33">
        <v>0</v>
      </c>
      <c r="DH37" s="33">
        <v>534</v>
      </c>
      <c r="DI37" s="33">
        <v>85050</v>
      </c>
      <c r="DJ37" s="33">
        <v>0</v>
      </c>
      <c r="DK37" s="229">
        <v>0</v>
      </c>
      <c r="DL37" s="255"/>
      <c r="DM37" s="33">
        <v>0</v>
      </c>
      <c r="DN37" s="33">
        <v>39.979999999999997</v>
      </c>
      <c r="DO37" s="33"/>
      <c r="DP37" s="229"/>
      <c r="DQ37" s="33">
        <v>164000</v>
      </c>
      <c r="DR37" s="33">
        <v>15000</v>
      </c>
      <c r="DS37" s="33">
        <v>0</v>
      </c>
      <c r="DT37" s="33">
        <v>-1000</v>
      </c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47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40">
        <f t="shared" si="0"/>
        <v>748925.6399999999</v>
      </c>
      <c r="FH37" s="46"/>
      <c r="FI37" s="46"/>
      <c r="FJ37" s="33">
        <f>82406.94+352</f>
        <v>82758.94</v>
      </c>
      <c r="FK37" s="18"/>
      <c r="FL37" s="33"/>
      <c r="FM37" s="33">
        <v>666166.69999999995</v>
      </c>
      <c r="FN37" s="225">
        <f t="shared" si="24"/>
        <v>0</v>
      </c>
      <c r="FO37" s="106"/>
      <c r="FP37" s="18"/>
      <c r="FQ37" s="18"/>
      <c r="FR37" s="18">
        <f t="shared" si="25"/>
        <v>0</v>
      </c>
      <c r="FS37" s="18"/>
      <c r="FT37" s="18">
        <v>0</v>
      </c>
      <c r="FU37" s="220"/>
      <c r="FV37" s="18"/>
      <c r="FW37" s="49" t="s">
        <v>158</v>
      </c>
      <c r="FX37" s="38">
        <f t="shared" si="26"/>
        <v>2564440.42</v>
      </c>
      <c r="FY37" s="38"/>
      <c r="FZ37" s="37"/>
      <c r="GA37" s="37"/>
      <c r="GB37" s="84"/>
      <c r="GC37" s="40">
        <f t="shared" si="27"/>
        <v>896065</v>
      </c>
      <c r="GD37" s="104"/>
      <c r="GE37" s="104"/>
      <c r="GF37" s="104"/>
      <c r="GG37" s="104"/>
      <c r="GH37" s="117">
        <f t="shared" si="28"/>
        <v>0</v>
      </c>
      <c r="GI37" s="33">
        <v>536729</v>
      </c>
      <c r="GJ37" s="104"/>
      <c r="GK37" s="250">
        <v>359336</v>
      </c>
      <c r="GL37" s="104"/>
      <c r="GM37" s="32"/>
      <c r="GN37" s="32">
        <v>1032546.41</v>
      </c>
      <c r="GO37" s="32">
        <v>311829.00999999989</v>
      </c>
      <c r="GP37" s="32"/>
      <c r="GQ37" s="32">
        <v>0</v>
      </c>
      <c r="GR37" s="32"/>
      <c r="GS37" s="33"/>
      <c r="GT37" s="32"/>
      <c r="GU37" s="32"/>
      <c r="GV37" s="18"/>
      <c r="GW37" s="67" t="s">
        <v>158</v>
      </c>
      <c r="GX37" s="34">
        <f t="shared" si="29"/>
        <v>8711557.540000001</v>
      </c>
      <c r="GY37" s="34">
        <f t="shared" si="30"/>
        <v>26287332.730000004</v>
      </c>
    </row>
    <row r="38" spans="1:208" ht="15" thickBot="1">
      <c r="A38" s="50"/>
      <c r="B38" s="51" t="s">
        <v>120</v>
      </c>
      <c r="C38" s="52"/>
      <c r="D38" s="104">
        <f>SUM(D3:D37)</f>
        <v>171086040.56999996</v>
      </c>
      <c r="E38" s="104">
        <f>BB38+BM38+CZ38+DX38+DZ38+CH38+DO38+EJ38+EV38+DG38</f>
        <v>160888</v>
      </c>
      <c r="F38" s="104">
        <f t="shared" ref="F38:M38" si="33">SUM(F3:F37)</f>
        <v>0</v>
      </c>
      <c r="G38" s="104">
        <f t="shared" si="33"/>
        <v>59007.15</v>
      </c>
      <c r="H38" s="104">
        <f t="shared" si="33"/>
        <v>17820</v>
      </c>
      <c r="I38" s="104">
        <f t="shared" si="33"/>
        <v>36000</v>
      </c>
      <c r="J38" s="105">
        <f t="shared" si="4"/>
        <v>1300050.44</v>
      </c>
      <c r="K38" s="105">
        <f t="shared" ref="K38" si="34">BG38+CC38+CQ38+DA38+EE38+EL38+ET38+EZ38+FE38+CF38+DH38+DS38</f>
        <v>2430957.56</v>
      </c>
      <c r="L38" s="142">
        <f t="shared" ref="L38" si="35">BH38+DB38+EM38+FA38+DN38+CO38+EA38+EU38+DT38</f>
        <v>62666.479999999996</v>
      </c>
      <c r="M38" s="104">
        <f t="shared" si="33"/>
        <v>0</v>
      </c>
      <c r="N38" s="142">
        <f>BJ38+EI38+FB38+FD38+CA38+CG38+CU38+CW38+DJ38+DR38+DV38+EN38+EQ38+EP38</f>
        <v>35021732.590000004</v>
      </c>
      <c r="O38" s="143">
        <f>SUM(D38:N38)</f>
        <v>210175162.78999996</v>
      </c>
      <c r="P38" s="18">
        <f>SUM(P3:P37)</f>
        <v>0</v>
      </c>
      <c r="Q38" s="142">
        <f>SUM(Q3:Q37)</f>
        <v>18329875</v>
      </c>
      <c r="R38" s="55">
        <f t="shared" ref="R38:W38" si="36">SUM(R3:R37)</f>
        <v>18329875</v>
      </c>
      <c r="S38" s="55">
        <f t="shared" si="36"/>
        <v>548187997.35000002</v>
      </c>
      <c r="T38" s="55">
        <f t="shared" si="36"/>
        <v>165552775</v>
      </c>
      <c r="U38" s="142">
        <f t="shared" si="36"/>
        <v>713740772.35000002</v>
      </c>
      <c r="V38" s="142">
        <f t="shared" si="36"/>
        <v>0</v>
      </c>
      <c r="W38" s="142">
        <f t="shared" si="36"/>
        <v>0</v>
      </c>
      <c r="X38" s="46">
        <f t="shared" si="10"/>
        <v>0</v>
      </c>
      <c r="Y38" s="196">
        <f t="shared" si="11"/>
        <v>942245810.13999999</v>
      </c>
      <c r="Z38" s="35"/>
      <c r="AA38" s="106">
        <f t="shared" si="12"/>
        <v>4983172.74</v>
      </c>
      <c r="AB38">
        <f t="shared" ref="AB38:AN38" si="37">SUM(AB3:AB37)</f>
        <v>113503363.63</v>
      </c>
      <c r="AC38">
        <f t="shared" si="37"/>
        <v>48415365.87258064</v>
      </c>
      <c r="AD38">
        <f t="shared" si="37"/>
        <v>14621336.467419354</v>
      </c>
      <c r="AE38" s="34">
        <f t="shared" si="16"/>
        <v>68036631.109999999</v>
      </c>
      <c r="AF38">
        <f t="shared" si="17"/>
        <v>52948075.460000001</v>
      </c>
      <c r="AG38">
        <f>SUM(AG3:AG37)</f>
        <v>7263000</v>
      </c>
      <c r="AH38" s="38">
        <f t="shared" si="37"/>
        <v>309500652.83999997</v>
      </c>
      <c r="AI38">
        <f t="shared" si="37"/>
        <v>0</v>
      </c>
      <c r="AJ38" s="37">
        <v>31963150</v>
      </c>
      <c r="AK38" s="33">
        <f>SUM(AK3:AK37)</f>
        <v>384000</v>
      </c>
      <c r="AL38">
        <f t="shared" si="37"/>
        <v>32347150</v>
      </c>
      <c r="AM38">
        <f t="shared" si="37"/>
        <v>0</v>
      </c>
      <c r="AN38">
        <f t="shared" si="37"/>
        <v>0</v>
      </c>
      <c r="AO38" s="38">
        <f>SUM(AO3:AO37)</f>
        <v>1286339673.5400002</v>
      </c>
      <c r="AP38" s="38"/>
      <c r="AQ38" s="18">
        <f>SUM(AQ3:AQ37)</f>
        <v>0</v>
      </c>
      <c r="AR38" s="38"/>
      <c r="AS38" s="38"/>
      <c r="AT38" s="38"/>
      <c r="AU38" s="38"/>
      <c r="AV38" s="38"/>
      <c r="AW38" s="38">
        <f>SUM(AW3:AW37)</f>
        <v>29323157.84</v>
      </c>
      <c r="AX38" s="38">
        <f>SUM(AX3:AX37)</f>
        <v>3872836.2299999995</v>
      </c>
      <c r="AY38" s="38">
        <f>SUM(AY3:AY37)</f>
        <v>33195994.069999989</v>
      </c>
      <c r="AZ38" s="38"/>
      <c r="BA38" s="32">
        <f t="shared" ref="BA38:BJ38" si="38">SUM(BA3:BA37)</f>
        <v>12869359.039999999</v>
      </c>
      <c r="BB38" s="32">
        <f t="shared" si="38"/>
        <v>98535.6</v>
      </c>
      <c r="BC38" s="32">
        <f t="shared" si="38"/>
        <v>0</v>
      </c>
      <c r="BD38" s="32">
        <f t="shared" si="38"/>
        <v>0</v>
      </c>
      <c r="BE38" s="32">
        <f t="shared" si="38"/>
        <v>0</v>
      </c>
      <c r="BF38" s="32">
        <f t="shared" si="38"/>
        <v>1295996.44</v>
      </c>
      <c r="BG38" s="32">
        <f t="shared" si="38"/>
        <v>164875</v>
      </c>
      <c r="BH38" s="127">
        <f t="shared" si="38"/>
        <v>38732.99</v>
      </c>
      <c r="BI38" s="127">
        <f t="shared" si="38"/>
        <v>0</v>
      </c>
      <c r="BJ38" s="33">
        <f t="shared" si="38"/>
        <v>34319116.57</v>
      </c>
      <c r="BK38" s="142">
        <f t="shared" si="23"/>
        <v>48786615.640000001</v>
      </c>
      <c r="BL38" s="33">
        <v>162848.76</v>
      </c>
      <c r="BM38" s="38">
        <f t="shared" ref="BM38:CH38" si="39">SUM(BM3:BM37)</f>
        <v>0</v>
      </c>
      <c r="BN38" s="38">
        <f t="shared" si="39"/>
        <v>17398208.23</v>
      </c>
      <c r="BO38" s="38">
        <f t="shared" si="39"/>
        <v>0</v>
      </c>
      <c r="BP38" s="38">
        <f t="shared" si="39"/>
        <v>0</v>
      </c>
      <c r="BQ38" s="33">
        <f>SUM(BQ3:BQ37)</f>
        <v>744852.4</v>
      </c>
      <c r="BR38" s="38">
        <v>1272414</v>
      </c>
      <c r="BS38" s="38">
        <f>SUM(BS3:BS37)</f>
        <v>5625251.3100000005</v>
      </c>
      <c r="BT38" s="38">
        <f t="shared" si="39"/>
        <v>0</v>
      </c>
      <c r="BU38" s="38">
        <f t="shared" si="39"/>
        <v>0</v>
      </c>
      <c r="BV38" s="38">
        <v>1199804.8600000001</v>
      </c>
      <c r="BW38" s="38">
        <f t="shared" si="39"/>
        <v>0</v>
      </c>
      <c r="BX38" s="38">
        <f t="shared" si="39"/>
        <v>0</v>
      </c>
      <c r="BY38" s="38">
        <v>2399619.7400000002</v>
      </c>
      <c r="BZ38" s="38">
        <f t="shared" si="39"/>
        <v>0</v>
      </c>
      <c r="CA38" s="38">
        <f t="shared" si="39"/>
        <v>0</v>
      </c>
      <c r="CB38" s="249">
        <f t="shared" ref="CB38" si="40">SUM(CB3:CB37)</f>
        <v>146159.5</v>
      </c>
      <c r="CC38" s="38">
        <f t="shared" si="39"/>
        <v>0</v>
      </c>
      <c r="CD38" s="249">
        <f t="shared" ref="CD38" si="41">SUM(CD3:CD37)</f>
        <v>801420</v>
      </c>
      <c r="CE38" s="38">
        <v>29122567.140000001</v>
      </c>
      <c r="CF38" s="38">
        <v>2246060.56</v>
      </c>
      <c r="CG38" s="38">
        <f t="shared" si="39"/>
        <v>0</v>
      </c>
      <c r="CH38" s="38">
        <f t="shared" si="39"/>
        <v>0</v>
      </c>
      <c r="CI38" s="38">
        <v>542644.80000000005</v>
      </c>
      <c r="CJ38" s="38">
        <v>-8976124.1699999999</v>
      </c>
      <c r="CK38" s="38"/>
      <c r="CL38" s="38">
        <v>1491247.5</v>
      </c>
      <c r="CM38" s="38">
        <f t="shared" ref="CM38:EZ38" si="42">SUM(CM3:CM37)</f>
        <v>36000</v>
      </c>
      <c r="CN38" s="38">
        <f t="shared" si="42"/>
        <v>0</v>
      </c>
      <c r="CO38" s="38">
        <f t="shared" si="42"/>
        <v>57136</v>
      </c>
      <c r="CP38" s="38">
        <f t="shared" si="42"/>
        <v>0</v>
      </c>
      <c r="CQ38" s="38">
        <f t="shared" si="42"/>
        <v>0</v>
      </c>
      <c r="CR38" s="38">
        <f t="shared" si="42"/>
        <v>2986627.79</v>
      </c>
      <c r="CS38" s="38">
        <f t="shared" si="42"/>
        <v>0</v>
      </c>
      <c r="CT38" s="38">
        <f t="shared" si="42"/>
        <v>0</v>
      </c>
      <c r="CU38" s="38">
        <f t="shared" si="42"/>
        <v>0</v>
      </c>
      <c r="CV38" s="256">
        <f>SUM(CV3:CV37)</f>
        <v>-482063.3899999999</v>
      </c>
      <c r="CW38" s="38">
        <f t="shared" si="42"/>
        <v>0</v>
      </c>
      <c r="CX38" s="38">
        <v>11758150.309999997</v>
      </c>
      <c r="CY38" s="38">
        <f t="shared" si="42"/>
        <v>260362.44</v>
      </c>
      <c r="CZ38" s="38">
        <f t="shared" si="42"/>
        <v>0</v>
      </c>
      <c r="DA38" s="38">
        <f t="shared" si="42"/>
        <v>6000</v>
      </c>
      <c r="DB38" s="38">
        <f t="shared" si="42"/>
        <v>0</v>
      </c>
      <c r="DC38" s="38">
        <f t="shared" si="42"/>
        <v>2956700.36</v>
      </c>
      <c r="DD38" s="38">
        <f t="shared" si="42"/>
        <v>2363085.88</v>
      </c>
      <c r="DE38" s="256">
        <f t="shared" ref="DE38" si="43">SUM(DE3:DE37)</f>
        <v>10199485.289999999</v>
      </c>
      <c r="DF38" s="38">
        <f t="shared" si="42"/>
        <v>7857549.4200000009</v>
      </c>
      <c r="DG38" s="38">
        <f t="shared" si="42"/>
        <v>62352.4</v>
      </c>
      <c r="DH38" s="38">
        <v>20077</v>
      </c>
      <c r="DI38" s="38">
        <f t="shared" si="42"/>
        <v>3783891.7</v>
      </c>
      <c r="DJ38" s="38">
        <f t="shared" si="42"/>
        <v>451000</v>
      </c>
      <c r="DK38" s="38">
        <v>4054</v>
      </c>
      <c r="DL38" s="38">
        <f t="shared" si="42"/>
        <v>10500</v>
      </c>
      <c r="DM38" s="38">
        <v>2753921.22</v>
      </c>
      <c r="DN38" s="38">
        <v>-202.50999999999988</v>
      </c>
      <c r="DO38" s="38">
        <f t="shared" si="42"/>
        <v>0</v>
      </c>
      <c r="DP38" s="38">
        <f t="shared" si="42"/>
        <v>0</v>
      </c>
      <c r="DQ38" s="38">
        <f t="shared" si="42"/>
        <v>4119146.88</v>
      </c>
      <c r="DR38" s="38">
        <f t="shared" si="42"/>
        <v>251616.02000000002</v>
      </c>
      <c r="DS38" s="38">
        <f t="shared" si="42"/>
        <v>-6055</v>
      </c>
      <c r="DT38" s="38">
        <f t="shared" si="42"/>
        <v>-33000</v>
      </c>
      <c r="DU38" s="38">
        <f t="shared" si="42"/>
        <v>0</v>
      </c>
      <c r="DV38" s="38">
        <f t="shared" si="42"/>
        <v>0</v>
      </c>
      <c r="DW38" s="38">
        <f t="shared" si="42"/>
        <v>0</v>
      </c>
      <c r="DX38" s="38">
        <f t="shared" si="42"/>
        <v>0</v>
      </c>
      <c r="DY38" s="38">
        <f t="shared" si="42"/>
        <v>0</v>
      </c>
      <c r="DZ38" s="38">
        <f t="shared" si="42"/>
        <v>0</v>
      </c>
      <c r="EA38" s="38">
        <f t="shared" si="42"/>
        <v>0</v>
      </c>
      <c r="EB38" s="38">
        <f t="shared" si="42"/>
        <v>0</v>
      </c>
      <c r="EC38" s="38">
        <f t="shared" si="42"/>
        <v>0</v>
      </c>
      <c r="ED38" s="38">
        <f t="shared" si="42"/>
        <v>0</v>
      </c>
      <c r="EE38" s="38">
        <f t="shared" si="42"/>
        <v>0</v>
      </c>
      <c r="EF38" s="38">
        <f t="shared" si="42"/>
        <v>0</v>
      </c>
      <c r="EG38" s="38">
        <f t="shared" si="42"/>
        <v>0</v>
      </c>
      <c r="EH38" s="38">
        <f t="shared" si="42"/>
        <v>0</v>
      </c>
      <c r="EI38" s="38">
        <f t="shared" si="42"/>
        <v>0</v>
      </c>
      <c r="EJ38" s="38">
        <f t="shared" si="42"/>
        <v>0</v>
      </c>
      <c r="EK38" s="38">
        <f t="shared" si="42"/>
        <v>0</v>
      </c>
      <c r="EL38" s="38">
        <f t="shared" si="42"/>
        <v>0</v>
      </c>
      <c r="EM38" s="38">
        <f t="shared" si="42"/>
        <v>0</v>
      </c>
      <c r="EN38" s="38">
        <f t="shared" si="42"/>
        <v>0</v>
      </c>
      <c r="EO38" s="38">
        <f t="shared" si="42"/>
        <v>0</v>
      </c>
      <c r="EP38" s="38">
        <f t="shared" si="42"/>
        <v>0</v>
      </c>
      <c r="EQ38" s="38">
        <f t="shared" si="42"/>
        <v>0</v>
      </c>
      <c r="ER38" s="38">
        <f t="shared" si="42"/>
        <v>0</v>
      </c>
      <c r="ES38" s="38">
        <f t="shared" si="42"/>
        <v>0</v>
      </c>
      <c r="ET38" s="38">
        <f t="shared" si="42"/>
        <v>0</v>
      </c>
      <c r="EU38" s="38">
        <f t="shared" si="42"/>
        <v>0</v>
      </c>
      <c r="EV38" s="38">
        <f t="shared" si="42"/>
        <v>0</v>
      </c>
      <c r="EW38" s="38">
        <f t="shared" si="42"/>
        <v>0</v>
      </c>
      <c r="EX38" s="38">
        <f t="shared" si="42"/>
        <v>0</v>
      </c>
      <c r="EY38" s="38">
        <f t="shared" si="42"/>
        <v>0</v>
      </c>
      <c r="EZ38" s="38">
        <f t="shared" si="42"/>
        <v>0</v>
      </c>
      <c r="FA38" s="38">
        <f t="shared" ref="FA38:FF38" si="44">SUM(FA3:FA37)</f>
        <v>0</v>
      </c>
      <c r="FB38" s="38">
        <f t="shared" si="44"/>
        <v>0</v>
      </c>
      <c r="FC38" s="38">
        <f t="shared" si="44"/>
        <v>0</v>
      </c>
      <c r="FD38" s="38">
        <f t="shared" si="44"/>
        <v>0</v>
      </c>
      <c r="FE38" s="38">
        <f t="shared" si="44"/>
        <v>0</v>
      </c>
      <c r="FF38" s="38">
        <f t="shared" si="44"/>
        <v>0</v>
      </c>
      <c r="FG38" s="40">
        <f t="shared" si="0"/>
        <v>50997430.340000011</v>
      </c>
      <c r="FH38" s="204">
        <f>SUM(FH3:FH37)</f>
        <v>59007.15</v>
      </c>
      <c r="FI38" s="204">
        <f>SUM(FI3:FI37)</f>
        <v>17820</v>
      </c>
      <c r="FJ38" s="32">
        <f>SUM(FJ3:FJ37)</f>
        <v>4260923.0200000005</v>
      </c>
      <c r="FK38" s="25"/>
      <c r="FL38" s="38"/>
      <c r="FM38" s="38">
        <v>46736507.320000008</v>
      </c>
      <c r="FN38" s="225">
        <f t="shared" si="24"/>
        <v>4983172.74</v>
      </c>
      <c r="FO38" s="25">
        <f>SUM(FO3:FO37)</f>
        <v>4983172.74</v>
      </c>
      <c r="FP38" s="25">
        <f>SUM(FP3:FP37)</f>
        <v>0</v>
      </c>
      <c r="FQ38" s="25"/>
      <c r="FR38" s="18">
        <f t="shared" si="25"/>
        <v>52948075.460000001</v>
      </c>
      <c r="FS38" s="25">
        <f>SUM(FS4:FS37)</f>
        <v>0</v>
      </c>
      <c r="FT38" s="25">
        <f>SUM(FT3:FT37)</f>
        <v>32908924.809999999</v>
      </c>
      <c r="FU38" s="224">
        <f>SUM(FU3:FU37)</f>
        <v>20039150.650000002</v>
      </c>
      <c r="FV38" s="189"/>
      <c r="FW38" s="38"/>
      <c r="FX38" s="38">
        <f t="shared" si="26"/>
        <v>311941368.09999996</v>
      </c>
      <c r="FY38" s="38"/>
      <c r="FZ38" s="37">
        <f>SUM(FZ3:FZ37)</f>
        <v>0</v>
      </c>
      <c r="GA38" s="37">
        <f>SUM(GA3:GA37)</f>
        <v>0</v>
      </c>
      <c r="GB38" s="41">
        <f>SUM(GB3:GB37)</f>
        <v>0</v>
      </c>
      <c r="GC38" s="40">
        <f t="shared" si="27"/>
        <v>113503363.63</v>
      </c>
      <c r="GD38" s="32">
        <f t="shared" ref="GD38:GF38" si="45">SUM(GD3:GD37)</f>
        <v>5820896.9199999999</v>
      </c>
      <c r="GE38" s="32">
        <f t="shared" si="45"/>
        <v>57685814.120000005</v>
      </c>
      <c r="GF38" s="32">
        <f t="shared" si="45"/>
        <v>4529920.0699999994</v>
      </c>
      <c r="GG38" s="18"/>
      <c r="GH38" s="117">
        <f t="shared" si="28"/>
        <v>68036631.109999999</v>
      </c>
      <c r="GI38">
        <f t="shared" ref="GI38:GJ38" si="46">SUM(GI3:GI37)</f>
        <v>30716395.489999998</v>
      </c>
      <c r="GJ38" s="32">
        <f t="shared" si="46"/>
        <v>2662108.73</v>
      </c>
      <c r="GK38" s="251">
        <f>SUM(GK3:GK37)</f>
        <v>10755671.35</v>
      </c>
      <c r="GL38" s="104">
        <v>64839267.990000002</v>
      </c>
      <c r="GM38" s="32">
        <f>SUM(GM4:GM37)</f>
        <v>0</v>
      </c>
      <c r="GN38" s="32">
        <f t="shared" ref="GN38:GS38" si="47">SUM(GN3:GN37)</f>
        <v>44038724.969999991</v>
      </c>
      <c r="GO38" s="32">
        <f t="shared" si="47"/>
        <v>13299695.029999999</v>
      </c>
      <c r="GP38" s="32">
        <f t="shared" si="47"/>
        <v>3977593.2825806444</v>
      </c>
      <c r="GQ38" s="32">
        <f t="shared" si="47"/>
        <v>1201129.0574193548</v>
      </c>
      <c r="GR38" s="32">
        <f t="shared" si="47"/>
        <v>399047.62</v>
      </c>
      <c r="GS38" s="32">
        <f t="shared" si="47"/>
        <v>120512.38</v>
      </c>
      <c r="GT38" s="32">
        <f t="shared" ref="GT38" si="48">SUM(GT4:GT37)</f>
        <v>38561425.430000007</v>
      </c>
      <c r="GU38" s="32"/>
      <c r="GV38" s="18"/>
      <c r="GY38" s="34"/>
      <c r="GZ38">
        <f>SUM(HA3:HA37)</f>
        <v>0</v>
      </c>
    </row>
    <row r="39" spans="1:208" ht="15.6">
      <c r="M39" s="142"/>
      <c r="U39" s="38">
        <f>U38+O38+R38</f>
        <v>942245810.13999999</v>
      </c>
      <c r="V39" s="38"/>
      <c r="W39" s="38"/>
      <c r="X39" s="38"/>
      <c r="AA39" s="36"/>
      <c r="AF39">
        <f>AF38+AA38</f>
        <v>57931248.200000003</v>
      </c>
      <c r="AG39" s="53"/>
      <c r="AH39">
        <v>309500652.83999997</v>
      </c>
      <c r="AL39" s="36"/>
      <c r="AM39" s="36"/>
      <c r="AN39" s="36"/>
      <c r="AO39" s="38">
        <v>1009913049.63</v>
      </c>
      <c r="BK39">
        <v>48786615.640000008</v>
      </c>
      <c r="FJ39" s="18"/>
      <c r="FP39">
        <f>FP38+FR38</f>
        <v>52948075.460000001</v>
      </c>
      <c r="GI39" s="153"/>
    </row>
    <row r="40" spans="1:208">
      <c r="B40" s="22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05">
        <v>210175162.79000002</v>
      </c>
      <c r="U40" s="36"/>
      <c r="V40" s="36"/>
      <c r="W40" s="36"/>
      <c r="X40" s="36"/>
      <c r="Y40" s="38"/>
      <c r="AG40" s="54"/>
      <c r="AH40" s="34">
        <f>AH38-AH39</f>
        <v>0</v>
      </c>
      <c r="AL40" s="36"/>
      <c r="AM40" s="36"/>
      <c r="AN40" s="36"/>
      <c r="AO40" s="38">
        <f>AO38-AO39</f>
        <v>276426623.91000021</v>
      </c>
      <c r="BK40" s="38">
        <f>BK39-BK38</f>
        <v>0</v>
      </c>
      <c r="CR40" s="171">
        <f>CO38+CR38</f>
        <v>3043763.79</v>
      </c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J40" s="38"/>
      <c r="GI40" s="154"/>
    </row>
    <row r="41" spans="1:208" ht="15" customHeight="1">
      <c r="L41" s="36"/>
      <c r="O41" s="38"/>
      <c r="AL41" s="34"/>
      <c r="AZ41" s="213"/>
      <c r="BA41" s="214"/>
    </row>
    <row r="42" spans="1:208" ht="15" customHeight="1">
      <c r="L42" s="36"/>
      <c r="O42" s="205">
        <f>O38-O40</f>
        <v>0</v>
      </c>
      <c r="W42" s="24"/>
      <c r="X42" s="24"/>
      <c r="Y42" s="58"/>
      <c r="Z42" s="58"/>
      <c r="AL42" s="34"/>
      <c r="AZ42" s="213"/>
      <c r="BA42" s="214"/>
    </row>
    <row r="43" spans="1:208" ht="15" customHeight="1">
      <c r="L43" s="36"/>
      <c r="W43" s="46"/>
      <c r="X43" s="46"/>
      <c r="Y43" s="188"/>
      <c r="Z43" s="188"/>
      <c r="AB43" s="38"/>
      <c r="AC43" s="38"/>
      <c r="AE43" s="34"/>
      <c r="AF43" s="34"/>
      <c r="AG43" s="34"/>
      <c r="AZ43" s="213"/>
      <c r="BA43" s="214"/>
    </row>
    <row r="44" spans="1:208" ht="15" customHeight="1">
      <c r="L44" s="36"/>
      <c r="S44" s="38"/>
      <c r="T44" s="38"/>
      <c r="Y44" s="188"/>
      <c r="Z44" s="188"/>
      <c r="AB44" s="38"/>
      <c r="AC44" s="38"/>
      <c r="AE44" s="34"/>
      <c r="AF44" s="34"/>
      <c r="AG44" s="34"/>
      <c r="AZ44" s="213"/>
      <c r="BA44" s="214"/>
    </row>
    <row r="45" spans="1:208" ht="15" customHeight="1">
      <c r="L45" s="36"/>
      <c r="S45" s="38"/>
      <c r="T45" s="38"/>
      <c r="Y45" s="188"/>
      <c r="Z45" s="188"/>
      <c r="AB45" s="38"/>
      <c r="AC45" s="38"/>
      <c r="AE45" s="34"/>
      <c r="AF45" s="34"/>
      <c r="AG45" s="34"/>
      <c r="AZ45" s="213"/>
      <c r="BA45" s="214"/>
    </row>
    <row r="46" spans="1:208" ht="15" customHeight="1">
      <c r="L46" s="36"/>
      <c r="S46" s="38"/>
      <c r="T46" s="38"/>
      <c r="Y46" s="188"/>
      <c r="Z46" s="188"/>
      <c r="AB46" s="38"/>
      <c r="AC46" s="38"/>
      <c r="AE46" s="34"/>
      <c r="AF46" s="34"/>
      <c r="AG46" s="34"/>
      <c r="AZ46" s="213"/>
      <c r="BA46" s="214"/>
    </row>
    <row r="47" spans="1:208" ht="15" customHeight="1">
      <c r="L47" s="36"/>
      <c r="S47" s="38"/>
      <c r="T47" s="38"/>
      <c r="Y47" s="188"/>
      <c r="Z47" s="188"/>
      <c r="AB47" s="38"/>
      <c r="AC47" s="38"/>
      <c r="AE47" s="34"/>
      <c r="AF47" s="34"/>
      <c r="AG47" s="34"/>
      <c r="AZ47" s="213"/>
      <c r="BA47" s="214"/>
    </row>
    <row r="48" spans="1:208" ht="15" customHeight="1">
      <c r="L48" s="36"/>
      <c r="S48" s="38"/>
      <c r="T48" s="38"/>
      <c r="Y48" s="188"/>
      <c r="Z48" s="188"/>
      <c r="AB48" s="38"/>
      <c r="AC48" s="38"/>
      <c r="AE48" s="34"/>
      <c r="AF48" s="34"/>
      <c r="AG48" s="34"/>
      <c r="AZ48" s="213"/>
      <c r="BA48" s="214"/>
    </row>
    <row r="49" spans="12:116" ht="15" customHeight="1">
      <c r="L49" s="36"/>
      <c r="S49" s="38"/>
      <c r="T49" s="38"/>
      <c r="Y49" s="188"/>
      <c r="Z49" s="188"/>
      <c r="AB49" s="38"/>
      <c r="AC49" s="38"/>
      <c r="AE49" s="34"/>
      <c r="AF49" s="34"/>
      <c r="AG49" s="34"/>
      <c r="AZ49" s="213"/>
      <c r="BA49" s="214"/>
      <c r="DL49" s="229"/>
    </row>
    <row r="50" spans="12:116" ht="15" customHeight="1">
      <c r="L50" s="36"/>
      <c r="S50" s="38"/>
      <c r="T50" s="38"/>
      <c r="Y50" s="188"/>
      <c r="Z50" s="188"/>
      <c r="AB50" s="38"/>
      <c r="AC50" s="38"/>
      <c r="AE50" s="34"/>
      <c r="AF50" s="34"/>
      <c r="AG50" s="34"/>
      <c r="AZ50" s="213"/>
      <c r="BA50" s="214"/>
      <c r="DL50" s="229"/>
    </row>
    <row r="51" spans="12:116" ht="15" customHeight="1">
      <c r="L51" s="36"/>
      <c r="S51" s="38"/>
      <c r="T51" s="38"/>
      <c r="Y51" s="188"/>
      <c r="Z51" s="188"/>
      <c r="AB51" s="38"/>
      <c r="AC51" s="38"/>
      <c r="AE51" s="34"/>
      <c r="AF51" s="34"/>
      <c r="AG51" s="34"/>
      <c r="AZ51" s="213"/>
      <c r="BA51" s="214"/>
      <c r="DL51" s="229"/>
    </row>
    <row r="52" spans="12:116" ht="15" customHeight="1">
      <c r="L52" s="36"/>
      <c r="S52" s="38"/>
      <c r="T52" s="38"/>
      <c r="Y52" s="188"/>
      <c r="Z52" s="188"/>
      <c r="AB52" s="38"/>
      <c r="AC52" s="38"/>
      <c r="AE52" s="34"/>
      <c r="AF52" s="34"/>
      <c r="AG52" s="34"/>
      <c r="AZ52" s="213"/>
      <c r="BA52" s="214"/>
      <c r="DL52" s="229"/>
    </row>
    <row r="53" spans="12:116" ht="15" customHeight="1">
      <c r="L53" s="36"/>
      <c r="S53" s="38"/>
      <c r="T53" s="38"/>
      <c r="Y53" s="188"/>
      <c r="Z53" s="188"/>
      <c r="AB53" s="38"/>
      <c r="AC53" s="38"/>
      <c r="AE53" s="34"/>
      <c r="AF53" s="34"/>
      <c r="AG53" s="34"/>
      <c r="AZ53" s="213"/>
      <c r="BA53" s="214"/>
      <c r="DL53" s="229"/>
    </row>
    <row r="54" spans="12:116">
      <c r="L54" s="36"/>
      <c r="S54" s="38"/>
      <c r="T54" s="38"/>
      <c r="Y54" s="188"/>
      <c r="Z54" s="188"/>
      <c r="AB54" s="38"/>
      <c r="AC54" s="38"/>
      <c r="AE54" s="34"/>
      <c r="AF54" s="34"/>
      <c r="AG54" s="34"/>
      <c r="AZ54" s="213"/>
      <c r="BA54" s="214"/>
      <c r="DL54" s="229"/>
    </row>
    <row r="55" spans="12:116">
      <c r="L55" s="36"/>
      <c r="S55" s="38"/>
      <c r="T55" s="38"/>
      <c r="Y55" s="188"/>
      <c r="Z55" s="188"/>
      <c r="AB55" s="38"/>
      <c r="AC55" s="38"/>
      <c r="AE55" s="34"/>
      <c r="AF55" s="34"/>
      <c r="AG55" s="34"/>
      <c r="AZ55" s="213"/>
      <c r="BA55" s="214"/>
      <c r="DL55" s="229"/>
    </row>
    <row r="56" spans="12:116">
      <c r="L56" s="36"/>
      <c r="S56" s="38"/>
      <c r="T56" s="38"/>
      <c r="Y56" s="188"/>
      <c r="Z56" s="188"/>
      <c r="AB56" s="38"/>
      <c r="AC56" s="38"/>
      <c r="AE56" s="34"/>
      <c r="AF56" s="34"/>
      <c r="AG56" s="34"/>
      <c r="AZ56" s="213"/>
      <c r="BA56" s="214"/>
      <c r="DL56" s="229"/>
    </row>
    <row r="57" spans="12:116">
      <c r="L57" s="36"/>
      <c r="S57" s="38"/>
      <c r="T57" s="38"/>
      <c r="Y57" s="188"/>
      <c r="Z57" s="188"/>
      <c r="AB57" s="38"/>
      <c r="AC57" s="38"/>
      <c r="AE57" s="34"/>
      <c r="AF57" s="34"/>
      <c r="AG57" s="34"/>
      <c r="AZ57" s="213"/>
      <c r="BA57" s="214"/>
      <c r="DL57" s="229"/>
    </row>
    <row r="58" spans="12:116">
      <c r="L58" s="36"/>
      <c r="S58" s="38"/>
      <c r="T58" s="38"/>
      <c r="Y58" s="188"/>
      <c r="Z58" s="188"/>
      <c r="AB58" s="38"/>
      <c r="AC58" s="38"/>
      <c r="AE58" s="34"/>
      <c r="AF58" s="34"/>
      <c r="AG58" s="34"/>
      <c r="AZ58" s="213"/>
      <c r="BA58" s="214"/>
      <c r="DL58" s="229"/>
    </row>
    <row r="59" spans="12:116">
      <c r="L59" s="36"/>
      <c r="S59" s="38"/>
      <c r="T59" s="38"/>
      <c r="AB59" s="38"/>
      <c r="AC59" s="38"/>
      <c r="AE59" s="34"/>
      <c r="AF59" s="34"/>
      <c r="AG59" s="34"/>
      <c r="AZ59" s="213"/>
      <c r="BA59" s="214"/>
      <c r="DL59" s="229"/>
    </row>
    <row r="60" spans="12:116">
      <c r="L60" s="36"/>
      <c r="S60" s="38"/>
      <c r="T60" s="38"/>
      <c r="Y60" s="188"/>
      <c r="Z60" s="188"/>
      <c r="AB60" s="38"/>
      <c r="AC60" s="38"/>
      <c r="AE60" s="34"/>
      <c r="AF60" s="34"/>
      <c r="AG60" s="34"/>
      <c r="AZ60" s="213"/>
      <c r="BA60" s="214"/>
      <c r="DL60" s="229"/>
    </row>
    <row r="61" spans="12:116">
      <c r="L61" s="36"/>
      <c r="S61" s="38"/>
      <c r="T61" s="38"/>
      <c r="Y61" s="188"/>
      <c r="Z61" s="188"/>
      <c r="AB61" s="38"/>
      <c r="AC61" s="38"/>
      <c r="AE61" s="34"/>
      <c r="AF61" s="34"/>
      <c r="AG61" s="34"/>
      <c r="AZ61" s="213"/>
      <c r="BA61" s="214"/>
      <c r="DL61" s="229"/>
    </row>
    <row r="62" spans="12:116">
      <c r="L62" s="36"/>
      <c r="S62" s="38"/>
      <c r="T62" s="38"/>
      <c r="Y62" s="188"/>
      <c r="Z62" s="188"/>
      <c r="AB62" s="38"/>
      <c r="AC62" s="38"/>
      <c r="AE62" s="34"/>
      <c r="AF62" s="34"/>
      <c r="AG62" s="34"/>
      <c r="AZ62" s="213"/>
      <c r="BA62" s="214"/>
      <c r="DL62" s="229"/>
    </row>
    <row r="63" spans="12:116">
      <c r="L63" s="36"/>
      <c r="S63" s="38"/>
      <c r="T63" s="38"/>
      <c r="Y63" s="188"/>
      <c r="Z63" s="188"/>
      <c r="AB63" s="38"/>
      <c r="AC63" s="38"/>
      <c r="AE63" s="34"/>
      <c r="AF63" s="34"/>
      <c r="AG63" s="34"/>
      <c r="BA63" s="214"/>
      <c r="DL63" s="229"/>
    </row>
    <row r="64" spans="12:116">
      <c r="L64" s="36"/>
      <c r="S64" s="38"/>
      <c r="T64" s="38"/>
      <c r="Y64" s="188"/>
      <c r="Z64" s="188"/>
      <c r="AB64" s="38"/>
      <c r="AC64" s="38"/>
      <c r="AE64" s="34"/>
      <c r="AF64" s="34"/>
      <c r="AG64" s="34"/>
      <c r="BA64" s="214"/>
      <c r="DL64" s="229"/>
    </row>
    <row r="65" spans="12:116">
      <c r="L65" s="36"/>
      <c r="S65" s="38"/>
      <c r="T65" s="38"/>
      <c r="Y65" s="188"/>
      <c r="Z65" s="188"/>
      <c r="AB65" s="38"/>
      <c r="AC65" s="38"/>
      <c r="AE65" s="34"/>
      <c r="AF65" s="34"/>
      <c r="AG65" s="34"/>
      <c r="BA65" s="214"/>
      <c r="DL65" s="229"/>
    </row>
    <row r="66" spans="12:116">
      <c r="L66" s="36"/>
      <c r="S66" s="38"/>
      <c r="T66" s="38"/>
      <c r="Y66" s="188"/>
      <c r="Z66" s="188"/>
      <c r="AB66" s="38"/>
      <c r="AC66" s="38"/>
      <c r="AE66" s="34"/>
      <c r="AF66" s="34"/>
      <c r="AG66" s="34"/>
      <c r="BA66" s="214"/>
      <c r="DL66" s="229"/>
    </row>
    <row r="67" spans="12:116">
      <c r="L67" s="36"/>
      <c r="S67" s="38"/>
      <c r="T67" s="38"/>
      <c r="Y67" s="188"/>
      <c r="Z67" s="188"/>
      <c r="AB67" s="38"/>
      <c r="AC67" s="38"/>
      <c r="AE67" s="34"/>
      <c r="AF67" s="34"/>
      <c r="AG67" s="34"/>
      <c r="BA67" s="214"/>
      <c r="DL67" s="229"/>
    </row>
    <row r="68" spans="12:116">
      <c r="L68" s="36"/>
      <c r="S68" s="38"/>
      <c r="T68" s="38"/>
      <c r="AB68" s="38"/>
      <c r="AC68" s="38"/>
      <c r="AE68" s="34"/>
      <c r="AF68" s="34"/>
      <c r="AG68" s="34"/>
      <c r="BA68" s="214"/>
      <c r="DL68" s="229"/>
    </row>
    <row r="69" spans="12:116">
      <c r="L69" s="36"/>
      <c r="S69" s="38"/>
      <c r="T69" s="38"/>
      <c r="Y69" s="188"/>
      <c r="Z69" s="188"/>
      <c r="AB69" s="38"/>
      <c r="AC69" s="38"/>
      <c r="AE69" s="34"/>
      <c r="AF69" s="34"/>
      <c r="AG69" s="34"/>
      <c r="BA69" s="214"/>
      <c r="DL69" s="229"/>
    </row>
    <row r="70" spans="12:116">
      <c r="L70" s="36"/>
      <c r="S70" s="38"/>
      <c r="T70" s="38"/>
      <c r="AB70" s="38"/>
      <c r="AC70" s="38"/>
      <c r="AE70" s="34"/>
      <c r="AF70" s="34"/>
      <c r="AG70" s="34"/>
      <c r="BA70" s="214"/>
      <c r="DL70" s="229"/>
    </row>
    <row r="71" spans="12:116">
      <c r="L71" s="36"/>
      <c r="S71" s="38"/>
      <c r="T71" s="38"/>
      <c r="Y71" s="188"/>
      <c r="Z71" s="188"/>
      <c r="AB71" s="38"/>
      <c r="AC71" s="38"/>
      <c r="AE71" s="34"/>
      <c r="AF71" s="34"/>
      <c r="AG71" s="34"/>
      <c r="BA71" s="214"/>
      <c r="DL71" s="229"/>
    </row>
    <row r="72" spans="12:116">
      <c r="L72" s="36"/>
      <c r="S72" s="38"/>
      <c r="T72" s="38"/>
      <c r="Y72" s="188"/>
      <c r="Z72" s="188"/>
      <c r="AB72" s="38"/>
      <c r="AC72" s="38"/>
      <c r="AE72" s="34"/>
      <c r="AF72" s="34"/>
      <c r="AG72" s="34"/>
      <c r="BA72" s="214"/>
      <c r="DL72" s="229"/>
    </row>
    <row r="73" spans="12:116">
      <c r="L73" s="36"/>
      <c r="S73" s="38"/>
      <c r="T73" s="38"/>
      <c r="Y73" s="188"/>
      <c r="Z73" s="188"/>
      <c r="AB73" s="38"/>
      <c r="AC73" s="38"/>
      <c r="AE73" s="34"/>
      <c r="AF73" s="34"/>
      <c r="AG73" s="34"/>
      <c r="BA73" s="214"/>
      <c r="DL73" s="229"/>
    </row>
    <row r="74" spans="12:116">
      <c r="L74" s="36"/>
      <c r="S74" s="38"/>
      <c r="T74" s="38"/>
      <c r="Y74" s="188"/>
      <c r="Z74" s="188"/>
      <c r="AB74" s="38"/>
      <c r="AC74" s="38"/>
      <c r="AE74" s="34"/>
      <c r="AF74" s="34"/>
      <c r="AG74" s="34"/>
      <c r="BA74" s="214"/>
      <c r="DL74" s="229"/>
    </row>
    <row r="75" spans="12:116">
      <c r="L75" s="36"/>
      <c r="S75" s="38"/>
      <c r="T75" s="38"/>
      <c r="Y75" s="188"/>
      <c r="Z75" s="188"/>
      <c r="AB75" s="38"/>
      <c r="AC75" s="38"/>
      <c r="AE75" s="34"/>
      <c r="AF75" s="34"/>
      <c r="AG75" s="34"/>
      <c r="BA75" s="214"/>
      <c r="DL75" s="229"/>
    </row>
    <row r="76" spans="12:116">
      <c r="S76" s="38"/>
      <c r="T76" s="38"/>
      <c r="W76">
        <v>200388.04</v>
      </c>
      <c r="X76">
        <v>60517.229999999981</v>
      </c>
      <c r="Y76">
        <v>669102.46</v>
      </c>
      <c r="Z76">
        <v>202068.88</v>
      </c>
      <c r="AB76" s="38">
        <f t="shared" ref="AB76:AB77" si="49">W76+Y76</f>
        <v>869490.5</v>
      </c>
      <c r="AC76" s="38">
        <f t="shared" ref="AC76:AC77" si="50">X76+Z76</f>
        <v>262586.11</v>
      </c>
      <c r="AD76">
        <v>871171.34</v>
      </c>
      <c r="AE76" s="34">
        <f t="shared" ref="AE76:AE77" si="51">AD76-Y76-Z76</f>
        <v>0</v>
      </c>
      <c r="AF76" s="34"/>
      <c r="AG76" s="34"/>
      <c r="BA76" s="34">
        <f>SUM(BA41:BA75)</f>
        <v>0</v>
      </c>
      <c r="DL76" s="229"/>
    </row>
    <row r="77" spans="12:116">
      <c r="W77" s="46"/>
      <c r="X77" s="46"/>
      <c r="Y77" s="188">
        <v>613671</v>
      </c>
      <c r="Z77" s="188">
        <v>185329</v>
      </c>
      <c r="AB77" s="38">
        <f t="shared" si="49"/>
        <v>613671</v>
      </c>
      <c r="AC77" s="38">
        <f t="shared" si="50"/>
        <v>185329</v>
      </c>
      <c r="AD77">
        <v>799000</v>
      </c>
      <c r="AE77" s="34">
        <f t="shared" si="51"/>
        <v>0</v>
      </c>
      <c r="AF77" s="34"/>
      <c r="AG77" s="34"/>
      <c r="DL77" s="229"/>
    </row>
    <row r="78" spans="12:116">
      <c r="W78" s="38"/>
      <c r="X78" s="38"/>
      <c r="Y78" s="34">
        <f>SUM(Y43:Y77)</f>
        <v>1282773.46</v>
      </c>
      <c r="Z78">
        <f>SUM(Z43:Z77)</f>
        <v>387397.88</v>
      </c>
      <c r="AB78" s="38">
        <f>SUM(AB43:AB77)</f>
        <v>1483161.5</v>
      </c>
      <c r="AC78" s="38">
        <f>SUM(AC43:AC77)</f>
        <v>447915.11</v>
      </c>
      <c r="AD78" s="38">
        <v>34177000</v>
      </c>
      <c r="DL78" s="229"/>
    </row>
    <row r="79" spans="12:116">
      <c r="AD79">
        <v>26174532.929999992</v>
      </c>
      <c r="AE79">
        <v>7904252.919999999</v>
      </c>
      <c r="DL79" s="229"/>
    </row>
    <row r="80" spans="12:116">
      <c r="DL80" s="229"/>
    </row>
    <row r="81" spans="116:116">
      <c r="DL81" s="229"/>
    </row>
    <row r="82" spans="116:116">
      <c r="DL82" s="229"/>
    </row>
    <row r="83" spans="116:116">
      <c r="DL83" s="229"/>
    </row>
    <row r="84" spans="116:116">
      <c r="DL84" s="230">
        <f>SUM(DL49:DL83)</f>
        <v>0</v>
      </c>
    </row>
  </sheetData>
  <mergeCells count="47">
    <mergeCell ref="BM1:BN1"/>
    <mergeCell ref="DY1:EB1"/>
    <mergeCell ref="GC1:GC2"/>
    <mergeCell ref="FX1:FY1"/>
    <mergeCell ref="BT1:BW1"/>
    <mergeCell ref="BY1:BZ1"/>
    <mergeCell ref="CC1:CD1"/>
    <mergeCell ref="FH1:FI1"/>
    <mergeCell ref="CW1:CX1"/>
    <mergeCell ref="ED1:EE1"/>
    <mergeCell ref="CA1:CB1"/>
    <mergeCell ref="CE1:CH1"/>
    <mergeCell ref="FP1:FU1"/>
    <mergeCell ref="DU1:DV1"/>
    <mergeCell ref="EQ1:EV1"/>
    <mergeCell ref="DI1:DJ1"/>
    <mergeCell ref="AU1:AU2"/>
    <mergeCell ref="AV1:AV2"/>
    <mergeCell ref="AE1:AF1"/>
    <mergeCell ref="BA1:BH1"/>
    <mergeCell ref="AW1:AW2"/>
    <mergeCell ref="AX1:AX2"/>
    <mergeCell ref="AY1:AY2"/>
    <mergeCell ref="A1:A2"/>
    <mergeCell ref="B1:B2"/>
    <mergeCell ref="D1:L1"/>
    <mergeCell ref="AQ1:AS1"/>
    <mergeCell ref="AT1:AT2"/>
    <mergeCell ref="P1:R1"/>
    <mergeCell ref="S1:U1"/>
    <mergeCell ref="AA1:AB1"/>
    <mergeCell ref="Y1:Y2"/>
    <mergeCell ref="AJ1:AL1"/>
    <mergeCell ref="AI1:AI2"/>
    <mergeCell ref="AO1:AO2"/>
    <mergeCell ref="AC1:AD1"/>
    <mergeCell ref="V1:X1"/>
    <mergeCell ref="GR1:GS1"/>
    <mergeCell ref="GN1:GO1"/>
    <mergeCell ref="GP1:GQ1"/>
    <mergeCell ref="GT2:GV2"/>
    <mergeCell ref="FL1:FL2"/>
    <mergeCell ref="DM1:DO1"/>
    <mergeCell ref="EH1:EM1"/>
    <mergeCell ref="EW1:FB1"/>
    <mergeCell ref="FC1:FF1"/>
    <mergeCell ref="DQ1:DT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4.4414062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209</v>
      </c>
      <c r="C20" s="319"/>
      <c r="D20" s="319"/>
      <c r="E20" s="319"/>
      <c r="F20" s="319"/>
      <c r="G20" s="78" t="s">
        <v>194</v>
      </c>
      <c r="H20" s="124">
        <v>9105006976</v>
      </c>
    </row>
    <row r="21" spans="2:9">
      <c r="B21" s="7" t="s">
        <v>218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Свод!AY11</f>
        <v>222400.29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60124811.219999999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54697346.170000002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6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Свод!Y11</f>
        <v>51445566.170000002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Свод!AL11</f>
        <v>3251780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Свод!AN11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5427465.0500000007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Свод!AH11</f>
        <v>5427465.0500000007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Свод!AI11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156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62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" thickBot="1">
      <c r="B56" s="4"/>
      <c r="C56" s="11"/>
      <c r="D56" s="11"/>
      <c r="E56" s="132"/>
      <c r="F56" s="62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6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60347211.510000005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6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39439912.719999999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6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Свод!S11+Свод!G11+Свод!AC11+Свод!V11</f>
        <v>30029194.809999999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Свод!P11+Свод!E11+Свод!AG11</f>
        <v>342000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9068717.9100000001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6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Свод!H11+Свод!T11+Свод!AD11+Свод!W11</f>
        <v>9068717.9100000001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Свод!F11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5667287.5600000005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Свод!J11</f>
        <v>3411164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Свод!K11</f>
        <v>2256123.56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Свод!L11</f>
        <v>0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15240011.23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Свод!AE11+Свод!M11+Свод!AF11</f>
        <v>595000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Свод!D11+Свод!Q11+Свод!AA11+Свод!AB11+Свод!AL11+Свод!AN11+Свод!AX11</f>
        <v>12222084.26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2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Свод!N11</f>
        <v>2422926.9700000002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Свод!AI11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15240011.23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Свод!AT11+Свод!AU11+Свод!AV11+G144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Свод!AW11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15240011.23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9350835.6100000013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Свод!Q11+Свод!M11+Свод!D11-Свод!AT11+Свод!N11</f>
        <v>9350835.6100000013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2414995.33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Свод!AA11+Свод!AB11+Свод!AE11-Свод!AU11+Свод!AF11</f>
        <v>2414995.33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Свод!AI11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3474180.29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Свод!AL11+Свод!AN11-Свод!AV11+Свод!AX11</f>
        <v>3474180.29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15240011.23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15240011.23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  <c r="D181" t="s">
        <v>264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3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219</v>
      </c>
      <c r="C20" s="319"/>
      <c r="D20" s="319"/>
      <c r="E20" s="319"/>
      <c r="F20" s="319"/>
      <c r="G20" s="78" t="s">
        <v>194</v>
      </c>
      <c r="H20" s="124">
        <v>9105008532</v>
      </c>
    </row>
    <row r="21" spans="2:9">
      <c r="B21" s="7" t="s">
        <v>220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Свод!AY12</f>
        <v>728634.79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30438099.669999998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28234168.369999997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Свод!Y12</f>
        <v>26432038.369999997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Свод!AL12</f>
        <v>1802130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Свод!AN12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2203931.2999999998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Свод!AH12</f>
        <v>2203931.2999999998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Свод!AI12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31166734.459999997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22353153.299999997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48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Свод!S12+Свод!G12+Свод!AC12+Свод!V12</f>
        <v>17002422.629999999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Свод!P12+Свод!E12+Свод!AG12</f>
        <v>216000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61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5134730.67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Свод!H12+Свод!T12+Свод!AD12+Свод!W12</f>
        <v>5134730.67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8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8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Свод!F12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61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5271.64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Свод!J12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Свод!K12</f>
        <v>4860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Свод!L12</f>
        <v>411.64000000000033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8808309.5199999996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Свод!AE12+Свод!M12+Свод!AF12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Свод!D12+Свод!Q12+Свод!AA12+Свод!AB12+Свод!AL12+Свод!AN12+Свод!AX12+Свод!AW12</f>
        <v>8355863.8499999996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2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Свод!N12</f>
        <v>452445.66999999993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Свод!AI12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8808309.5199999996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Свод!AT12+Свод!AU12+Свод!AV12+G144</f>
        <v>573000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573000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Свод!AW12</f>
        <v>573000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8235309.5199999996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5652220.7299999995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Свод!Q12+Свод!M12+Свод!D12-Свод!AT12+Свод!N12</f>
        <v>5652220.7299999995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625324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Свод!AA12+Свод!AB12+Свод!AE12-Свод!AU12+Свод!AF12</f>
        <v>625324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9">
        <f>Свод!GJ12</f>
        <v>0</v>
      </c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1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Свод!AI12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1957764.79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Свод!AL12+Свод!AN12-Свод!AV12+Свод!AX12</f>
        <v>1957764.79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8235309.5199999996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8235309.5199999996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C169" zoomScaleNormal="100" workbookViewId="0">
      <selection activeCell="N187" sqref="N187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5.4414062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0">
        <v>9105008733</v>
      </c>
    </row>
    <row r="21" spans="2:9">
      <c r="B21" s="7" t="s">
        <v>221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Свод!AY13</f>
        <v>24776675.649999999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38470086.020000003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33529812.530000001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6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Свод!Y13</f>
        <v>33529812.530000001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Свод!AL13</f>
        <v>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Свод!AN13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4940273.49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Свод!AH13</f>
        <v>4940273.49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Свод!AI13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156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62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" thickBot="1">
      <c r="B56" s="4"/>
      <c r="C56" s="11"/>
      <c r="D56" s="11"/>
      <c r="E56" s="132"/>
      <c r="F56" s="62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6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F63+F83+F92+F107+F105</f>
        <v>63246761.670000002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6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24349458.18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6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Свод!S13+Свод!G13+Свод!AC13+Свод!V13</f>
        <v>18528769.98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Свод!P13+Свод!E13+Свод!AG13</f>
        <v>225000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5595688.2000000002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6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Свод!H13+Свод!T13+Свод!AD13+Свод!W13</f>
        <v>5595688.2000000002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8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8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Свод!F13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61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7223.93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Свод!J13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Свод!K13</f>
        <v>7148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Свод!L13</f>
        <v>75.930000000000064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62">
        <f>F106</f>
        <v>36000</v>
      </c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62">
        <f>Свод!I13</f>
        <v>36000</v>
      </c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38854079.560000002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Свод!AE13+Свод!M13+Свод!AF13+Свод!AW13</f>
        <v>25898245.98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Свод!D13+Свод!Q13+Свод!AA13+Свод!AB13+Свод!AL13+Свод!AN13+Свод!AX13</f>
        <v>11658785.740000002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2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Свод!N13</f>
        <v>1297047.8399999999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Свод!AI13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38854079.560000002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156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6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6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87">
        <f>Свод!AT13+Свод!AU13+Свод!AV13+G144</f>
        <v>24731900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87">
        <f>G144</f>
        <v>24731900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87">
        <f>Свод!AW13</f>
        <v>24731900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87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87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14122179.560000002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156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11514411.600000001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156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Свод!Q13+Свод!M13+Свод!D13-Свод!AT13+Свод!N13</f>
        <v>11514411.600000001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2">
        <f>G155</f>
        <v>2562992.31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6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7">
        <f>Свод!AA13+Свод!AB13+Свод!AE13-Свод!AU13+Свод!AF13</f>
        <v>2562992.31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7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2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7">
        <f>Свод!AI13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7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7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62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156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62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62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44775.65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Свод!AL13+Свод!AN13-Свод!AV13+Свод!AX13</f>
        <v>44775.65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14122179.560000002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14122179.560000002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  <c r="D181" t="s">
        <v>314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5433070866141736" bottom="0.39370078740157483" header="0" footer="0"/>
  <pageSetup paperSize="9" scale="76" fitToHeight="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3.664062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0">
        <v>9105009007</v>
      </c>
    </row>
    <row r="21" spans="2:9">
      <c r="B21" s="7" t="s">
        <v>325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Свод!AY14</f>
        <v>13209.23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35830510.090000004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28617495.850000001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6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Свод!Y14</f>
        <v>28617495.850000001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Свод!AL14</f>
        <v>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Свод!AN14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7213014.2400000002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Свод!AH14</f>
        <v>7213014.2400000002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Свод!AI14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156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62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" thickBot="1">
      <c r="B56" s="4"/>
      <c r="C56" s="11"/>
      <c r="D56" s="11"/>
      <c r="E56" s="132"/>
      <c r="F56" s="62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6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35843719.320000008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6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24441071.030000001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6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Свод!S14+Свод!G14+Свод!AC14+Свод!V14</f>
        <v>18557658.25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Свод!P14+Свод!E14+Свод!AG14</f>
        <v>279000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5604412.7800000003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6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Свод!H14+Свод!T14+Свод!AD14+Свод!W14</f>
        <v>5604412.7800000003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Свод!F14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7582.84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Свод!J14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Свод!K14</f>
        <v>7456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Свод!L14</f>
        <v>126.84000000000015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11395065.450000003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Свод!AE14+Свод!M14+Свод!AF14</f>
        <v>3026405.21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Свод!D14+Свод!Q14+Свод!AA14+Свод!AB14+Свод!AL14+Свод!AN14+Свод!AX14</f>
        <v>8083105.8800000027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2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Свод!N14</f>
        <v>285554.36000000004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Свод!AI14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11395065.450000003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Свод!AT14+Свод!AU14+Свод!AV14+G144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Свод!AW14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11395065.450000003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6903288.0100000026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Свод!Q14+Свод!M14+Свод!D14-Свод!AT14+Свод!N14</f>
        <v>6903288.0100000026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4478568.21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Свод!AA14+Свод!AB14+Свод!AE14-Свод!AU14+Свод!AF14</f>
        <v>4478568.21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Свод!AI14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13209.23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Свод!AL14+Свод!AN14-Свод!AV14+Свод!AX14</f>
        <v>13209.23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11395065.450000003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11395065.450000003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  <c r="D181" t="s">
        <v>315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47244094488188981" bottom="0.39370078740157483" header="0" footer="0"/>
  <pageSetup paperSize="9" scale="76" fitToHeight="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3.55468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0">
        <v>9105007095</v>
      </c>
    </row>
    <row r="21" spans="2:9">
      <c r="B21" s="7" t="s">
        <v>223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Свод!AY15</f>
        <v>135514.97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46127909.850000001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41534068.560000002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6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Свод!Y15</f>
        <v>38798678.560000002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Свод!AL15</f>
        <v>2735390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Свод!AN15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4593841.29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Свод!AH15</f>
        <v>4593841.29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Свод!AI15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156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62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" thickBot="1">
      <c r="B56" s="4"/>
      <c r="C56" s="11"/>
      <c r="D56" s="11"/>
      <c r="E56" s="132"/>
      <c r="F56" s="62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6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46263424.82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6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30229512.200000003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6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Свод!S15+Свод!G15+Свод!AC15+Свод!V15</f>
        <v>23024202.760000002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Свод!P15+Свод!E15+Свод!AG15</f>
        <v>252000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6953309.4399999995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6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Свод!H15+Свод!T15+Свод!AD15+Свод!W15</f>
        <v>6953309.4399999995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Свод!F15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17108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Свод!J15</f>
        <v>9960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Свод!K15</f>
        <v>7148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Свод!L15</f>
        <v>0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16016804.619999999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Свод!AE15+Свод!M15+Свод!AF15</f>
        <v>380000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Свод!D15+Свод!Q15+Свод!AA15+Свод!AB15+Свод!AL15+Свод!AN15+Свод!AX15</f>
        <v>13208471.26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2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Свод!N15</f>
        <v>2428333.36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Свод!AI15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16016804.619999999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87">
        <f>Свод!AT15+Свод!AU15+Свод!AV15+G144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87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87">
        <f>Свод!AW15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16016804.619999999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11157180.559999999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Свод!Q15+Свод!M15+Свод!D15-Свод!AT15+Свод!N15</f>
        <v>11157180.559999999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1988719.09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Свод!AA15+Свод!AB15+Свод!AE15-Свод!AU15+Свод!AF15</f>
        <v>1988719.09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Свод!AI15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2870904.97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Свод!AL15+Свод!AN15-Свод!AV15+Свод!AX15</f>
        <v>2870904.97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16016804.619999999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16016804.619999999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31496062992125984" right="0.31496062992125984" top="0.35433070866141736" bottom="0.35433070866141736" header="0.31496062992125984" footer="0.31496062992125984"/>
  <pageSetup paperSize="9" scale="75" fitToHeight="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0">
        <v>9105007850</v>
      </c>
    </row>
    <row r="21" spans="2:9">
      <c r="B21" s="7" t="s">
        <v>224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Свод!AY16</f>
        <v>25386.14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29111697.34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25630978.399999999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6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Свод!Y16</f>
        <v>25580978.399999999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Свод!AL16</f>
        <v>50000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Свод!AN16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3480718.94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Свод!AH16</f>
        <v>3480718.94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Свод!AI16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156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62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" thickBot="1">
      <c r="B56" s="4"/>
      <c r="C56" s="11"/>
      <c r="D56" s="11"/>
      <c r="E56" s="132"/>
      <c r="F56" s="62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6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29137083.479999997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6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20128107.609999999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6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Свод!S16+Свод!G16+Свод!AC16+Свод!V16</f>
        <v>15293477.68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Свод!P16+Свод!E16+Свод!AG16</f>
        <v>216000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4618629.93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6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Свод!H16+Свод!T16+Свод!AD16+Свод!W16</f>
        <v>4618629.93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156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6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6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Свод!F16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62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7838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6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Свод!J16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Свод!K16</f>
        <v>7838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Свод!L16</f>
        <v>0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6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156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156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156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9001137.8699999992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6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Свод!AE16+Свод!M16+Свод!AF16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Свод!D16+Свод!Q16+Свод!AA16+Свод!AB16+Свод!AL16+Свод!AN16+Свод!AX16</f>
        <v>7970433.6199999992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2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Свод!N16</f>
        <v>1030704.2499999999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Свод!AI16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9001137.870000001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Свод!AT16+Свод!AU16+Свод!AV16+G144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Свод!AW16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9001137.870000001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7446226.3999999994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Свод!Q16+Свод!M16+Свод!D16-Свод!AT16+Свод!N16</f>
        <v>7446226.3999999994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1479525.33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Свод!AA16+Свод!AB16+Свод!AE16-Свод!AU16+Свод!AF16</f>
        <v>1479525.33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Свод!AI16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75386.14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Свод!AL16+Свод!AN16-Свод!AV16+Свод!AX16</f>
        <v>75386.14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9001137.870000001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9001137.870000001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1496062992125984" bottom="0.39370078740157483" header="0" footer="0"/>
  <pageSetup paperSize="9" scale="77" fitToHeight="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0">
        <v>9105008162</v>
      </c>
    </row>
    <row r="21" spans="2:9">
      <c r="B21" s="7" t="s">
        <v>225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Свод!AY17</f>
        <v>225923.04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36060441.670000002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31369258.82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Свод!Y17</f>
        <v>31340258.82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Свод!AL17</f>
        <v>29000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Свод!AN17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4691182.8499999996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Свод!AH17</f>
        <v>4691182.8499999996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Свод!AI17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36286364.710000001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27173856.530000001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Свод!S17+Свод!G17+Свод!AC17+Свод!V17</f>
        <v>20656571.960000001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Свод!P17+Свод!E17+Свод!AG17</f>
        <v>279000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6238284.5700000003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Свод!H17+Свод!T17+Свод!AD17+Свод!W17</f>
        <v>6238284.5700000003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156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6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6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Свод!F17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62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8426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6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Свод!J17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Свод!K17</f>
        <v>8426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Свод!L17</f>
        <v>0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6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156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156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156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9104082.1799999997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6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Свод!AE17+Свод!M17+Свод!AF17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Свод!D17+Свод!Q17+Свод!AA17+Свод!AB17+Свод!AL17+Свод!AN17+Свод!AX17</f>
        <v>7559440.1599999992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2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Свод!N17</f>
        <v>1544642.0199999998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Свод!AI17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9104082.1799999978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89">
        <f>Свод!AT17+Свод!AU17+Свод!AV17+G144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Свод!AW17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9104082.1799999978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7269730.8199999984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Свод!Q17+Свод!M17+Свод!D17-Свод!AT17+Свод!N17</f>
        <v>7269730.8199999984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1579428.32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Свод!AA17+Свод!AB17+Свод!AE17-Свод!AU17+Свод!AF17</f>
        <v>1579428.32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Свод!AI17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254923.04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Свод!AL17+Свод!AN17-Свод!AV17+Свод!AX17</f>
        <v>254923.04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9104082.1799999978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9104082.1799999978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9" workbookViewId="0">
      <selection sqref="A1:J18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0">
        <v>9105008684</v>
      </c>
    </row>
    <row r="21" spans="2:9">
      <c r="B21" s="7" t="s">
        <v>226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Свод!AY18</f>
        <v>83005.63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10397925.390000001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9091277.8399999999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Свод!Y18</f>
        <v>8990277.8399999999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Свод!AL18</f>
        <v>101000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Свод!AN18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1306647.55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Свод!AH18</f>
        <v>1306647.55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Свод!AI18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10464102.619999999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9017867.3499999996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Свод!S18+Свод!G18+Свод!AC18+Свод!V18</f>
        <v>6863953.3200000003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Свод!P18+Свод!E18+Свод!AG18</f>
        <v>81000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2072914.03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Свод!H18+Свод!T18+Свод!AD18+Свод!W18</f>
        <v>2072914.03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Свод!F18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3957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Свод!J18</f>
        <v>3957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Свод!K18</f>
        <v>0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Свод!L18</f>
        <v>0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8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148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148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148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1442278.27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8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Свод!AE18+Свод!M18+Свод!AF18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Свод!D18+Свод!Q18+Свод!AA18+Свод!AB18+Свод!AL18+Свод!AN18+Свод!AX18</f>
        <v>1073047.52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Свод!N18</f>
        <v>369230.75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Свод!AI18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1442278.27</v>
      </c>
      <c r="H138" s="4"/>
      <c r="I138" s="4"/>
      <c r="J138" s="4"/>
      <c r="L138" s="38">
        <f>F30+F32-F61</f>
        <v>16828.400000002235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89">
        <f>Свод!AT18+Свод!AU18+Свод!AV18+G144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Свод!AW18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1442278.27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781283.44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Свод!Q18+Свод!M18+Свод!D18-Свод!AT18+Свод!N18</f>
        <v>781283.44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476989.2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Свод!AA18+Свод!AB18+Свод!AE18-Свод!AU18+Свод!AF18</f>
        <v>476989.2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9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Свод!AI18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184005.63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Свод!AL18+Свод!AN18-Свод!AV18+Свод!AX18</f>
        <v>184005.63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1442278.27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1442278.27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  <c r="D181" t="s">
        <v>386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" right="0.11811023622047245" top="0.35433070866141736" bottom="0.35433070866141736" header="0.31496062992125984" footer="0.31496062992125984"/>
  <pageSetup paperSize="9" scale="77" fitToHeight="6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3">
        <v>9105007585</v>
      </c>
    </row>
    <row r="21" spans="2:9">
      <c r="B21" s="7" t="s">
        <v>227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Свод!AY19</f>
        <v>15134.86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26408070.390000001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22845710.5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Свод!Y19</f>
        <v>22745710.5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Свод!AL19</f>
        <v>100000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Свод!AN19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3562359.89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Свод!AH19</f>
        <v>3562359.89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Свод!AI19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26423205.25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19691182.219999999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Свод!S19+Свод!G19+Свод!AC19+Свод!V19</f>
        <v>14978634.49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Свод!P19+Свод!E19+Свод!AG19</f>
        <v>189000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4523547.7300000004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Свод!H19+Свод!T19+Свод!AD19+Свод!W19</f>
        <v>4523547.7300000004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8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8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Свод!F19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61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6466.41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Свод!J19</f>
        <v>1545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Свод!K19</f>
        <v>4735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Свод!L19</f>
        <v>186.41000000000031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6725556.6200000001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Свод!AE19+Свод!M19+Свод!AF19</f>
        <v>380000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Свод!D19+Свод!Q19+Свод!AA19+Свод!AB19+Свод!AL19+Свод!AN19+Свод!AX19</f>
        <v>6034612.2999999998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Свод!N19</f>
        <v>310944.31999999995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Свод!AI19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6725556.6200000001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Свод!AT19+Свод!AU19+Свод!AV19+G144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Свод!AW19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6725556.6200000001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5081211.09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Свод!Q19+Свод!M19+Свод!D19-Свод!AT19+Свод!N19</f>
        <v>5081211.09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1529210.67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Свод!AA19+Свод!AB19+Свод!AE19-Свод!AU19+Свод!AF19</f>
        <v>1529210.67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Свод!AI19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115134.86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Свод!AL19+Свод!AN19-Свод!AV19+Свод!AX19</f>
        <v>115134.86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6725556.6200000001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6725556.6200000001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" right="0" top="0.39370078740157483" bottom="0.39370078740157483" header="0" footer="0"/>
  <pageSetup paperSize="9" scale="90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4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3">
        <v>9105007024</v>
      </c>
    </row>
    <row r="21" spans="2:9">
      <c r="B21" s="7" t="s">
        <v>228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Свод!AY20</f>
        <v>3106.71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38081302.810000002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29112888.629999999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Свод!Y20</f>
        <v>29042888.629999999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Свод!AL20</f>
        <v>70000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Свод!AN20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8968414.1799999997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Свод!AH20</f>
        <v>8968414.1799999997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Свод!AI20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38084409.520000003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26274763.560000002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Свод!S20+Свод!G20+Свод!AC20+Свод!V20</f>
        <v>19984457.16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Свод!P20+Свод!E20+Свод!AG20</f>
        <v>255000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6035306.4000000004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Свод!H20+Свод!T20+Свод!AD20+Свод!W20</f>
        <v>6035306.4000000004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Свод!F20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12931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Свод!J20</f>
        <v>5018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Свод!K20</f>
        <v>7913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Свод!L20</f>
        <v>0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8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148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148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148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11796714.959999999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8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Свод!AE20+Свод!M20+Свод!AF20</f>
        <v>4596163.25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Свод!D20+Свод!Q20+Свод!AA20+Свод!AB20+Свод!AL20+Свод!AN20+Свод!AX20</f>
        <v>5921441.8599999985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Свод!N20</f>
        <v>1279109.8500000001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Свод!AI20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11796714.960000001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89">
        <f>Свод!AT20+Свод!AU20+Свод!AV20+G144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Свод!AW20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11796714.960000001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5347410.3299999991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Свод!Q20+Свод!M20+Свод!D20-Свод!AT20+Свод!N20</f>
        <v>5347410.3299999991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6376197.9199999999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Свод!AA20+Свод!AB20+Свод!AE20-Свод!AU20+Свод!AF20</f>
        <v>6376197.9199999999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Свод!AI20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73106.710000000006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Свод!AL20+Свод!AN20-Свод!AV20+Свод!AX20</f>
        <v>73106.710000000006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11796714.960000001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11796714.960000001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  <c r="D181" t="s">
        <v>244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9685039370078741" right="0.19685039370078741" top="0.15748031496062992" bottom="0.35433070866141736" header="0" footer="0"/>
  <pageSetup paperSize="9" scale="76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8"/>
  <sheetViews>
    <sheetView zoomScaleNormal="100"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3.44140625" customWidth="1"/>
    <col min="6" max="6" width="12.6640625" customWidth="1"/>
    <col min="7" max="7" width="14" customWidth="1"/>
    <col min="8" max="8" width="12" customWidth="1"/>
    <col min="9" max="9" width="10.6640625" customWidth="1"/>
    <col min="12" max="12" width="13.10937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0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0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1">
        <v>9105007962</v>
      </c>
    </row>
    <row r="21" spans="2:9">
      <c r="B21" s="122" t="s">
        <v>210</v>
      </c>
      <c r="G21" s="78" t="s">
        <v>195</v>
      </c>
      <c r="H21" s="121">
        <v>910501001</v>
      </c>
    </row>
    <row r="22" spans="2:9">
      <c r="B22" s="7" t="s">
        <v>197</v>
      </c>
      <c r="G22" s="78" t="s">
        <v>196</v>
      </c>
      <c r="H22" s="80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6.25" customHeight="1" thickBot="1">
      <c r="B27" s="316" t="s">
        <v>0</v>
      </c>
      <c r="C27" s="314" t="s">
        <v>1</v>
      </c>
      <c r="D27" s="314" t="s">
        <v>2</v>
      </c>
      <c r="E27" s="1" t="s">
        <v>3</v>
      </c>
      <c r="F27" s="312" t="s">
        <v>5</v>
      </c>
      <c r="G27" s="313"/>
      <c r="H27" s="313"/>
      <c r="I27" s="313"/>
    </row>
    <row r="28" spans="2:9" ht="90" customHeight="1" thickBot="1">
      <c r="B28" s="317"/>
      <c r="C28" s="315"/>
      <c r="D28" s="315"/>
      <c r="E28" s="2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6.2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Свод!AY3</f>
        <v>76801.710000000006</v>
      </c>
      <c r="G30" s="4"/>
      <c r="H30" s="4"/>
      <c r="I30" s="4"/>
    </row>
    <row r="31" spans="2:9" ht="16.2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" thickBot="1">
      <c r="B32" s="4" t="s">
        <v>10</v>
      </c>
      <c r="C32" s="2">
        <v>1000</v>
      </c>
      <c r="D32" s="129">
        <v>100</v>
      </c>
      <c r="E32" s="132">
        <v>100</v>
      </c>
      <c r="F32" s="61">
        <f>F34+F40+F45+F47+F51+F54</f>
        <v>83060323.439999998</v>
      </c>
      <c r="G32" s="4">
        <f>G34+G40+G45+G47+G51+G54</f>
        <v>0</v>
      </c>
      <c r="H32" s="4">
        <f>H34+H40+H45+H47+H51+H54</f>
        <v>0</v>
      </c>
      <c r="I32" s="4">
        <f>I34+I40+I45+I47+I51+I54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2">
        <v>1100</v>
      </c>
      <c r="D34" s="2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2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43673326.759999998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</f>
        <v>43523326.759999998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</f>
        <v>150000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39386996.68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</f>
        <v>39386996.68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83137125.150000006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39517690.340000004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61">
        <f>Свод!S3+Свод!G3+Свод!AC3+Свод!V3</f>
        <v>30054293.892580647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61">
        <f>Свод!P3+Свод!E3+Свод!AG3</f>
        <v>387000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9076396.4474193547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Свод!H3+Свод!T3+Свод!AD3+Свод!W3</f>
        <v>9076396.4474193547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6.25" customHeight="1" thickBot="1">
      <c r="B74" s="316" t="s">
        <v>0</v>
      </c>
      <c r="C74" s="314" t="s">
        <v>1</v>
      </c>
      <c r="D74" s="314" t="s">
        <v>2</v>
      </c>
      <c r="E74" s="1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2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2">
        <v>1</v>
      </c>
      <c r="C76" s="2">
        <v>2</v>
      </c>
      <c r="D76" s="2">
        <v>3</v>
      </c>
      <c r="E76" s="2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9.25" customHeight="1" thickBot="1">
      <c r="B78" s="4" t="s">
        <v>269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4.75" customHeight="1">
      <c r="B80" s="5" t="s">
        <v>40</v>
      </c>
      <c r="C80" s="12">
        <v>2180</v>
      </c>
      <c r="D80" s="12">
        <v>139</v>
      </c>
      <c r="E80" s="134"/>
      <c r="F80" s="156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6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6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62">
        <f>Свод!F3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62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2746.92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6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62">
        <f>Свод!J3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62">
        <f>Свод!K3</f>
        <v>2412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62">
        <f>Свод!L3</f>
        <v>334.92000000000007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6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" thickBot="1">
      <c r="B100" s="4" t="s">
        <v>271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7" thickBot="1">
      <c r="B101" s="4" t="s">
        <v>272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43616687.890000001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6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Свод!AE3+Свод!M3+Свод!AF3</f>
        <v>210264.62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2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2">
        <v>1</v>
      </c>
      <c r="C114" s="2">
        <v>2</v>
      </c>
      <c r="D114" s="2">
        <v>3</v>
      </c>
      <c r="E114" s="2">
        <v>4</v>
      </c>
      <c r="F114" s="2">
        <v>5</v>
      </c>
      <c r="G114" s="2">
        <v>6</v>
      </c>
      <c r="H114" s="2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2">
        <v>244</v>
      </c>
      <c r="E115" s="137">
        <v>220</v>
      </c>
      <c r="F115" s="62">
        <f>Свод!D3+Свод!Q3+Свод!AA3+Свод!AB3+Свод!AL3+Свод!AN3+Свод!AX3</f>
        <v>42883799.510000005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2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7">
        <v>247</v>
      </c>
      <c r="E117" s="132">
        <v>223</v>
      </c>
      <c r="F117" s="62">
        <f>Свод!N3</f>
        <v>522623.76000000007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2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2">
        <v>407</v>
      </c>
      <c r="E121" s="95">
        <v>228</v>
      </c>
      <c r="F121" s="62">
        <f>Свод!AI3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2">
        <v>100</v>
      </c>
      <c r="E122" s="130"/>
      <c r="F122" s="62"/>
      <c r="G122" s="4"/>
      <c r="H122" s="4"/>
      <c r="I122" s="2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2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2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2" t="s">
        <v>8</v>
      </c>
    </row>
    <row r="127" spans="2:9" ht="16.2" thickBot="1">
      <c r="B127" s="4" t="s">
        <v>68</v>
      </c>
      <c r="C127" s="9">
        <v>4000</v>
      </c>
      <c r="D127" s="2" t="s">
        <v>8</v>
      </c>
      <c r="E127" s="130"/>
      <c r="F127" s="62"/>
      <c r="G127" s="4"/>
      <c r="H127" s="4"/>
      <c r="I127" s="2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2">
        <v>610</v>
      </c>
      <c r="E129" s="130"/>
      <c r="F129" s="62"/>
      <c r="G129" s="4"/>
      <c r="H129" s="4"/>
      <c r="I129" s="2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3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2">
        <v>1</v>
      </c>
      <c r="B137" s="2">
        <v>2</v>
      </c>
      <c r="C137" s="2">
        <v>3</v>
      </c>
      <c r="D137" s="2">
        <v>4</v>
      </c>
      <c r="E137" s="16" t="s">
        <v>255</v>
      </c>
      <c r="F137" s="16" t="s">
        <v>293</v>
      </c>
      <c r="G137" s="2">
        <v>5</v>
      </c>
      <c r="H137" s="2">
        <v>6</v>
      </c>
      <c r="I137" s="2">
        <v>7</v>
      </c>
      <c r="J137" s="3">
        <v>8</v>
      </c>
    </row>
    <row r="138" spans="1:12" ht="16.2" thickBot="1">
      <c r="A138" s="2">
        <v>1</v>
      </c>
      <c r="B138" s="4" t="s">
        <v>74</v>
      </c>
      <c r="C138" s="2">
        <v>26000</v>
      </c>
      <c r="D138" s="2" t="s">
        <v>8</v>
      </c>
      <c r="E138" s="147" t="s">
        <v>262</v>
      </c>
      <c r="F138" s="147" t="s">
        <v>8</v>
      </c>
      <c r="G138" s="62">
        <f>G147+G142</f>
        <v>43616687.890000008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2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5">
        <f>Свод!AT3+Свод!AU3+Свод!AV3+Свод!AW3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5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5">
        <f>Свод!AW3</f>
        <v>0</v>
      </c>
      <c r="H144" s="15"/>
      <c r="I144" s="15"/>
      <c r="J144" s="15"/>
    </row>
    <row r="145" spans="1:10" ht="14.25" customHeight="1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5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5"/>
      <c r="H146" s="15"/>
      <c r="I146" s="15"/>
      <c r="J146" s="15"/>
    </row>
    <row r="147" spans="1:10" ht="42.6" thickBot="1">
      <c r="A147" s="2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43616687.890000008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7799816.4899999993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2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62">
        <f>Свод!Q3+Свод!M3+Свод!D3-Свод!AT3+Свод!N3</f>
        <v>7799816.4899999993</v>
      </c>
      <c r="H151" s="4"/>
      <c r="I151" s="4"/>
      <c r="J151" s="4"/>
    </row>
    <row r="152" spans="1:10" ht="16.2" thickBot="1">
      <c r="A152" s="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2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2">
        <f>G155</f>
        <v>35590069.690000005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6"/>
      <c r="H154" s="5"/>
      <c r="I154" s="5"/>
      <c r="J154" s="5"/>
    </row>
    <row r="155" spans="1:10" ht="15" thickBot="1">
      <c r="A155" s="2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62">
        <f>Свод!AA3+Свод!AB3+Свод!AE3-Свод!AU3+Свод!AF3</f>
        <v>35590069.690000005</v>
      </c>
      <c r="H155" s="4"/>
      <c r="I155" s="4"/>
      <c r="J155" s="4"/>
    </row>
    <row r="156" spans="1:10" ht="15" thickBot="1">
      <c r="A156" s="201" t="s">
        <v>306</v>
      </c>
      <c r="B156" s="4" t="s">
        <v>307</v>
      </c>
      <c r="C156" s="9" t="s">
        <v>261</v>
      </c>
      <c r="D156" s="9" t="s">
        <v>8</v>
      </c>
      <c r="E156" s="9" t="s">
        <v>305</v>
      </c>
      <c r="F156" s="9" t="s">
        <v>8</v>
      </c>
      <c r="G156" s="62">
        <f>Свод!GJ3</f>
        <v>0</v>
      </c>
      <c r="H156" s="4"/>
      <c r="I156" s="4"/>
      <c r="J156" s="4"/>
    </row>
    <row r="157" spans="1:10" ht="16.2" thickBot="1">
      <c r="A157" s="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61">
        <f>Свод!AI3</f>
        <v>0</v>
      </c>
      <c r="H158" s="4"/>
      <c r="I158" s="4"/>
      <c r="J158" s="4"/>
    </row>
    <row r="159" spans="1:10" ht="15" thickBot="1">
      <c r="A159" s="193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61"/>
      <c r="H159" s="4"/>
      <c r="I159" s="4"/>
      <c r="J159" s="4"/>
    </row>
    <row r="160" spans="1:10" ht="14.25" customHeight="1" thickBot="1">
      <c r="A160" s="193" t="s">
        <v>299</v>
      </c>
      <c r="B160" s="4" t="s">
        <v>290</v>
      </c>
      <c r="C160" s="9" t="s">
        <v>294</v>
      </c>
      <c r="D160" s="9"/>
      <c r="E160" s="9"/>
      <c r="F160" s="9"/>
      <c r="G160" s="15"/>
      <c r="H160" s="15"/>
      <c r="I160" s="15"/>
      <c r="J160" s="15"/>
    </row>
    <row r="161" spans="1:10" ht="15" thickBot="1">
      <c r="A161" s="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2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226801.71000000002</v>
      </c>
      <c r="H165" s="4"/>
      <c r="I165" s="4"/>
      <c r="J165" s="4"/>
    </row>
    <row r="166" spans="1:10" ht="15" thickBot="1">
      <c r="A166" s="6"/>
    </row>
    <row r="167" spans="1:10" ht="15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3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2">
        <v>1</v>
      </c>
      <c r="B169" s="2">
        <v>2</v>
      </c>
      <c r="C169" s="2">
        <v>3</v>
      </c>
      <c r="D169" s="2">
        <v>4</v>
      </c>
      <c r="E169" s="149"/>
      <c r="F169" s="193"/>
      <c r="G169" s="2">
        <v>5</v>
      </c>
      <c r="H169" s="2">
        <v>6</v>
      </c>
      <c r="I169" s="2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3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62">
        <f>Свод!AL3+Свод!AN3-Свод!AV3+Свод!AX3</f>
        <v>226801.71000000002</v>
      </c>
      <c r="H171" s="4"/>
      <c r="I171" s="4"/>
      <c r="J171" s="4"/>
    </row>
    <row r="172" spans="1:10" ht="15" thickBot="1">
      <c r="A172" s="193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14.25" customHeight="1" thickBot="1">
      <c r="A173" s="193" t="s">
        <v>302</v>
      </c>
      <c r="B173" s="4" t="s">
        <v>290</v>
      </c>
      <c r="C173" s="9" t="s">
        <v>295</v>
      </c>
      <c r="D173" s="9"/>
      <c r="E173" s="9"/>
      <c r="F173" s="9"/>
      <c r="G173" s="15"/>
      <c r="H173" s="15"/>
      <c r="I173" s="15"/>
      <c r="J173" s="15"/>
    </row>
    <row r="174" spans="1:10" ht="15" thickBot="1">
      <c r="A174" s="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2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43616687.890000008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43616687.890000008</v>
      </c>
      <c r="H176" s="4"/>
      <c r="I176" s="4"/>
      <c r="J176" s="4"/>
    </row>
    <row r="177" spans="1:10" ht="40.200000000000003" thickBot="1">
      <c r="A177" s="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B10:F10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74:B75"/>
    <mergeCell ref="C74:C75"/>
    <mergeCell ref="D74:D75"/>
    <mergeCell ref="F74:I74"/>
    <mergeCell ref="B112:B113"/>
    <mergeCell ref="E167:E168"/>
    <mergeCell ref="B20:F20"/>
    <mergeCell ref="B27:B28"/>
    <mergeCell ref="C27:C28"/>
    <mergeCell ref="D27:D28"/>
    <mergeCell ref="F27:I27"/>
    <mergeCell ref="B37:B38"/>
    <mergeCell ref="C37:C38"/>
    <mergeCell ref="D37:D38"/>
    <mergeCell ref="E37:E38"/>
    <mergeCell ref="F37:I37"/>
    <mergeCell ref="G167:J167"/>
    <mergeCell ref="E135:E136"/>
    <mergeCell ref="C112:C113"/>
    <mergeCell ref="D112:D113"/>
    <mergeCell ref="F112:I112"/>
    <mergeCell ref="G135:J135"/>
  </mergeCells>
  <pageMargins left="0" right="0" top="0.35433070866141736" bottom="0.27559055118110237" header="0" footer="0"/>
  <pageSetup paperSize="9" scale="80" fitToHeight="6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3">
        <v>9105008405</v>
      </c>
    </row>
    <row r="21" spans="2:9">
      <c r="B21" s="7" t="s">
        <v>229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Свод!AY21</f>
        <v>11120.08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16795486.419999998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14644512.869999999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Свод!Y21</f>
        <v>14544512.869999999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Свод!AL21</f>
        <v>100000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Свод!AN21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2150973.5500000003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Свод!AH21</f>
        <v>2150973.5500000003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Свод!AI21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16806606.5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13328744.559999999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Свод!S21+Свод!G21+Свод!AC21+Свод!V21</f>
        <v>10174919.359999999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Свод!P21+Свод!E21+Свод!AG21</f>
        <v>81000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3072825.2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Свод!H21+Свод!T21+Свод!AD21+Свод!W21</f>
        <v>3072825.2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Свод!F21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4306.55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Свод!J21</f>
        <v>3740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Свод!K21</f>
        <v>405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Свод!L21</f>
        <v>161.54999999999995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3473555.39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Свод!AE21+Свод!M21+Свод!AF21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Свод!D21+Свод!Q21+Свод!AA21+Свод!AB21+Свод!AL21+Свод!AN21+Свод!AX21</f>
        <v>3395335.87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Свод!N21</f>
        <v>78219.520000000019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Свод!AI21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3473555.3899999997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Свод!AT21+Свод!AU21+Свод!AV21+G143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Свод!AW21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3473555.3899999997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2488345.3199999998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Свод!Q21+Свод!M21+Свод!D21-Свод!AT21+Свод!N21</f>
        <v>2488345.3199999998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874089.99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Свод!AA21+Свод!AB21+Свод!AE21-Свод!AU21+Свод!AF21</f>
        <v>874089.99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Свод!AI21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111120.08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Свод!AL21+Свод!AN21-Свод!AV21+Свод!AX21</f>
        <v>111120.08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3473555.3899999997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3473555.3899999997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5433070866141736" bottom="0.55118110236220474" header="0.31496062992125984" footer="0.31496062992125984"/>
  <pageSetup paperSize="9" scale="77" fitToHeight="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209</v>
      </c>
      <c r="C20" s="319"/>
      <c r="D20" s="319"/>
      <c r="E20" s="319"/>
      <c r="F20" s="319"/>
      <c r="G20" s="78" t="s">
        <v>194</v>
      </c>
      <c r="H20" s="123">
        <v>9105006648</v>
      </c>
    </row>
    <row r="21" spans="2:9">
      <c r="B21" s="7" t="s">
        <v>230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Свод!AY22</f>
        <v>29591.52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28016794.760000002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25942130.23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Свод!Y22</f>
        <v>24689310.23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Свод!AL22</f>
        <v>1252820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Свод!AN22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2074664.5300000003</v>
      </c>
      <c r="G47" s="4"/>
      <c r="H47" s="4"/>
      <c r="I47" s="4"/>
      <c r="K47" s="66"/>
    </row>
    <row r="48" spans="2:11" ht="15" thickBot="1">
      <c r="B48" s="4" t="s">
        <v>268</v>
      </c>
      <c r="C48" s="11"/>
      <c r="D48" s="11"/>
      <c r="E48" s="135"/>
      <c r="F48" s="62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Свод!AH22</f>
        <v>2074664.5300000003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Свод!AI22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28046386.280000001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19037608.530000001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Свод!S22+Свод!G22+Свод!AC22+Свод!V22</f>
        <v>14504308.32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Свод!P22+Свод!E22+Свод!AG22</f>
        <v>153000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4380300.21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Свод!H22+Свод!T22+Свод!AD22+Свод!W22</f>
        <v>4380300.21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Свод!F22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2985.08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Свод!J22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Свод!K22</f>
        <v>2720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Свод!L22</f>
        <v>265.07999999999993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9005792.6699999999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Свод!AE22+Свод!M22+Свод!AF22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Свод!D22+Свод!Q22+Свод!AA22+Свод!AB22+Свод!AL22+Свод!AN22+Свод!AM22+Свод!AX22</f>
        <v>8604083.9100000001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Свод!N22</f>
        <v>401708.76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Свод!AI22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9005792.6699999999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Свод!AT22+Свод!AU22+Свод!AV22+G144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Свод!AW22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9005792.6699999999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7234910.1500000004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Свод!Q22+Свод!M22+Свод!D22-Свод!AT22+Свод!N22</f>
        <v>7234910.1500000004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488471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Свод!AA22+Свод!AB22+Свод!AE22-Свод!AU22+Свод!AF22</f>
        <v>488471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Свод!AI22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1282411.52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Свод!AL22+Свод!AN22-Свод!AV22+Свод!AM22+Свод!AX22</f>
        <v>1282411.52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9005792.6699999999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9005792.6699999999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70866141732283472" right="0.70866141732283472" top="0.74803149606299213" bottom="0.74803149606299213" header="0.31496062992125984" footer="0.31496062992125984"/>
  <pageSetup paperSize="9" scale="70" fitToHeight="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71" workbookViewId="0">
      <selection sqref="A1:J187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4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3">
        <v>9105006743</v>
      </c>
    </row>
    <row r="21" spans="2:9">
      <c r="B21" s="7" t="s">
        <v>231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Свод!AY23</f>
        <v>106675.05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40892429.700000003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33264750.52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Свод!Y23</f>
        <v>32864750.52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Свод!AL23</f>
        <v>400000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Свод!AN23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7627679.1800000006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Свод!AH23</f>
        <v>7627679.1800000006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Свод!AI23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40999104.75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28461880.450000003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Свод!S23+Свод!G23+Свод!AC23+Свод!V23</f>
        <v>21551837.960000001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Свод!P23+Свод!E23+Свод!AG23</f>
        <v>401388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6508654.4900000002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Свод!H23+Свод!T23+Свод!AD23+Свод!W23</f>
        <v>6508654.4900000002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8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8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Свод!F23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61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3378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Свод!J23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Свод!K23</f>
        <v>3378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Свод!L23</f>
        <v>0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8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148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148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148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12533846.300000001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8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Свод!AE23+Свод!M23+Свод!AF23</f>
        <v>380000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Свод!D23+Свод!Q23+Свод!AA23+Свод!AB23+Свод!AL23+Свод!AN23+Свод!AX23</f>
        <v>11078528.670000002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Свод!N23</f>
        <v>1075317.6299999999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Свод!AI23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12533846.300000001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Свод!AT23+Свод!AU23+Свод!AV23+G144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Свод!AW23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12533846.300000001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7222811.5199999996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Свод!Q23+Свод!M23+Свод!D23-Свод!AT23+Свод!N23</f>
        <v>7222811.5199999996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2">
        <f>G155</f>
        <v>4804359.7300000004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6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7">
        <f>Свод!AA23+Свод!AB23+Свод!AE23-Свод!AU23+Свод!AF23</f>
        <v>4804359.7300000004</v>
      </c>
      <c r="H155" s="4"/>
      <c r="I155" s="4"/>
      <c r="J155" s="4"/>
    </row>
    <row r="156" spans="1:10" ht="15" thickBot="1">
      <c r="A156" s="241" t="s">
        <v>306</v>
      </c>
      <c r="B156" s="4" t="s">
        <v>307</v>
      </c>
      <c r="C156" s="9" t="s">
        <v>261</v>
      </c>
      <c r="D156" s="9"/>
      <c r="E156" s="9"/>
      <c r="F156" s="9" t="s">
        <v>8</v>
      </c>
      <c r="G156" s="87">
        <f>Свод!GJ23</f>
        <v>2662108.73</v>
      </c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Свод!AI23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506675.05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Свод!AL23+Свод!AN23-Свод!AV23+Свод!AX23</f>
        <v>506675.05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12533846.300000001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12533846.300000001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31496062992125984" right="0.31496062992125984" top="0.35433070866141736" bottom="0.55118110236220474" header="0" footer="0.11811023622047245"/>
  <pageSetup paperSize="9" scale="74" fitToHeight="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3">
        <v>9105008540</v>
      </c>
    </row>
    <row r="21" spans="2:9">
      <c r="B21" s="7" t="s">
        <v>241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Свод!AY24</f>
        <v>4953.3100000000004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26902100.449999999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24060308.329999998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6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Свод!Y24</f>
        <v>23660308.329999998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Свод!AL24</f>
        <v>400000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Свод!AN24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2841792.1199999996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Свод!AH24</f>
        <v>2841792.1199999996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Свод!AI24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156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62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" thickBot="1">
      <c r="B56" s="4"/>
      <c r="C56" s="11"/>
      <c r="D56" s="11"/>
      <c r="E56" s="132"/>
      <c r="F56" s="62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6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26907053.759999998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19149487.119999997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Свод!S24+Свод!G24+Свод!AC24+Свод!V24</f>
        <v>14562585.59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Свод!P24+Свод!E24+Свод!AG24</f>
        <v>189000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4397901.5299999993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Свод!H24+Свод!T24+Свод!AD24+Свод!W24</f>
        <v>4397901.5299999993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8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8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Свод!F24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61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23252.89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Свод!J24</f>
        <v>14590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Свод!K24</f>
        <v>8114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Свод!L24</f>
        <v>548.88999999999942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8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148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148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148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7734313.7499999991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8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Свод!AE24+Свод!M24+Свод!AF24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Свод!D24+Свод!Q24+Свод!AA24+Свод!AB24+Свод!AL24+Свод!AN24+Свод!AX24</f>
        <v>7453490.5099999988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Свод!N24</f>
        <v>280823.24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Свод!AI24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7734313.7499999991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Свод!AT24+Свод!AU24+Свод!AV24+G144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Свод!AW24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7734313.7499999991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6113491.4399999995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Свод!Q24+Свод!M24+Свод!D24-Свод!AT24+Свод!N24</f>
        <v>6113491.4399999995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1215869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Свод!AA24+Свод!AB24+Свод!AE24-Свод!AU24+Свод!AF24</f>
        <v>1215869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Свод!AI24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404953.31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Свод!AL24+Свод!AN24-Свод!AV24+Свод!AX24</f>
        <v>404953.31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7734313.7499999991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7734313.7499999991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19685039370078741" header="0" footer="0"/>
  <pageSetup paperSize="9" scale="85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3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209</v>
      </c>
      <c r="C20" s="319"/>
      <c r="D20" s="319"/>
      <c r="E20" s="319"/>
      <c r="F20" s="319"/>
      <c r="G20" s="78" t="s">
        <v>194</v>
      </c>
      <c r="H20" s="123">
        <v>9105006750</v>
      </c>
    </row>
    <row r="21" spans="2:9">
      <c r="B21" s="7" t="s">
        <v>276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Свод!AY25</f>
        <v>114545.60000000001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28927410.599999998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26686165.469999999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6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Свод!Y25</f>
        <v>25697735.469999999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Свод!AL25</f>
        <v>988430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Свод!AN25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2241245.13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Свод!AH25</f>
        <v>2241245.13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Свод!AI25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29041956.199999999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19840572.469999999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Свод!S25+Свод!G25+Свод!AC25+Свод!V25</f>
        <v>15107198.92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Свод!P25+Свод!E25+Свод!AG25</f>
        <v>171000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4562373.55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Свод!H25+Свод!T25+Свод!AD25+Свод!W25</f>
        <v>4562373.55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156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6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6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Свод!F25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62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2787.25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6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Свод!J25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Свод!K25</f>
        <v>2448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Свод!L25</f>
        <v>339.24999999999977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6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156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156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156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9198596.4800000004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6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Свод!AE25+Свод!M25+Свод!AF25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Свод!D25+Свод!Q25+Свод!AA25+Свод!AB25+Свод!AL25+Свод!AN25+Свод!AX25</f>
        <v>8716422.9199999999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Свод!N25</f>
        <v>482173.55999999994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Свод!AI25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9198596.4800000004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87">
        <f>Свод!AT25+Свод!AU25+Свод!AV25+G144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Свод!AW25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9198596.4800000004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7230616.2199999997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Свод!Q25+Свод!M25+Свод!D25-Свод!AT25+Свод!N25</f>
        <v>7230616.2199999997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865004.65999999992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Свод!AA25+Свод!AB25+Свод!AE25-Свод!AU25+Свод!AF25</f>
        <v>865004.65999999992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Свод!AI25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1102975.6000000001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Свод!AL25+Свод!AN25-Свод!AV25+Свод!AX25</f>
        <v>1102975.6000000001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9198596.4800000004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9198596.4800000004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19685039370078741" bottom="0.15748031496062992" header="0" footer="0"/>
  <pageSetup paperSize="9" scale="76" fitToHeight="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3.5546875" customWidth="1"/>
    <col min="6" max="6" width="12.6640625" customWidth="1"/>
    <col min="7" max="7" width="13.886718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209</v>
      </c>
      <c r="C20" s="319"/>
      <c r="D20" s="319"/>
      <c r="E20" s="319"/>
      <c r="F20" s="319"/>
      <c r="G20" s="78" t="s">
        <v>194</v>
      </c>
      <c r="H20" s="123">
        <v>9105007144</v>
      </c>
    </row>
    <row r="21" spans="2:9">
      <c r="B21" s="7" t="s">
        <v>232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Свод!AY26</f>
        <v>4220578.5599999996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47732174.990000002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41595659.240000002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Свод!Y26</f>
        <v>38764169.240000002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Свод!AL26</f>
        <v>2831490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Свод!AN26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6136515.75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Свод!AH26</f>
        <v>6136515.75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Свод!AI26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F63+F83+F92+F107+F118</f>
        <v>51952753.549999997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33592615.030000001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Свод!S26+Свод!G26+Свод!AC26+Свод!V26</f>
        <v>25586494.530000001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Свод!P26+Свод!E26+Свод!AG26</f>
        <v>279000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7727120.5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Свод!H26+Свод!T26+Свод!AD26+Свод!W26</f>
        <v>7727120.5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156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6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6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Свод!F26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62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35143.22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6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Свод!J26</f>
        <v>23892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Свод!K26</f>
        <v>10746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Свод!L26</f>
        <v>505.2199999999998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6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156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156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156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F110+F115+F117</f>
        <v>18324995.300000001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Свод!AE26+Свод!M26+Свод!AF26+Свод!AW26</f>
        <v>5945967.5599999996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Свод!D26+Свод!Q26+Свод!AA26+Свод!AB26+Свод!AL26+Свод!AN26+Свод!AX26</f>
        <v>10864278.460000001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Свод!N26</f>
        <v>1514749.28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9">
        <f>Свод!AI26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18324995.300000001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Свод!AT26+Свод!AU26+Свод!AV26+G143</f>
        <v>4018257.8399999994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4018257.8399999994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Свод!AW26</f>
        <v>4018257.8399999994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14306737.460000001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7839182.0200000005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Свод!Q26+Свод!M26+Свод!D26-Свод!AT26+Свод!N26</f>
        <v>7839182.0200000005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3433744.7199999997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Свод!AA26+Свод!AB26+Свод!AE26-Свод!AU26+Свод!AF26</f>
        <v>3433744.7199999997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9">
        <f>Свод!GJ26</f>
        <v>0</v>
      </c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Свод!AI26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3033810.72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Свод!AL26+Свод!AN26-Свод!AV26+Свод!AX26</f>
        <v>3033810.72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9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9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14306737.460000001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14306737.460000001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  <c r="D181" t="s">
        <v>334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F37:I37"/>
    <mergeCell ref="F74:I74"/>
    <mergeCell ref="B112:B113"/>
    <mergeCell ref="C112:C113"/>
    <mergeCell ref="D112:D113"/>
    <mergeCell ref="B37:B38"/>
    <mergeCell ref="C37:C38"/>
    <mergeCell ref="D37:D38"/>
    <mergeCell ref="E37:E38"/>
    <mergeCell ref="B74:B75"/>
    <mergeCell ref="C74:C75"/>
    <mergeCell ref="D74:D75"/>
    <mergeCell ref="F112:I112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E135:E136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9370078740157483" bottom="0.39370078740157483" header="0" footer="0"/>
  <pageSetup paperSize="9" scale="80" fitToHeight="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3.55468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96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96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3">
        <v>9105008300</v>
      </c>
    </row>
    <row r="21" spans="2:9">
      <c r="B21" s="7" t="s">
        <v>233</v>
      </c>
      <c r="G21" s="78" t="s">
        <v>195</v>
      </c>
      <c r="H21" s="96">
        <v>910501001</v>
      </c>
    </row>
    <row r="22" spans="2:9">
      <c r="B22" s="7" t="s">
        <v>197</v>
      </c>
      <c r="G22" s="78" t="s">
        <v>196</v>
      </c>
      <c r="H22" s="96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6.2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Свод!AY27</f>
        <v>62768.25</v>
      </c>
      <c r="G30" s="4"/>
      <c r="H30" s="4"/>
      <c r="I30" s="4"/>
    </row>
    <row r="31" spans="2:9" ht="16.2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32482751.420000002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22927768.039999999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Свод!Y27</f>
        <v>22757768.039999999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Свод!AL27</f>
        <v>170000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Свод!AN27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9554983.3800000008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Свод!AH27</f>
        <v>9554983.3800000008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Свод!AI27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32545519.670000002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17893274.640000001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Свод!S27+Свод!G27+Свод!AC27+Свод!V27</f>
        <v>13590840.24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Свод!P27+Свод!E27+Свод!AG27</f>
        <v>198000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4104434.4000000004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Свод!H27+Свод!T27+Свод!AD27+Свод!W27</f>
        <v>4104434.4000000004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156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6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6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Свод!F27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62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5763.6900000000005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6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Свод!J27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Свод!K27</f>
        <v>5320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Свод!L27</f>
        <v>443.69000000000005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6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156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14646481.34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Свод!AE27+Свод!M27+Свод!AF27</f>
        <v>6511492.7400000002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Свод!D27+Свод!Q27+Свод!AA27+Свод!AB27+Свод!AL27+Свод!AN27+Свод!AX27</f>
        <v>7890387.3999999994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Свод!N27</f>
        <v>244601.19999999995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Свод!AI27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6.2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97">
        <v>5</v>
      </c>
      <c r="H137" s="97">
        <v>6</v>
      </c>
      <c r="I137" s="97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14646481.34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Свод!AT27+Свод!AU27+Свод!AV27+G144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Свод!AW27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14646481.34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6330820.3499999996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Свод!Q27+Свод!M27+Свод!D27-Свод!AT27+Свод!N27</f>
        <v>6330820.3499999996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8082892.7400000002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Свод!AA27+Свод!AB27+Свод!AE27-Свод!AU27+Свод!AF27</f>
        <v>8082892.7400000002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Свод!AI27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232768.25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Свод!AL27+Свод!AN27-Свод!AV27+Свод!AX27</f>
        <v>232768.25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14646481.34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14646481.34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A167:A168"/>
    <mergeCell ref="B167:B168"/>
    <mergeCell ref="C167:C168"/>
    <mergeCell ref="D167:D168"/>
    <mergeCell ref="E135:E136"/>
    <mergeCell ref="A135:A136"/>
    <mergeCell ref="B135:B136"/>
    <mergeCell ref="C135:C136"/>
    <mergeCell ref="D135:D136"/>
    <mergeCell ref="E167:E168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F37:I37"/>
  </mergeCells>
  <pageMargins left="0.70866141732283472" right="0.70866141732283472" top="0.35433070866141736" bottom="0.35433070866141736" header="0.31496062992125984" footer="0.31496062992125984"/>
  <pageSetup paperSize="9" scale="69" fitToHeight="6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abSelected="1" topLeftCell="A169" workbookViewId="0">
      <selection sqref="A1:J187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96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96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3">
        <v>9105008525</v>
      </c>
    </row>
    <row r="21" spans="2:9">
      <c r="B21" s="7" t="s">
        <v>242</v>
      </c>
      <c r="G21" s="78" t="s">
        <v>195</v>
      </c>
      <c r="H21" s="96">
        <v>910501001</v>
      </c>
    </row>
    <row r="22" spans="2:9">
      <c r="B22" s="7" t="s">
        <v>197</v>
      </c>
      <c r="G22" s="78" t="s">
        <v>196</v>
      </c>
      <c r="H22" s="96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6.2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Свод!AY28</f>
        <v>39987.54</v>
      </c>
      <c r="G30" s="4"/>
      <c r="H30" s="4"/>
      <c r="I30" s="4"/>
    </row>
    <row r="31" spans="2:9" ht="16.2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15908419.960000001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13595779.120000001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Свод!Y28</f>
        <v>13580779.120000001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Свод!AL28</f>
        <v>15000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Свод!AN28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2312640.8400000003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Свод!AH28</f>
        <v>2312640.8400000003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Свод!AI28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15948407.500000002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13159589.510000002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Свод!S28+Свод!G28+Свод!AC28+Свод!V28</f>
        <v>10010437.890000001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Свод!P28+Свод!E28+Свод!AG28</f>
        <v>126000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3023151.62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Свод!H28+Свод!T28+Свод!AD28+Свод!W28</f>
        <v>3023151.62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Свод!F28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714.83999999999969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Свод!J28</f>
        <v>553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Свод!K28</f>
        <v>0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Свод!L28</f>
        <v>161.83999999999969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2788103.1500000004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Свод!AE28+Свод!M28+Свод!AF28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Свод!D28+Свод!Q28+Свод!AA28+Свод!AB28+Свод!AL28+Свод!AN28+Свод!AX28</f>
        <v>2653566.9500000002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Свод!N28</f>
        <v>134536.20000000004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Свод!AI28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6.2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97">
        <v>5</v>
      </c>
      <c r="H137" s="97">
        <v>6</v>
      </c>
      <c r="I137" s="97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2788103.1500000004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Свод!AT28+Свод!AU28+Свод!AV28+G144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Свод!AW28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2788103.1500000004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2052142.28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Свод!Q28+Свод!M28+Свод!D28-Свод!AT28+Свод!N28</f>
        <v>2052142.28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680973.33000000007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Свод!AA28+Свод!AB28+Свод!AE28-Свод!AU28+Свод!AF28</f>
        <v>680973.33000000007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Свод!AI28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54987.54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Свод!AL28+Свод!AN28-Свод!AV28+Свод!AX28</f>
        <v>54987.54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2788103.1500000004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2788103.1500000004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rintOptions horizontalCentered="1"/>
  <pageMargins left="0.39370078740157483" right="0.39370078740157483" top="0.39370078740157483" bottom="0.39370078740157483" header="0" footer="0"/>
  <pageSetup paperSize="9" scale="75" fitToHeight="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topLeftCell="A13" workbookViewId="0">
      <selection activeCell="H179" sqref="H179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3.5546875" customWidth="1"/>
    <col min="7" max="7" width="14.109375" customWidth="1"/>
    <col min="8" max="8" width="13.5546875" customWidth="1"/>
    <col min="9" max="9" width="13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96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96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3">
        <v>9105009060</v>
      </c>
    </row>
    <row r="21" spans="2:9">
      <c r="B21" s="7" t="s">
        <v>235</v>
      </c>
      <c r="G21" s="78" t="s">
        <v>195</v>
      </c>
      <c r="H21" s="96">
        <v>910501001</v>
      </c>
    </row>
    <row r="22" spans="2:9">
      <c r="B22" s="7" t="s">
        <v>197</v>
      </c>
      <c r="G22" s="78" t="s">
        <v>196</v>
      </c>
      <c r="H22" s="96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6.2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Свод!AY29</f>
        <v>250067.48</v>
      </c>
      <c r="G30" s="4"/>
      <c r="H30" s="4"/>
      <c r="I30" s="4"/>
    </row>
    <row r="31" spans="2:9" ht="16.2" thickBot="1">
      <c r="B31" s="4" t="s">
        <v>9</v>
      </c>
      <c r="C31" s="97">
        <v>2</v>
      </c>
      <c r="D31" s="97" t="s">
        <v>8</v>
      </c>
      <c r="E31" s="129" t="s">
        <v>8</v>
      </c>
      <c r="F31" s="62"/>
      <c r="G31" s="4"/>
      <c r="H31" s="4"/>
      <c r="I31" s="4"/>
    </row>
    <row r="32" spans="2:9" ht="1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102252088.94</v>
      </c>
      <c r="G32" s="62">
        <f>G34+G40+G45+G47+G54</f>
        <v>43135892.370000005</v>
      </c>
      <c r="H32" s="62">
        <f>H34+H40+H45+H47+H54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30980542.359999999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Свод!Y29</f>
        <v>30795542.359999999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Свод!AL29</f>
        <v>185000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Свод!AN29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71271546.579999998</v>
      </c>
      <c r="G47" s="61">
        <f>G48+G49</f>
        <v>43135892.370000005</v>
      </c>
      <c r="H47" s="61">
        <f>H48+H49</f>
        <v>0</v>
      </c>
      <c r="I47" s="4"/>
      <c r="K47" s="66"/>
    </row>
    <row r="48" spans="2:11" ht="1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Свод!AH29</f>
        <v>71271546.579999998</v>
      </c>
      <c r="G49" s="62">
        <f>Свод!GT29+Свод!GU29</f>
        <v>43135892.370000005</v>
      </c>
      <c r="H49" s="62">
        <f>Свод!GV29</f>
        <v>0</v>
      </c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Свод!AI29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F63+F83+F92+F107+F105</f>
        <v>102502156.41999999</v>
      </c>
      <c r="G61" s="62">
        <f>G63+G83+G92+G107+G105</f>
        <v>43135892.370000005</v>
      </c>
      <c r="H61" s="62">
        <f>H63+H83+H92+H107+H105</f>
        <v>0</v>
      </c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27037566.649999999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6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Свод!S29+Свод!G29+Свод!AC29+Свод!V29</f>
        <v>20558805.300000001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Свод!P29+Свод!E29+Свод!AG29</f>
        <v>270000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6208761.3499999996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Свод!T29+Свод!AD29+Свод!W29</f>
        <v>6208761.3499999996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156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6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6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Свод!F29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62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11183.970000000001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6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Свод!J29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Свод!K29</f>
        <v>10839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Свод!L29</f>
        <v>344.97000000000025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6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156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156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156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>
        <v>297</v>
      </c>
      <c r="F106" s="62">
        <f>Свод!I29</f>
        <v>0</v>
      </c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75453405.799999997</v>
      </c>
      <c r="G107" s="62">
        <f>G110+G115+G118+G117</f>
        <v>43135892.370000005</v>
      </c>
      <c r="H107" s="62">
        <f>H110+H115+H118+H117</f>
        <v>0</v>
      </c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Свод!AE29+Свод!M29+Свод!AF29+Свод!AW29</f>
        <v>58284814.120000005</v>
      </c>
      <c r="G110" s="62">
        <f>Свод!GT29</f>
        <v>38561425.430000007</v>
      </c>
      <c r="H110" s="62">
        <f>Свод!GV29</f>
        <v>0</v>
      </c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Свод!D29+Свод!Q29+Свод!AA29+Свод!AB29+Свод!AL29+Свод!AN29+Свод!AX29</f>
        <v>16751978.16</v>
      </c>
      <c r="G115" s="62">
        <f>Свод!GU29</f>
        <v>4574466.9400000004</v>
      </c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Свод!N29</f>
        <v>416613.52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Свод!AI29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6.2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97">
        <v>5</v>
      </c>
      <c r="H137" s="97">
        <v>6</v>
      </c>
      <c r="I137" s="97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75453405.800000012</v>
      </c>
      <c r="H138" s="62">
        <f>H147+H142</f>
        <v>43135892.370000005</v>
      </c>
      <c r="I138" s="62">
        <f>I147+I142</f>
        <v>0</v>
      </c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Свод!AT29+Свод!AU29+Свод!AV29+G144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Свод!AW29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75453405.800000012</v>
      </c>
      <c r="H147" s="65">
        <f>H149+H153+H158+H165</f>
        <v>43135892.370000005</v>
      </c>
      <c r="I147" s="65">
        <f>I149+I153+I158+I165</f>
        <v>0</v>
      </c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6122101.3899999987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Свод!Q29+Свод!M29+Свод!D29-Свод!AT29+Свод!N29</f>
        <v>6122101.3899999987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68896236.930000007</v>
      </c>
      <c r="H153" s="62">
        <f>H155</f>
        <v>43135892.370000005</v>
      </c>
      <c r="I153" s="62">
        <f>I155</f>
        <v>0</v>
      </c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Свод!AA29+Свод!AB29+Свод!AE29-Свод!AU29+Свод!AF29</f>
        <v>68896236.930000007</v>
      </c>
      <c r="H155" s="62">
        <f>Свод!GT29+Свод!GU29</f>
        <v>43135892.370000005</v>
      </c>
      <c r="I155" s="62">
        <f>Свод!GV29</f>
        <v>0</v>
      </c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Свод!AI29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435067.48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Свод!AL29+Свод!AN29-Свод!AV29+Свод!AX29</f>
        <v>435067.48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75453405.800000012</v>
      </c>
      <c r="H175" s="62">
        <f>H147</f>
        <v>43135892.370000005</v>
      </c>
      <c r="I175" s="62">
        <f>I147</f>
        <v>0</v>
      </c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75453405.800000012</v>
      </c>
      <c r="H176" s="62">
        <f>Свод!GT29+Свод!GU29</f>
        <v>43135892.370000005</v>
      </c>
      <c r="I176" s="4">
        <f>Свод!GV29</f>
        <v>0</v>
      </c>
      <c r="J176" s="4"/>
    </row>
    <row r="177" spans="1:10" ht="15" hidden="1" thickBot="1">
      <c r="A177" s="16"/>
      <c r="B177" s="4"/>
      <c r="C177" s="9" t="s">
        <v>330</v>
      </c>
      <c r="D177" s="11">
        <v>2024</v>
      </c>
      <c r="E177" s="147"/>
      <c r="F177" s="9"/>
      <c r="G177" s="62"/>
      <c r="H177" s="62"/>
      <c r="I177" s="4"/>
      <c r="J177" s="4"/>
    </row>
    <row r="178" spans="1:10" ht="15" hidden="1" thickBot="1">
      <c r="A178" s="16"/>
      <c r="B178" s="4"/>
      <c r="C178" s="9" t="s">
        <v>331</v>
      </c>
      <c r="D178" s="11">
        <v>2025</v>
      </c>
      <c r="E178" s="147"/>
      <c r="F178" s="9"/>
      <c r="G178" s="62"/>
      <c r="H178" s="4"/>
      <c r="I178" s="4"/>
      <c r="J178" s="4"/>
    </row>
    <row r="179" spans="1:10" ht="40.200000000000003" thickBot="1">
      <c r="A179" s="194" t="s">
        <v>105</v>
      </c>
      <c r="B179" s="4" t="s">
        <v>106</v>
      </c>
      <c r="C179" s="9">
        <v>26600</v>
      </c>
      <c r="D179" s="9" t="s">
        <v>8</v>
      </c>
      <c r="E179" s="9"/>
      <c r="F179" s="9" t="s">
        <v>8</v>
      </c>
      <c r="G179" s="4"/>
      <c r="H179" s="4"/>
      <c r="I179" s="4"/>
      <c r="J179" s="4"/>
    </row>
    <row r="180" spans="1:10" ht="15" thickBot="1">
      <c r="A180" s="4"/>
      <c r="B180" s="4" t="s">
        <v>104</v>
      </c>
      <c r="C180" s="9">
        <v>26610</v>
      </c>
      <c r="D180" s="11"/>
      <c r="E180" s="11"/>
      <c r="F180" s="9" t="s">
        <v>8</v>
      </c>
      <c r="G180" s="4"/>
      <c r="H180" s="4"/>
      <c r="I180" s="4"/>
      <c r="J180" s="4"/>
    </row>
    <row r="181" spans="1:10">
      <c r="A181" s="6"/>
    </row>
    <row r="182" spans="1:10">
      <c r="A182" s="7" t="s">
        <v>107</v>
      </c>
    </row>
    <row r="183" spans="1:10">
      <c r="A183" s="7" t="s">
        <v>185</v>
      </c>
    </row>
    <row r="184" spans="1:10">
      <c r="A184" s="7" t="s">
        <v>108</v>
      </c>
    </row>
    <row r="185" spans="1:10">
      <c r="A185" s="7"/>
    </row>
    <row r="186" spans="1:10">
      <c r="A186" s="7" t="s">
        <v>187</v>
      </c>
      <c r="B186" s="76"/>
    </row>
    <row r="187" spans="1:10">
      <c r="A187" s="7" t="s">
        <v>186</v>
      </c>
    </row>
    <row r="188" spans="1:10">
      <c r="A188" s="7" t="str">
        <f>D8</f>
        <v>"22"ноября 2024 г.</v>
      </c>
    </row>
    <row r="189" spans="1:10">
      <c r="A189" s="6"/>
    </row>
    <row r="190" spans="1:10">
      <c r="A190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31496062992125984" right="0.31496062992125984" top="0.35433070866141736" bottom="0.35433070866141736" header="0.31496062992125984" footer="0.31496062992125984"/>
  <pageSetup paperSize="9" scale="72" fitToHeight="6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" workbookViewId="0">
      <selection activeCell="G28" sqref="G1:G104857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179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96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96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209</v>
      </c>
      <c r="C20" s="319"/>
      <c r="D20" s="319"/>
      <c r="E20" s="319"/>
      <c r="F20" s="319"/>
      <c r="G20" s="78" t="s">
        <v>194</v>
      </c>
      <c r="H20" s="123">
        <v>9105009127</v>
      </c>
    </row>
    <row r="21" spans="2:9">
      <c r="B21" s="7" t="s">
        <v>277</v>
      </c>
      <c r="G21" s="78" t="s">
        <v>195</v>
      </c>
      <c r="H21" s="96">
        <v>910501001</v>
      </c>
    </row>
    <row r="22" spans="2:9">
      <c r="B22" s="7" t="s">
        <v>197</v>
      </c>
      <c r="G22" s="78" t="s">
        <v>196</v>
      </c>
      <c r="H22" s="96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6.2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Свод!AY30</f>
        <v>0</v>
      </c>
      <c r="G30" s="4"/>
      <c r="H30" s="4"/>
      <c r="I30" s="4"/>
    </row>
    <row r="31" spans="2:9" ht="16.2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0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0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Свод!Y30</f>
        <v>0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Свод!AL30</f>
        <v>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Свод!AN30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0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Свод!AH30</f>
        <v>0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Свод!AI30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0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Свод!S30+Свод!G30+Свод!AC30+Свод!V30</f>
        <v>0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Свод!P30+Свод!E30+Свод!AG30</f>
        <v>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0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Свод!H30+Свод!T30+Свод!AD30+Свод!W30</f>
        <v>0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Свод!F30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Свод!J30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Свод!K30</f>
        <v>0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95">
        <f>Свод!L30</f>
        <v>0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0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Свод!AE30+Свод!M30+Свод!AF30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Свод!D30+Свод!Q30+Свод!AA30+Свод!AB30+Свод!AL30+Свод!AN30+Свод!AX30</f>
        <v>0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Свод!N30</f>
        <v>0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4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5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1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9">
        <f>Свод!AI30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8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6.2" thickBot="1">
      <c r="B127" s="4" t="s">
        <v>68</v>
      </c>
      <c r="C127" s="9">
        <v>4000</v>
      </c>
      <c r="D127" s="97" t="s">
        <v>8</v>
      </c>
      <c r="E127" s="130"/>
      <c r="F127" s="61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48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12" t="s">
        <v>318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97">
        <v>5</v>
      </c>
      <c r="H137" s="97">
        <v>6</v>
      </c>
      <c r="I137" s="97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0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Свод!AT30+Свод!AU30+Свод!AV30+G144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Свод!AW30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0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0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Свод!Q30+Свод!M30+Свод!D30-Свод!AT30+Свод!N30</f>
        <v>0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Свод!AA30+Свод!AB30+Свод!AE30-Свод!AU30+Свод!AF30</f>
        <v>0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Свод!AI30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0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12" t="s">
        <v>318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Свод!AL30+Свод!AN30-Свод!AV30+Свод!AX30</f>
        <v>0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0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0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313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43307086614173229" bottom="0.31496062992125984" header="0" footer="0"/>
  <pageSetup paperSize="9" scale="77" fitToHeight="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zoomScale="96" zoomScaleNormal="96"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5.33203125" customWidth="1"/>
    <col min="7" max="7" width="12.109375" customWidth="1"/>
    <col min="8" max="8" width="12" customWidth="1"/>
    <col min="9" max="9" width="10.6640625" customWidth="1"/>
    <col min="11" max="11" width="12.554687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0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0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00">
        <v>9105008620</v>
      </c>
    </row>
    <row r="21" spans="2:9">
      <c r="B21" s="7" t="s">
        <v>211</v>
      </c>
      <c r="G21" s="78" t="s">
        <v>195</v>
      </c>
      <c r="H21" s="80">
        <v>910501001</v>
      </c>
    </row>
    <row r="22" spans="2:9">
      <c r="B22" s="7" t="s">
        <v>197</v>
      </c>
      <c r="G22" s="78" t="s">
        <v>196</v>
      </c>
      <c r="H22" s="80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6.25" customHeight="1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90" customHeight="1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6.2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Свод!AY4</f>
        <v>19837.84</v>
      </c>
      <c r="G30" s="4"/>
      <c r="H30" s="4"/>
      <c r="I30" s="4"/>
    </row>
    <row r="31" spans="2:9" ht="16.2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33545381.589999996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29599704.159999996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6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Свод!Y4</f>
        <v>29599704.159999996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Свод!AL4</f>
        <v>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Свод!AN4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3945677.4299999997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Свод!AH4</f>
        <v>3945677.4299999997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Свод!AI4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156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62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" thickBot="1">
      <c r="B56" s="4"/>
      <c r="C56" s="11"/>
      <c r="D56" s="11"/>
      <c r="E56" s="132"/>
      <c r="F56" s="62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6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33565219.429999992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6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22272114.43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6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62">
        <f>Свод!S4+Свод!G4+Свод!AC4+Свод!V4</f>
        <v>16954005.09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62">
        <f>Свод!P4+Свод!E4+Свод!AG4</f>
        <v>198000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5120109.34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6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Свод!H4+Свод!T4+Свод!AD4+Свод!W4</f>
        <v>5120109.34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6.25" customHeight="1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4" customHeight="1" thickBot="1">
      <c r="B78" s="4" t="s">
        <v>269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156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6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6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Свод!F4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62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239.28999999999974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6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Свод!J4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Свод!K4</f>
        <v>0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Свод!L4</f>
        <v>239.28999999999974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6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" thickBot="1">
      <c r="B100" s="4" t="s">
        <v>271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7" thickBot="1">
      <c r="B101" s="4" t="s">
        <v>272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11292865.709999997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6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Свод!AE4+Свод!M4+Свод!AF4</f>
        <v>380000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Свод!D4+Свод!Q4+Свод!AA4+Свод!AB4+Свод!AL4+Свод!AN4+Свод!AX4</f>
        <v>10613548.759999998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2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Свод!N4</f>
        <v>299316.95000000007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Свод!AI4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6.2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3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3">
        <v>1</v>
      </c>
      <c r="B137" s="193">
        <v>2</v>
      </c>
      <c r="C137" s="193">
        <v>3</v>
      </c>
      <c r="D137" s="193">
        <v>4</v>
      </c>
      <c r="E137" s="16" t="s">
        <v>255</v>
      </c>
      <c r="F137" s="16" t="s">
        <v>293</v>
      </c>
      <c r="G137" s="81">
        <v>5</v>
      </c>
      <c r="H137" s="81">
        <v>6</v>
      </c>
      <c r="I137" s="81">
        <v>7</v>
      </c>
      <c r="J137" s="3">
        <v>8</v>
      </c>
    </row>
    <row r="138" spans="1:12" ht="16.2" thickBot="1">
      <c r="A138" s="193">
        <v>1</v>
      </c>
      <c r="B138" s="4" t="s">
        <v>74</v>
      </c>
      <c r="C138" s="193">
        <v>26000</v>
      </c>
      <c r="D138" s="193" t="s">
        <v>8</v>
      </c>
      <c r="E138" s="147" t="s">
        <v>262</v>
      </c>
      <c r="F138" s="147" t="s">
        <v>8</v>
      </c>
      <c r="G138" s="62">
        <f>G147+G142</f>
        <v>11292865.709999997</v>
      </c>
      <c r="H138" s="4"/>
      <c r="I138" s="4"/>
      <c r="J138" s="4"/>
      <c r="K138" s="38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K139" s="34"/>
      <c r="L139" s="34">
        <f>F107-G138</f>
        <v>0</v>
      </c>
    </row>
    <row r="140" spans="1:12" ht="129.75" customHeight="1" thickBot="1">
      <c r="A140" s="193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3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3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Свод!AT4+Свод!AU4+Свод!AV4+G144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Свод!AW4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3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11292865.709999997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9462353.8699999973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3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Свод!Q4+Свод!M4+Свод!D4-Свод!AT4+Свод!N4</f>
        <v>9462353.8699999973</v>
      </c>
      <c r="H151" s="4"/>
      <c r="I151" s="4"/>
      <c r="J151" s="4"/>
    </row>
    <row r="152" spans="1:10" ht="16.2" thickBot="1">
      <c r="A152" s="193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3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1810674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3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Свод!AA4+Свод!AB4+Свод!AE4-Свод!AU4+Свод!AF4</f>
        <v>1810674</v>
      </c>
      <c r="H155" s="4"/>
      <c r="I155" s="4"/>
      <c r="J155" s="4"/>
    </row>
    <row r="156" spans="1:10" ht="15" thickBot="1">
      <c r="A156" s="193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3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3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Свод!AI4</f>
        <v>0</v>
      </c>
      <c r="H158" s="4"/>
      <c r="I158" s="4"/>
      <c r="J158" s="4"/>
    </row>
    <row r="159" spans="1:10" ht="15" thickBot="1">
      <c r="A159" s="193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3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3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3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3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3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19837.84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3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3">
        <v>1</v>
      </c>
      <c r="B169" s="193">
        <v>2</v>
      </c>
      <c r="C169" s="193">
        <v>3</v>
      </c>
      <c r="D169" s="193">
        <v>4</v>
      </c>
      <c r="E169" s="193"/>
      <c r="F169" s="193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3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62">
        <f>Свод!AL4+Свод!AN4-Свод!AV4+Свод!AX4</f>
        <v>19837.84</v>
      </c>
      <c r="H171" s="4"/>
      <c r="I171" s="4"/>
      <c r="J171" s="4"/>
    </row>
    <row r="172" spans="1:10" ht="15" thickBot="1">
      <c r="A172" s="193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7" thickBot="1">
      <c r="A173" s="193" t="s">
        <v>302</v>
      </c>
      <c r="B173" s="4" t="s">
        <v>290</v>
      </c>
      <c r="C173" s="9" t="s">
        <v>295</v>
      </c>
      <c r="D173" s="9"/>
      <c r="E173" s="9"/>
      <c r="F173" s="9"/>
      <c r="G173" s="62"/>
      <c r="H173" s="4"/>
      <c r="I173" s="4"/>
      <c r="J173" s="4"/>
    </row>
    <row r="174" spans="1:10" ht="15" thickBot="1">
      <c r="A174" s="193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3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11292865.709999997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11292865.709999997</v>
      </c>
      <c r="H176" s="4"/>
      <c r="I176" s="4"/>
      <c r="J176" s="4"/>
    </row>
    <row r="177" spans="1:10" ht="40.200000000000003" thickBot="1">
      <c r="A177" s="193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19685039370078741" bottom="0.23622047244094491" header="0" footer="0"/>
  <pageSetup paperSize="9" scale="74" fitToHeight="6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5.4414062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96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96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3">
        <v>9105008500</v>
      </c>
    </row>
    <row r="21" spans="2:9">
      <c r="B21" s="7" t="s">
        <v>236</v>
      </c>
      <c r="G21" s="78" t="s">
        <v>195</v>
      </c>
      <c r="H21" s="96">
        <v>910501001</v>
      </c>
    </row>
    <row r="22" spans="2:9">
      <c r="B22" s="7" t="s">
        <v>197</v>
      </c>
      <c r="G22" s="78" t="s">
        <v>196</v>
      </c>
      <c r="H22" s="96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6.2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Свод!AY31</f>
        <v>57644</v>
      </c>
      <c r="G30" s="4"/>
      <c r="H30" s="4"/>
      <c r="I30" s="4"/>
    </row>
    <row r="31" spans="2:9" ht="16.2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34061847.240000002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26161182.850000001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Свод!Y31</f>
        <v>25691182.850000001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Свод!AL31</f>
        <v>470000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Свод!AN31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7900664.3899999997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Свод!AH31</f>
        <v>7900664.3899999997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34119491.240000002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20835871.27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Свод!S31+Свод!G31+Свод!AC31+Свод!V31</f>
        <v>15878549.33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Свод!P31+Свод!E31+Свод!AG31</f>
        <v>162000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4795321.9399999995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Свод!H31+Свод!T31+Свод!AD31+Свод!W31</f>
        <v>4795321.9399999995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Свод!F31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13932.57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Свод!J31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Свод!K31</f>
        <v>13731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Свод!L31</f>
        <v>201.57000000000039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13269687.4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8">
        <f>Свод!AE31+Свод!M31+Свод!AF31</f>
        <v>4579873.97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Свод!D31+Свод!Q31+Свод!AA31+Свод!AB31+Свод!AL31+Свод!AN31+Свод!AX31</f>
        <v>8294658.9500000002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Свод!N31</f>
        <v>395154.47999999992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Свод!AI31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6.2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97">
        <v>5</v>
      </c>
      <c r="H137" s="97">
        <v>6</v>
      </c>
      <c r="I137" s="97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13269687.399999999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Свод!AT31+Свод!AU31+Свод!AV31+G144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Свод!AW31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13269687.399999999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6798963.4299999997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Свод!Q31+Свод!M31+Свод!D31-Свод!AT31+Свод!N31</f>
        <v>6798963.4299999997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5943079.9699999997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Свод!AA31+Свод!AB31+Свод!AE31-Свод!AU31+Свод!AF31</f>
        <v>5943079.9699999997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Свод!AI31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527644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Свод!AL31+Свод!AN31-Свод!AV31+Свод!AX31</f>
        <v>527644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13269687.399999999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13269687.399999999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3.937007874015748E-2" top="0.35433070866141736" bottom="0.39370078740157483" header="0" footer="0"/>
  <pageSetup paperSize="9" scale="29" fitToHeight="2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96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96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209</v>
      </c>
      <c r="C20" s="319"/>
      <c r="D20" s="319"/>
      <c r="E20" s="319"/>
      <c r="F20" s="319"/>
      <c r="G20" s="78" t="s">
        <v>194</v>
      </c>
      <c r="H20" s="123">
        <v>9105008395</v>
      </c>
    </row>
    <row r="21" spans="2:9">
      <c r="B21" s="7" t="s">
        <v>234</v>
      </c>
      <c r="G21" s="78" t="s">
        <v>195</v>
      </c>
      <c r="H21" s="96">
        <v>910501001</v>
      </c>
    </row>
    <row r="22" spans="2:9">
      <c r="B22" s="7" t="s">
        <v>197</v>
      </c>
      <c r="G22" s="78" t="s">
        <v>196</v>
      </c>
      <c r="H22" s="96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6.2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Свод!AY32</f>
        <v>186023.74</v>
      </c>
      <c r="G30" s="4"/>
      <c r="H30" s="4"/>
      <c r="I30" s="4"/>
    </row>
    <row r="31" spans="2:9" ht="16.2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68710262.829999998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28752937.190000001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Свод!Y32</f>
        <v>26989537.190000001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Свод!AL32</f>
        <v>1763400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Свод!AN32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39957325.640000001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Свод!AH32</f>
        <v>39957325.640000001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Свод!AI33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68896286.569999993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24141781.43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Свод!S32+Свод!G32+Свод!AC32+Свод!V32</f>
        <v>18362352.039999999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Свод!P32+Свод!E32+Свод!AG32</f>
        <v>234000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5545429.3900000006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Свод!H32+Свод!T32+Свод!AD32+Свод!W32</f>
        <v>5545429.3900000006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Свод!F32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4577.16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Свод!J32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Свод!K32</f>
        <v>4380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Свод!L32</f>
        <v>197.15999999999985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44749927.979999997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Свод!AE32+Свод!M32+Свод!AF32</f>
        <v>5441830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Свод!D32+Свод!Q32+Свод!AA32+Свод!AB32+Свод!AL32+Свод!AN32+Свод!AX32</f>
        <v>38991271.579999998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1">
        <f>Свод!N32</f>
        <v>316826.39999999997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4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5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4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9">
        <f>Свод!AI32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97">
        <v>100</v>
      </c>
      <c r="E122" s="130"/>
      <c r="F122" s="4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6.2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97">
        <v>5</v>
      </c>
      <c r="H137" s="97">
        <v>6</v>
      </c>
      <c r="I137" s="97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44749927.979999997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Свод!AT32+Свод!AU32+Свод!AV32+G144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Свод!AW32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44749927.979999997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4834545.03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Свод!Q32+Свод!M32+Свод!D32-Свод!AT32+Свод!N32</f>
        <v>4834545.03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37965959.209999993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Свод!AA32+Свод!AB32+Свод!AE32-Свод!AU32+Свод!AF32</f>
        <v>37965959.209999993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Свод!AI32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1949423.74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Свод!AL32+Свод!AN32-Свод!AV32+Свод!AX32</f>
        <v>1949423.74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44749927.979999997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44749927.979999997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77" fitToHeight="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96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96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3">
        <v>9105008331</v>
      </c>
    </row>
    <row r="21" spans="2:9">
      <c r="B21" s="7" t="s">
        <v>237</v>
      </c>
      <c r="G21" s="78" t="s">
        <v>195</v>
      </c>
      <c r="H21" s="96">
        <v>910501001</v>
      </c>
    </row>
    <row r="22" spans="2:9">
      <c r="B22" s="7" t="s">
        <v>197</v>
      </c>
      <c r="G22" s="78" t="s">
        <v>196</v>
      </c>
      <c r="H22" s="96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6.2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Свод!AY33</f>
        <v>14751.69</v>
      </c>
      <c r="G30" s="4"/>
      <c r="H30" s="4"/>
      <c r="I30" s="4"/>
    </row>
    <row r="31" spans="2:9" ht="16.2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22430697.630000003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20204326.870000001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Свод!Y33</f>
        <v>20084326.870000001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Свод!AL33</f>
        <v>120000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Свод!AN33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2226370.7600000002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Свод!AH33</f>
        <v>2226370.7600000002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Свод!AI33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22445449.32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14791061.100000001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Свод!S33+Свод!G33+Свод!AC33+Свод!V33</f>
        <v>11270400.560000001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Свод!P33+Свод!E33+Свод!AG33</f>
        <v>117000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3403660.54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Свод!H33+Свод!T33+Свод!AD33+Свод!W33</f>
        <v>3403660.54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Свод!F33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5038.3999999999996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Свод!J33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Свод!K33</f>
        <v>4736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Свод!L33</f>
        <v>302.39999999999986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7649349.8200000003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Свод!AE33+Свод!M33+Свод!AF33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Свод!D33+Свод!Q33+Свод!AA33+Свод!AB33+Свод!AL33+Свод!AN33+Свод!AX33</f>
        <v>7499678.4199999999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Свод!N33</f>
        <v>149671.39999999997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Свод!AI33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6.2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97">
        <v>5</v>
      </c>
      <c r="H137" s="97">
        <v>6</v>
      </c>
      <c r="I137" s="97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7649349.8200000003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Свод!AT33+Свод!AU33+Свод!AV33+G144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Свод!AW33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7649349.8200000003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6936697.4699999997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Свод!Q33+Свод!M33+Свод!D33-Свод!AT33+Свод!N33</f>
        <v>6936697.4699999997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577900.66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Свод!AA33+Свод!AB33+Свод!AE33-Свод!AU33+Свод!AF33</f>
        <v>577900.66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Свод!AI33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134751.69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Свод!AL33+Свод!AN33-Свод!AV33+Свод!AX33</f>
        <v>134751.69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7649349.8200000003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7649349.8200000003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1496062992125984" bottom="0.27559055118110237" header="0" footer="0"/>
  <pageSetup paperSize="9" scale="77" fitToHeight="1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96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96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209</v>
      </c>
      <c r="C20" s="319"/>
      <c r="D20" s="319"/>
      <c r="E20" s="319"/>
      <c r="F20" s="319"/>
      <c r="G20" s="78" t="s">
        <v>194</v>
      </c>
      <c r="H20" s="123">
        <v>9105008807</v>
      </c>
    </row>
    <row r="21" spans="2:9">
      <c r="B21" s="7" t="s">
        <v>238</v>
      </c>
      <c r="G21" s="78" t="s">
        <v>195</v>
      </c>
      <c r="H21" s="96">
        <v>910501001</v>
      </c>
    </row>
    <row r="22" spans="2:9">
      <c r="B22" s="7" t="s">
        <v>197</v>
      </c>
      <c r="G22" s="78" t="s">
        <v>196</v>
      </c>
      <c r="H22" s="96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6.2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Свод!AY34</f>
        <v>244160.99</v>
      </c>
      <c r="G30" s="4"/>
      <c r="H30" s="4"/>
      <c r="I30" s="4"/>
    </row>
    <row r="31" spans="2:9" ht="16.2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23750300.859999999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21342982.350000001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Свод!Y34</f>
        <v>20162162.350000001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Свод!AL34</f>
        <v>1180820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Свод!AN34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2407318.5099999998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Свод!AH34</f>
        <v>2407318.5099999998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Свод!AI34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23994461.850000001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19123412.84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Свод!S34+Свод!G34+Свод!AC34+Свод!V34</f>
        <v>14563296.85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Свод!P34+Свод!E34+Свод!AG34</f>
        <v>162000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4398115.99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Свод!H34+Свод!T34+Свод!AD34+Свод!W34</f>
        <v>4398115.99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Свод!F34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851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Свод!J34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Свод!K34</f>
        <v>851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Свод!L34</f>
        <v>0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4870198.01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Свод!AE34+Свод!M34+Свод!AF34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Свод!D34+Свод!Q34+Свод!AA34+Свод!AB34+Свод!AL34+Свод!AN34+Свод!AX34</f>
        <v>3647330.5700000003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4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Свод!N34</f>
        <v>1222867.44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Свод!AI34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6.2" thickBot="1">
      <c r="B127" s="4" t="s">
        <v>68</v>
      </c>
      <c r="C127" s="9">
        <v>4000</v>
      </c>
      <c r="D127" s="97" t="s">
        <v>8</v>
      </c>
      <c r="E127" s="130"/>
      <c r="F127" s="62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97">
        <v>610</v>
      </c>
      <c r="E129" s="130"/>
      <c r="F129" s="62"/>
      <c r="G129" s="4"/>
      <c r="H129" s="4"/>
      <c r="I129" s="97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97">
        <v>5</v>
      </c>
      <c r="H137" s="97">
        <v>6</v>
      </c>
      <c r="I137" s="97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4870198.01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Свод!AT34+Свод!AU34+Свод!AV34+G144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Свод!AW34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4870198.01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2776910.35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Свод!Q34+Свод!M34+Свод!D34-Свод!AT34+Свод!N34</f>
        <v>2776910.35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668306.66999999993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Свод!AA34+Свод!AB34+Свод!AE34-Свод!AU34+Свод!AF34</f>
        <v>668306.66999999993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Свод!AI34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1424980.99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Свод!AL34+Свод!AN34-Свод!AV34+Свод!AX34</f>
        <v>1424980.99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4870198.01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4870198.01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  <c r="D181" t="s">
        <v>267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19685039370078741" bottom="0.15748031496062992" header="0" footer="0"/>
  <pageSetup paperSize="9" scale="9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96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96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3">
        <v>9105008885</v>
      </c>
    </row>
    <row r="21" spans="2:9">
      <c r="B21" s="7" t="s">
        <v>243</v>
      </c>
      <c r="G21" s="78" t="s">
        <v>195</v>
      </c>
      <c r="H21" s="96">
        <v>910501001</v>
      </c>
    </row>
    <row r="22" spans="2:9">
      <c r="B22" s="7" t="s">
        <v>197</v>
      </c>
      <c r="G22" s="78" t="s">
        <v>196</v>
      </c>
      <c r="H22" s="96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6.2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Свод!AY35</f>
        <v>70008.149999999994</v>
      </c>
      <c r="G30" s="4"/>
      <c r="H30" s="4"/>
      <c r="I30" s="4"/>
    </row>
    <row r="31" spans="2:9" ht="16.2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24119940.149999999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21149867.829999998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Свод!Y35</f>
        <v>21007867.829999998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Свод!AL35</f>
        <v>142000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Свод!AN35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2970072.32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Свод!AH35</f>
        <v>2970072.32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Свод!AI35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24189948.300000001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17027900.32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Свод!S35+Свод!G35+Свод!AC35+Свод!V35</f>
        <v>12960753.15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Свод!P35+Свод!E35+Свод!AG35</f>
        <v>153000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3914147.17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Свод!H35+Свод!T35+Свод!AD35+Свод!W35</f>
        <v>3914147.17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Свод!F35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24060.03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Свод!J35</f>
        <v>21347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Свод!K35</f>
        <v>2535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Свод!L35</f>
        <v>178.02999999999997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7137987.9500000002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Свод!AE35+Свод!M35+Свод!AF35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Свод!D35+Свод!Q35+Свод!AA35+Свод!AB35+Свод!AL35+Свод!AN35+Свод!AX35</f>
        <v>6035553.0300000003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2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Свод!N35</f>
        <v>1102434.92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Свод!AI35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6.2" thickBot="1">
      <c r="B127" s="4" t="s">
        <v>68</v>
      </c>
      <c r="C127" s="9">
        <v>4000</v>
      </c>
      <c r="D127" s="97" t="s">
        <v>8</v>
      </c>
      <c r="E127" s="130"/>
      <c r="F127" s="62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97">
        <v>5</v>
      </c>
      <c r="H137" s="97">
        <v>6</v>
      </c>
      <c r="I137" s="97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7137987.9500000002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Свод!AT35+Свод!AU35+Свод!AV35+G143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Свод!AW35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7137987.9500000002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5632852.7999999998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Свод!Q35+Свод!M35+Свод!D35-Свод!AT35+Свод!N35</f>
        <v>5632852.7999999998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1293127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Свод!AA35+Свод!AB35+Свод!AE35-Свод!AU35+Свод!AF35</f>
        <v>1293127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Свод!AI35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212008.15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Свод!AL35+Свод!AN35-Свод!AV35+Свод!AX35</f>
        <v>212008.15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7137987.9500000002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7137987.9500000002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9370078740157483" header="0" footer="0"/>
  <pageSetup paperSize="9" scale="90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3.55468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96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96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209</v>
      </c>
      <c r="C20" s="319"/>
      <c r="D20" s="319"/>
      <c r="E20" s="319"/>
      <c r="F20" s="319"/>
      <c r="G20" s="78" t="s">
        <v>194</v>
      </c>
      <c r="H20" s="123">
        <v>9105008966</v>
      </c>
    </row>
    <row r="21" spans="2:9">
      <c r="B21" s="7" t="s">
        <v>273</v>
      </c>
      <c r="G21" s="78" t="s">
        <v>195</v>
      </c>
      <c r="H21" s="96">
        <v>910501001</v>
      </c>
    </row>
    <row r="22" spans="2:9">
      <c r="B22" s="7" t="s">
        <v>197</v>
      </c>
      <c r="G22" s="78" t="s">
        <v>196</v>
      </c>
      <c r="H22" s="96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6.2" thickBot="1">
      <c r="B30" s="4" t="s">
        <v>7</v>
      </c>
      <c r="C30" s="97">
        <v>1</v>
      </c>
      <c r="D30" s="97" t="s">
        <v>8</v>
      </c>
      <c r="E30" s="129" t="s">
        <v>8</v>
      </c>
      <c r="F30" s="61">
        <f>Свод!AY36</f>
        <v>471348.38</v>
      </c>
      <c r="G30" s="4"/>
      <c r="H30" s="4"/>
      <c r="I30" s="4"/>
    </row>
    <row r="31" spans="2:9" ht="16.2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49698534.149999999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35167055.549999997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Свод!Y36</f>
        <v>32652785.550000001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Свод!AL36</f>
        <v>2514270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Свод!AN36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14531478.6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Свод!AH36</f>
        <v>14531478.6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Свод!AI36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50169882.530000001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26405848.349999998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Свод!S36+Свод!G36+Свод!AC36+Свод!V36</f>
        <v>20101266.329999998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Свод!P36+Свод!E36+Свод!AG36</f>
        <v>234000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6070582.0199999996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Свод!H36+Свод!T36+Свод!AD36+Свод!W36</f>
        <v>6070582.0199999996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148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8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8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Свод!F36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61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8114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Свод!J36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Свод!K36</f>
        <v>8114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Свод!L36</f>
        <v>0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8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148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148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148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23755920.180000003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8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Свод!AE36+Свод!M36+Свод!AF36</f>
        <v>11113401.640000001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9">
        <f>Свод!D36+Свод!Q36+Свод!AA36+Свод!AB36+Свод!AL36+Свод!AN36+Свод!AX36</f>
        <v>10353262.160000002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1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1">
        <f>Свод!N36</f>
        <v>2289256.3800000004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8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1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9">
        <f>Свод!AI36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8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6.2" thickBot="1">
      <c r="B127" s="4" t="s">
        <v>68</v>
      </c>
      <c r="C127" s="9">
        <v>4000</v>
      </c>
      <c r="D127" s="97" t="s">
        <v>8</v>
      </c>
      <c r="E127" s="130"/>
      <c r="F127" s="61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48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97">
        <v>610</v>
      </c>
      <c r="E129" s="130"/>
      <c r="F129" s="61"/>
      <c r="G129" s="4"/>
      <c r="H129" s="4"/>
      <c r="I129" s="97" t="s">
        <v>8</v>
      </c>
    </row>
    <row r="130" spans="1:12" ht="15" thickBot="1">
      <c r="B130" s="4"/>
      <c r="C130" s="11"/>
      <c r="D130" s="4"/>
      <c r="E130" s="130"/>
      <c r="F130" s="61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97">
        <v>5</v>
      </c>
      <c r="H137" s="97">
        <v>6</v>
      </c>
      <c r="I137" s="97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23755920.18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Свод!AW36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23755920.18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8356937.5500000007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Свод!Q36+Свод!M36+Свод!D36-Свод!AT36+Свод!N36</f>
        <v>8356937.5500000007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12413364.25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Свод!AA36+Свод!AB36+Свод!AE36-Свод!AU36+Свод!AF36</f>
        <v>12413364.25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Свод!AI36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2985618.38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Свод!AL36+Свод!AN36-Свод!AV36+Свод!AX36</f>
        <v>2985618.38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23755920.18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23755920.18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82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A27" sqref="A27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3.8867187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96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96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209</v>
      </c>
      <c r="C20" s="319"/>
      <c r="D20" s="319"/>
      <c r="E20" s="319"/>
      <c r="F20" s="319"/>
      <c r="G20" s="78" t="s">
        <v>194</v>
      </c>
      <c r="H20" s="123">
        <v>9105008596</v>
      </c>
    </row>
    <row r="21" spans="2:9">
      <c r="B21" s="7" t="s">
        <v>239</v>
      </c>
      <c r="G21" s="78" t="s">
        <v>195</v>
      </c>
      <c r="H21" s="96">
        <v>910501001</v>
      </c>
    </row>
    <row r="22" spans="2:9">
      <c r="B22" s="7" t="s">
        <v>197</v>
      </c>
      <c r="G22" s="78" t="s">
        <v>196</v>
      </c>
      <c r="H22" s="96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6.2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Свод!AY37</f>
        <v>56272.77</v>
      </c>
      <c r="G30" s="4"/>
      <c r="H30" s="4"/>
      <c r="I30" s="4"/>
    </row>
    <row r="31" spans="2:9" ht="16.2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26287332.730000004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23884892.310000002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6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Свод!Y37</f>
        <v>23143482.310000002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Свод!AL37</f>
        <v>741410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Свод!AN37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2402440.42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Свод!AH37</f>
        <v>2402440.42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Свод!AI37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26360433.900000006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17587486.420000002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Свод!S37+Свод!G37+Свод!AC37+Свод!V37</f>
        <v>13383630.41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Свод!P37+Свод!E37+Свод!AG37</f>
        <v>162000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4041856.01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Свод!H37+Свод!T37+Свод!AD37+Свод!W37</f>
        <v>4041856.01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148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8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8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Свод!F37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61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5117.17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Свод!J37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Свод!K37</f>
        <v>4856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Свод!L37</f>
        <v>261.16999999999985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8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148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148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148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8767830.3100000005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8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Свод!AE37+Свод!M37+Свод!AF37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" thickBot="1">
      <c r="B115" s="4" t="s">
        <v>282</v>
      </c>
      <c r="C115" s="9">
        <v>2640</v>
      </c>
      <c r="D115" s="179">
        <v>244</v>
      </c>
      <c r="E115" s="137">
        <v>220</v>
      </c>
      <c r="F115" s="89">
        <f>Свод!D37+Свод!Q37+Свод!AA37+Свод!AB37+Свод!AL37+Свод!AN37+Свод!AX37</f>
        <v>8450331.0700000003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1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1">
        <f>Свод!N37</f>
        <v>317499.24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8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1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9">
        <f>Свод!AI37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8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6.2" thickBot="1">
      <c r="B127" s="4" t="s">
        <v>68</v>
      </c>
      <c r="C127" s="9">
        <v>4000</v>
      </c>
      <c r="D127" s="97" t="s">
        <v>8</v>
      </c>
      <c r="E127" s="130"/>
      <c r="F127" s="61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48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97">
        <v>610</v>
      </c>
      <c r="E129" s="130"/>
      <c r="F129" s="61"/>
      <c r="G129" s="4"/>
      <c r="H129" s="4"/>
      <c r="I129" s="97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97">
        <v>5</v>
      </c>
      <c r="H137" s="97">
        <v>6</v>
      </c>
      <c r="I137" s="97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8767830.3100000005</v>
      </c>
      <c r="H138" s="4"/>
      <c r="I138" s="4"/>
      <c r="J138" s="4"/>
      <c r="L138" s="38">
        <f>F30+F32-F61</f>
        <v>-16828.400000002235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Свод!AT37+Свод!AU37+Свод!AV37+G143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Свод!AW37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8767830.3100000005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7074082.540000001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Свод!Q37+Свод!M37+Свод!D37-Свод!AT37+Свод!N37</f>
        <v>7074082.540000001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2">
        <f>G155</f>
        <v>896065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7">
        <f>Свод!AA37+Свод!AB37+Свод!AE37-Свод!AU37+Свод!AF37</f>
        <v>896065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7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Свод!AI37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797682.77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Свод!AL37+Свод!AN37-Свод!AV37+Свод!AX37</f>
        <v>797682.77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8767830.3100000005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8767830.3100000005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3" sqref="L13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4.109375" customWidth="1"/>
    <col min="7" max="7" width="13.109375" customWidth="1"/>
    <col min="8" max="8" width="13.33203125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0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0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209</v>
      </c>
      <c r="C20" s="319"/>
      <c r="D20" s="319"/>
      <c r="E20" s="319"/>
      <c r="F20" s="319"/>
      <c r="G20" s="78" t="s">
        <v>194</v>
      </c>
      <c r="H20" s="100">
        <v>9105008998</v>
      </c>
    </row>
    <row r="21" spans="2:9">
      <c r="B21" s="7" t="s">
        <v>212</v>
      </c>
      <c r="G21" s="78" t="s">
        <v>195</v>
      </c>
      <c r="H21" s="80">
        <v>910501001</v>
      </c>
    </row>
    <row r="22" spans="2:9">
      <c r="B22" s="7" t="s">
        <v>197</v>
      </c>
      <c r="G22" s="78" t="s">
        <v>196</v>
      </c>
      <c r="H22" s="80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6.25" customHeight="1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90" customHeight="1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6.2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Свод!AY5</f>
        <v>284762.44</v>
      </c>
      <c r="G30" s="4"/>
      <c r="H30" s="4"/>
      <c r="I30" s="4"/>
    </row>
    <row r="31" spans="2:9" ht="16.2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74201031.090000004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60045019.640000001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Свод!Y5</f>
        <v>55295129.640000001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Свод!AL5</f>
        <v>4749890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Свод!AN5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14156011.449999999</v>
      </c>
      <c r="G47" s="62">
        <f>Свод!GM5</f>
        <v>0</v>
      </c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Свод!AH5</f>
        <v>14156011.449999999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Свод!AI5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4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" thickBot="1">
      <c r="B56" s="4"/>
      <c r="C56" s="11"/>
      <c r="D56" s="11"/>
      <c r="E56" s="132"/>
      <c r="F56" s="4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74485793.530000001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46283996.049999997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Свод!S5+Свод!G5+Свод!AC5+Свод!V5</f>
        <v>35202762.32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Свод!P5+Свод!E5+Свод!AG5</f>
        <v>450000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145">
        <f>F70</f>
        <v>10631233.73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Свод!H5+Свод!T5+Свод!AD5+Свод!W5</f>
        <v>10631233.73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6.25" customHeight="1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Свод!F5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27770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Свод!J5</f>
        <v>15139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Свод!K5</f>
        <v>12631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Свод!L5</f>
        <v>0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28174027.48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Свод!AE5+Свод!M5+Свод!AF5</f>
        <v>8954942.4000000004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Свод!D5+Свод!Q5+Свод!AA5+Свод!AB5+Свод!AL5+Свод!AN5+Свод!AX5</f>
        <v>13839548.209999999</v>
      </c>
      <c r="G115" s="62">
        <f>Свод!GM5</f>
        <v>0</v>
      </c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2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Свод!N5</f>
        <v>5379536.8700000001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Свод!AI5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6.2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1">
        <v>5</v>
      </c>
      <c r="H137" s="81">
        <v>6</v>
      </c>
      <c r="I137" s="81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28174027.48</v>
      </c>
      <c r="H138" s="62">
        <f>H147+H142</f>
        <v>0</v>
      </c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87">
        <f>Свод!AT5+Свод!AU5+Свод!AV5+G144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Свод!AW5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28174027.48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12314913.640000001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Свод!Q5+Свод!M5+Свод!D5-Свод!AT5+Свод!N5</f>
        <v>12314913.640000001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2">
        <f>G155</f>
        <v>10824461.4</v>
      </c>
      <c r="H153" s="62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7">
        <f>Свод!AA5+Свод!AB5+Свод!AE5-Свод!AU5+Свод!AF5</f>
        <v>10824461.4</v>
      </c>
      <c r="H155" s="62">
        <f>Свод!GM5</f>
        <v>0</v>
      </c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Свод!AI5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5034652.4400000004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62">
        <f>Свод!AL5+Свод!AN5-Свод!AV5+Свод!AX5</f>
        <v>5034652.4400000004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62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28174027.48</v>
      </c>
      <c r="H175" s="62">
        <f>H147</f>
        <v>0</v>
      </c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28174027.48</v>
      </c>
      <c r="H176" s="62">
        <f>Свод!GM5</f>
        <v>0</v>
      </c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9370078740157483" bottom="0.35433070866141736" header="0" footer="0"/>
  <pageSetup paperSize="9" scale="82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0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0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209</v>
      </c>
      <c r="C20" s="319"/>
      <c r="D20" s="319"/>
      <c r="E20" s="319"/>
      <c r="F20" s="319"/>
      <c r="G20" s="78" t="s">
        <v>194</v>
      </c>
      <c r="H20" s="120">
        <v>9105009952</v>
      </c>
    </row>
    <row r="21" spans="2:9">
      <c r="B21" s="7" t="s">
        <v>213</v>
      </c>
      <c r="G21" s="78" t="s">
        <v>195</v>
      </c>
      <c r="H21" s="80">
        <v>910501001</v>
      </c>
    </row>
    <row r="22" spans="2:9">
      <c r="B22" s="7" t="s">
        <v>197</v>
      </c>
      <c r="G22" s="78" t="s">
        <v>196</v>
      </c>
      <c r="H22" s="80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6.25" customHeight="1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90" customHeight="1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6.2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Свод!AY6</f>
        <v>269701.81</v>
      </c>
      <c r="G30" s="4"/>
      <c r="H30" s="4"/>
      <c r="I30" s="4"/>
    </row>
    <row r="31" spans="2:9" ht="16.2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32515640.049999997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29776517.129999999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6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Свод!Y6</f>
        <v>27325587.129999999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Свод!AL6</f>
        <v>2450930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Свод!AN6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2739122.92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Свод!AH6</f>
        <v>2739122.92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Свод!AI6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156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62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" thickBot="1">
      <c r="B56" s="4"/>
      <c r="C56" s="11"/>
      <c r="D56" s="11"/>
      <c r="E56" s="132"/>
      <c r="F56" s="62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6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32785341.859999999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6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21312861.920000002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6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Свод!S6+Свод!G6+Свод!AC6+Свод!V6</f>
        <v>16203427.390000001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Свод!P6+Свод!E6+Свод!AG6</f>
        <v>216000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4893434.53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6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Свод!H6+Свод!T6+Свод!AD6+Свод!W6</f>
        <v>4893434.53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6.25" customHeight="1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Свод!F6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7911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Свод!J6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Свод!K6</f>
        <v>7911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Свод!L6</f>
        <v>0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11464568.939999999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Свод!AE6+Свод!M6+Свод!AF6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Свод!D6+Свод!Q6+Свод!AA6+Свод!AB6+Свод!AL6+Свод!AN6+Свод!AX6</f>
        <v>9944909.25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2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Свод!N6</f>
        <v>1519659.6900000002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Свод!AI6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6.2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51.75" customHeight="1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1">
        <v>5</v>
      </c>
      <c r="H137" s="81">
        <v>6</v>
      </c>
      <c r="I137" s="81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11464568.939999999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Свод!AT6+Свод!AU6+Свод!AV6+G144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Свод!AW6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11464568.939999999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7500165.1299999999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Свод!Q6+Свод!M6+Свод!D6-Свод!AT6+Свод!N6</f>
        <v>7500165.1299999999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2">
        <f>G155</f>
        <v>1243772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7">
        <f>Свод!AA6+Свод!AB6+Свод!AE6-Свод!AU6+Свод!AF6</f>
        <v>1243772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7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Свод!AI6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2720631.81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Свод!AL6+Свод!AN6-Свод!AV6+Свод!AX6</f>
        <v>2720631.81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11464568.939999999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11464568.939999999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5433070866141736" bottom="0.35433070866141736" header="0" footer="0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0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0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209</v>
      </c>
      <c r="C20" s="319"/>
      <c r="D20" s="319"/>
      <c r="E20" s="319"/>
      <c r="F20" s="319"/>
      <c r="G20" s="78" t="s">
        <v>194</v>
      </c>
      <c r="H20" s="124">
        <v>9105007627</v>
      </c>
    </row>
    <row r="21" spans="2:9">
      <c r="B21" s="7" t="s">
        <v>214</v>
      </c>
      <c r="G21" s="78" t="s">
        <v>195</v>
      </c>
      <c r="H21" s="80">
        <v>910501001</v>
      </c>
    </row>
    <row r="22" spans="2:9">
      <c r="B22" s="7" t="s">
        <v>197</v>
      </c>
      <c r="G22" s="78" t="s">
        <v>196</v>
      </c>
      <c r="H22" s="80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6.25" customHeight="1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90" customHeight="1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6.2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Свод!AY7</f>
        <v>270604.11</v>
      </c>
      <c r="G30" s="4"/>
      <c r="H30" s="4"/>
      <c r="I30" s="4"/>
    </row>
    <row r="31" spans="2:9" ht="16.2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35347917.07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32437162.789999999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6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Свод!Y7</f>
        <v>29614772.789999999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Свод!AL7</f>
        <v>2822390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Свод!AN7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2910754.28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Свод!AH7</f>
        <v>2910754.28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Свод!AI7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156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62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" thickBot="1">
      <c r="B56" s="4"/>
      <c r="C56" s="11"/>
      <c r="D56" s="11"/>
      <c r="E56" s="132"/>
      <c r="F56" s="62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6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35618521.18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6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25007314.939999998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6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Свод!S7+Свод!G7+Свод!AC7+Свод!V7</f>
        <v>19006386.579999998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Свод!P7+Свод!E7+Свод!AG7</f>
        <v>261000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5739928.3599999994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6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Свод!H7+Свод!T7+Свод!AD7+Свод!W7</f>
        <v>5739928.3599999994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6.25" customHeight="1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8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Свод!F7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Свод!J7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Свод!K7</f>
        <v>0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Свод!L7</f>
        <v>0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10611206.24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Свод!AE7+Свод!M7+Свод!AF7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Свод!D7+Свод!Q7+Свод!AA7+Свод!AB7+Свод!AL7+Свод!AN7+Свод!AX7</f>
        <v>8259235.4000000004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2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Свод!N7</f>
        <v>2351970.84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Свод!AI7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6.2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1">
        <v>5</v>
      </c>
      <c r="H137" s="81">
        <v>6</v>
      </c>
      <c r="I137" s="81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10611206.24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Свод!AT7+Свод!AU7+Свод!AV7+G144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Свод!AW7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10611206.24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6497779.79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Свод!Q7+Свод!M7+Свод!D7-Свод!AT7+Свод!N7</f>
        <v>6497779.79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1020432.3400000001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Свод!AA7+Свод!AB7+Свод!AE7-Свод!AU7+Свод!AF7</f>
        <v>1020432.3400000001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Свод!AI7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3092994.11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Свод!AL7+Свод!AN7-Свод!AV7+Свод!AX7</f>
        <v>3092994.11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10611206.24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10611206.24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3.554687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125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0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0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0">
        <v>9105006768</v>
      </c>
    </row>
    <row r="21" spans="2:9">
      <c r="B21" s="7" t="s">
        <v>215</v>
      </c>
      <c r="G21" s="78" t="s">
        <v>195</v>
      </c>
      <c r="H21" s="80">
        <v>910501001</v>
      </c>
    </row>
    <row r="22" spans="2:9">
      <c r="B22" s="7" t="s">
        <v>197</v>
      </c>
      <c r="G22" s="78" t="s">
        <v>196</v>
      </c>
      <c r="H22" s="80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6.25" customHeight="1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90" customHeight="1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6.2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Свод!AY8</f>
        <v>26813.52</v>
      </c>
      <c r="G30" s="4"/>
      <c r="H30" s="4"/>
      <c r="I30" s="4"/>
    </row>
    <row r="31" spans="2:9" ht="16.2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22627188.060000002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19912798.73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6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Свод!Y8</f>
        <v>19432798.73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Свод!AL8</f>
        <v>480000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Свод!AN8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2714389.33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Свод!AH8</f>
        <v>2714389.33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Свод!AI8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156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62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" thickBot="1">
      <c r="B56" s="4"/>
      <c r="C56" s="11"/>
      <c r="D56" s="11"/>
      <c r="E56" s="132"/>
      <c r="F56" s="62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6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22654001.580000002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6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17652212.670000002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6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Свод!S8+Свод!G8+Свод!AC8+Свод!V8</f>
        <v>13447551.82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Свод!P8+Свод!E8+Свод!AG8</f>
        <v>143500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4061160.8499999996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6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Свод!H8+Свод!T8+Свод!AD8+Свод!W8</f>
        <v>4061160.8499999996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6.25" customHeight="1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8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Свод!F8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35206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Свод!J8</f>
        <v>35206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Свод!K8</f>
        <v>0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Свод!L8</f>
        <v>0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4966582.91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Свод!AE8+Свод!M8+Свод!AF8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Свод!D8+Свод!Q8+Свод!AA8+Свод!AB8+Свод!AL8+Свод!AN8+Свод!AX8</f>
        <v>3612737.81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2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Свод!N8</f>
        <v>1353845.1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Свод!AI8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6.2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1">
        <v>5</v>
      </c>
      <c r="H137" s="81">
        <v>6</v>
      </c>
      <c r="I137" s="81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4966582.91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Свод!AT8+Свод!AU8+Свод!AV8+G144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Свод!AW8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4966582.91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3329543.7300000004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Свод!Q8+Свод!M8+Свод!D8-Свод!AT8+Свод!N8</f>
        <v>3329543.7300000004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1130225.6599999999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Свод!AA8+Свод!AB8+Свод!AE8-Свод!AU8+Свод!AF8</f>
        <v>1130225.6599999999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Свод!AI8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506813.52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Свод!AL8+Свод!AN8-Свод!AV8+Свод!AX8</f>
        <v>506813.52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4966582.91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4966582.91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6.3320312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0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0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0">
        <v>9105007810</v>
      </c>
    </row>
    <row r="21" spans="2:9">
      <c r="B21" s="7" t="s">
        <v>216</v>
      </c>
      <c r="G21" s="78" t="s">
        <v>195</v>
      </c>
      <c r="H21" s="80">
        <v>910501001</v>
      </c>
    </row>
    <row r="22" spans="2:9">
      <c r="B22" s="7" t="s">
        <v>197</v>
      </c>
      <c r="G22" s="78" t="s">
        <v>196</v>
      </c>
      <c r="H22" s="80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6.25" customHeight="1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90" customHeight="1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6.2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Свод!AY9</f>
        <v>42531.06</v>
      </c>
      <c r="G30" s="4"/>
      <c r="H30" s="4"/>
      <c r="I30" s="4"/>
    </row>
    <row r="31" spans="2:9" ht="16.2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41365602.07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25433543.960000001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6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Свод!Y9</f>
        <v>25353543.960000001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Свод!AL9</f>
        <v>80000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Свод!AN9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15932058.109999999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Свод!AH9</f>
        <v>15932058.109999999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Свод!AI9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156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62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" thickBot="1">
      <c r="B56" s="4"/>
      <c r="C56" s="11"/>
      <c r="D56" s="11"/>
      <c r="E56" s="132"/>
      <c r="F56" s="62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6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41408133.129999995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6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20225420.629999999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6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Свод!S9+Свод!G9+Свод!AC9+Свод!V9</f>
        <v>15388955.779999999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Свод!P9+Свод!E9+Свод!AG9</f>
        <v>189000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4647464.8499999996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6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Свод!H9+Свод!T9+Свод!AD9+Свод!W9</f>
        <v>4647464.8499999996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6.25" customHeight="1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269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8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Свод!F9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4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70563.63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Свод!J9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Свод!K9</f>
        <v>13183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Свод!L9</f>
        <v>57380.63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21112148.869999997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Свод!AE9+Свод!M9+Свод!AF9</f>
        <v>12786170.48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Свод!D9+Свод!Q9+Свод!AA9+Свод!AB9+Свод!AL9+Свод!AN9+Свод!AX9</f>
        <v>8084338.1899999985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2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Свод!N9</f>
        <v>241640.19999999998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Свод!AI9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6.2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181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1">
        <v>5</v>
      </c>
      <c r="H137" s="81">
        <v>6</v>
      </c>
      <c r="I137" s="81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21112148.869999997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Свод!AT9+Свод!AU9+Свод!AV9+G144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Свод!AW9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21112148.869999997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6845682.3299999991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Свод!Q9+Свод!M9+Свод!D9-Свод!AT9+Свод!N9</f>
        <v>6845682.3299999991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14143935.48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Свод!AA9+Свод!AB9+Свод!AE9-Свод!AU9+Свод!AF9</f>
        <v>14143935.48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8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Свод!AI9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122531.06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Свод!AL9+Свод!AN9-Свод!AV9+Свод!AX9</f>
        <v>122531.06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21112148.869999997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21112148.869999997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4.4"/>
  <cols>
    <col min="1" max="1" width="8.5546875" customWidth="1"/>
    <col min="2" max="2" width="69.33203125" customWidth="1"/>
    <col min="4" max="4" width="12" customWidth="1"/>
    <col min="5" max="5" width="12.44140625" customWidth="1"/>
    <col min="6" max="6" width="12.6640625" customWidth="1"/>
    <col min="7" max="7" width="12.109375" customWidth="1"/>
    <col min="8" max="8" width="12" customWidth="1"/>
    <col min="9" max="9" width="10.6640625" customWidth="1"/>
  </cols>
  <sheetData>
    <row r="1" spans="2:8" ht="15.6">
      <c r="B1" s="7" t="s">
        <v>184</v>
      </c>
      <c r="D1" s="91" t="s">
        <v>183</v>
      </c>
    </row>
    <row r="2" spans="2:8">
      <c r="B2" s="7" t="s">
        <v>13</v>
      </c>
      <c r="D2" s="72" t="s">
        <v>180</v>
      </c>
      <c r="E2" s="72"/>
      <c r="F2" s="71"/>
      <c r="G2" s="71"/>
      <c r="H2" s="71"/>
    </row>
    <row r="3" spans="2:8">
      <c r="B3" s="69"/>
      <c r="C3" s="69"/>
      <c r="D3" s="69"/>
      <c r="E3" s="69" t="s">
        <v>206</v>
      </c>
      <c r="F3" s="69"/>
      <c r="G3" s="69"/>
    </row>
    <row r="4" spans="2:8">
      <c r="B4" s="7" t="s">
        <v>13</v>
      </c>
      <c r="D4" s="73" t="s">
        <v>181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" thickBot="1">
      <c r="B6" s="7" t="s">
        <v>203</v>
      </c>
      <c r="D6" s="74"/>
      <c r="E6" s="74"/>
      <c r="F6" s="74"/>
      <c r="G6" s="75" t="s">
        <v>378</v>
      </c>
      <c r="H6" s="74"/>
    </row>
    <row r="7" spans="2:8">
      <c r="B7" s="7" t="s">
        <v>205</v>
      </c>
    </row>
    <row r="8" spans="2:8">
      <c r="B8" s="7" t="s">
        <v>188</v>
      </c>
      <c r="D8" t="str">
        <f>Свод!AP1</f>
        <v>"22"ноября 2024 г.</v>
      </c>
    </row>
    <row r="9" spans="2:8">
      <c r="B9" s="6"/>
    </row>
    <row r="10" spans="2:8" ht="15.6">
      <c r="B10" s="318" t="s">
        <v>346</v>
      </c>
      <c r="C10" s="318"/>
      <c r="D10" s="318"/>
      <c r="E10" s="318"/>
      <c r="F10" s="318"/>
    </row>
    <row r="11" spans="2:8">
      <c r="B11" s="7" t="s">
        <v>15</v>
      </c>
      <c r="H11" s="18" t="s">
        <v>189</v>
      </c>
    </row>
    <row r="12" spans="2:8">
      <c r="B12" s="7" t="s">
        <v>198</v>
      </c>
      <c r="H12" s="18"/>
    </row>
    <row r="13" spans="2:8">
      <c r="B13" s="99" t="s">
        <v>207</v>
      </c>
      <c r="C13" s="98" t="str">
        <f>D8</f>
        <v>"22"ноября 2024 г.</v>
      </c>
      <c r="D13" s="98"/>
      <c r="E13" s="98"/>
      <c r="F13" s="98"/>
      <c r="G13" s="78" t="s">
        <v>190</v>
      </c>
      <c r="H13" s="79"/>
    </row>
    <row r="14" spans="2:8">
      <c r="B14" s="7"/>
      <c r="F14" s="13" t="s">
        <v>202</v>
      </c>
      <c r="H14" s="82">
        <v>35320861</v>
      </c>
    </row>
    <row r="15" spans="2:8">
      <c r="B15" s="7" t="s">
        <v>199</v>
      </c>
      <c r="H15" s="18"/>
    </row>
    <row r="16" spans="2:8">
      <c r="B16" s="7" t="s">
        <v>192</v>
      </c>
      <c r="G16" s="78" t="s">
        <v>191</v>
      </c>
      <c r="H16" s="82">
        <v>904</v>
      </c>
    </row>
    <row r="17" spans="2:9">
      <c r="B17" s="7" t="s">
        <v>201</v>
      </c>
      <c r="F17" t="s">
        <v>182</v>
      </c>
      <c r="H17" s="18"/>
    </row>
    <row r="18" spans="2:9">
      <c r="B18" s="77" t="s">
        <v>200</v>
      </c>
      <c r="H18" s="94"/>
    </row>
    <row r="19" spans="2:9">
      <c r="B19" s="7" t="s">
        <v>193</v>
      </c>
      <c r="F19" t="s">
        <v>202</v>
      </c>
      <c r="H19" s="18"/>
    </row>
    <row r="20" spans="2:9">
      <c r="B20" s="319" t="s">
        <v>208</v>
      </c>
      <c r="C20" s="319"/>
      <c r="D20" s="319"/>
      <c r="E20" s="319"/>
      <c r="F20" s="319"/>
      <c r="G20" s="78" t="s">
        <v>194</v>
      </c>
      <c r="H20" s="120">
        <v>9105007031</v>
      </c>
    </row>
    <row r="21" spans="2:9">
      <c r="B21" s="7" t="s">
        <v>217</v>
      </c>
      <c r="G21" s="78" t="s">
        <v>195</v>
      </c>
      <c r="H21" s="82">
        <v>910501001</v>
      </c>
    </row>
    <row r="22" spans="2:9">
      <c r="B22" s="7" t="s">
        <v>197</v>
      </c>
      <c r="G22" s="78" t="s">
        <v>196</v>
      </c>
      <c r="H22" s="82">
        <v>383</v>
      </c>
    </row>
    <row r="23" spans="2:9">
      <c r="B23" s="7"/>
      <c r="G23" s="78"/>
      <c r="H23" s="90"/>
    </row>
    <row r="24" spans="2:9">
      <c r="B24" s="7" t="s">
        <v>198</v>
      </c>
    </row>
    <row r="25" spans="2:9" ht="15.6">
      <c r="B25" s="8" t="s">
        <v>16</v>
      </c>
    </row>
    <row r="26" spans="2:9" ht="15" thickBot="1"/>
    <row r="27" spans="2:9" ht="27" thickBot="1">
      <c r="B27" s="316" t="s">
        <v>0</v>
      </c>
      <c r="C27" s="314" t="s">
        <v>1</v>
      </c>
      <c r="D27" s="314" t="s">
        <v>2</v>
      </c>
      <c r="E27" s="128" t="s">
        <v>3</v>
      </c>
      <c r="F27" s="312" t="s">
        <v>5</v>
      </c>
      <c r="G27" s="313"/>
      <c r="H27" s="313"/>
      <c r="I27" s="313"/>
    </row>
    <row r="28" spans="2:9" ht="53.4" thickBot="1">
      <c r="B28" s="317"/>
      <c r="C28" s="315"/>
      <c r="D28" s="315"/>
      <c r="E28" s="129" t="s">
        <v>4</v>
      </c>
      <c r="F28" s="238" t="s">
        <v>347</v>
      </c>
      <c r="G28" s="238" t="s">
        <v>345</v>
      </c>
      <c r="H28" s="238" t="s">
        <v>344</v>
      </c>
      <c r="I28" s="3" t="s">
        <v>6</v>
      </c>
    </row>
    <row r="29" spans="2:9" ht="1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6.2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Свод!AY10</f>
        <v>35453.160000000003</v>
      </c>
      <c r="G30" s="4"/>
      <c r="H30" s="4"/>
      <c r="I30" s="4"/>
    </row>
    <row r="31" spans="2:9" ht="16.2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23657162.890000001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" thickBot="1"/>
    <row r="37" spans="2:11" ht="26.25" customHeight="1" thickBot="1">
      <c r="B37" s="316" t="s">
        <v>0</v>
      </c>
      <c r="C37" s="314" t="s">
        <v>1</v>
      </c>
      <c r="D37" s="314" t="s">
        <v>2</v>
      </c>
      <c r="E37" s="314" t="s">
        <v>17</v>
      </c>
      <c r="F37" s="312" t="s">
        <v>5</v>
      </c>
      <c r="G37" s="313"/>
      <c r="H37" s="313"/>
      <c r="I37" s="313"/>
    </row>
    <row r="38" spans="2:11" ht="53.4" thickBot="1">
      <c r="B38" s="317"/>
      <c r="C38" s="315"/>
      <c r="D38" s="315"/>
      <c r="E38" s="315"/>
      <c r="F38" s="238" t="s">
        <v>347</v>
      </c>
      <c r="G38" s="238" t="s">
        <v>345</v>
      </c>
      <c r="H38" s="238" t="s">
        <v>344</v>
      </c>
      <c r="I38" s="3" t="s">
        <v>6</v>
      </c>
    </row>
    <row r="39" spans="2:11" ht="1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20937080.73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6"/>
      <c r="G41" s="5"/>
      <c r="H41" s="5"/>
      <c r="I41" s="5"/>
    </row>
    <row r="42" spans="2:11" ht="40.200000000000003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Свод!Y10</f>
        <v>20737080.73</v>
      </c>
      <c r="G42" s="4"/>
      <c r="H42" s="4"/>
      <c r="I42" s="4"/>
      <c r="K42" s="66" t="s">
        <v>112</v>
      </c>
    </row>
    <row r="43" spans="2:11" ht="40.200000000000003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Свод!AL10</f>
        <v>200000</v>
      </c>
      <c r="G44" s="4"/>
      <c r="H44" s="4"/>
      <c r="I44" s="4"/>
      <c r="K44" s="66" t="s">
        <v>111</v>
      </c>
    </row>
    <row r="45" spans="2:11" ht="1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Свод!AN10</f>
        <v>0</v>
      </c>
      <c r="G45" s="4"/>
      <c r="H45" s="4"/>
      <c r="I45" s="4"/>
      <c r="K45" s="66" t="s">
        <v>111</v>
      </c>
    </row>
    <row r="46" spans="2:11" ht="1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2720082.16</v>
      </c>
      <c r="G47" s="4"/>
      <c r="H47" s="4"/>
      <c r="I47" s="4"/>
      <c r="K47" s="66"/>
    </row>
    <row r="48" spans="2:11" ht="1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Свод!AH10</f>
        <v>2720082.16</v>
      </c>
      <c r="G49" s="4"/>
      <c r="H49" s="4"/>
      <c r="I49" s="4"/>
      <c r="K49" s="66"/>
    </row>
    <row r="50" spans="2:11" ht="1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Свод!AI10</f>
        <v>0</v>
      </c>
      <c r="G50" s="4"/>
      <c r="H50" s="4"/>
      <c r="I50" s="4"/>
      <c r="K50" s="66" t="s">
        <v>113</v>
      </c>
    </row>
    <row r="51" spans="2:11" ht="1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172</v>
      </c>
    </row>
    <row r="52" spans="2:11">
      <c r="B52" s="5" t="s">
        <v>11</v>
      </c>
      <c r="C52" s="10"/>
      <c r="D52" s="10"/>
      <c r="E52" s="136"/>
      <c r="F52" s="156"/>
      <c r="G52" s="5"/>
      <c r="H52" s="5"/>
      <c r="I52" s="5"/>
      <c r="K52" s="66"/>
    </row>
    <row r="53" spans="2:11" ht="15" thickBot="1">
      <c r="B53" s="4"/>
      <c r="C53" s="11"/>
      <c r="D53" s="11"/>
      <c r="E53" s="132"/>
      <c r="F53" s="62"/>
      <c r="G53" s="4"/>
      <c r="H53" s="4"/>
      <c r="I53" s="4"/>
    </row>
    <row r="54" spans="2:11" ht="1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" thickBot="1">
      <c r="B56" s="4"/>
      <c r="C56" s="11"/>
      <c r="D56" s="11"/>
      <c r="E56" s="132"/>
      <c r="F56" s="62"/>
      <c r="G56" s="4"/>
      <c r="H56" s="4"/>
      <c r="I56" s="4"/>
    </row>
    <row r="57" spans="2:11" ht="16.2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6"/>
      <c r="G58" s="5"/>
      <c r="H58" s="5"/>
      <c r="I58" s="5"/>
    </row>
    <row r="59" spans="2:11" ht="27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23692616.049999997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6"/>
      <c r="G62" s="5"/>
      <c r="H62" s="5"/>
      <c r="I62" s="10"/>
    </row>
    <row r="63" spans="2:11" ht="1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17492993.469999999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6"/>
      <c r="G64" s="5"/>
      <c r="H64" s="5"/>
      <c r="I64" s="10"/>
    </row>
    <row r="65" spans="2:9" ht="1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Свод!S10+Свод!G10+Свод!AC10+Свод!V10</f>
        <v>13317967.68</v>
      </c>
      <c r="G65" s="4"/>
      <c r="H65" s="4"/>
      <c r="I65" s="9" t="s">
        <v>8</v>
      </c>
    </row>
    <row r="66" spans="2:9" ht="1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Свод!P10+Свод!E10+Свод!AG10</f>
        <v>153000</v>
      </c>
      <c r="G66" s="4"/>
      <c r="H66" s="4"/>
      <c r="I66" s="9" t="s">
        <v>8</v>
      </c>
    </row>
    <row r="67" spans="2:9" ht="27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7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4022025.79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6"/>
      <c r="G69" s="5"/>
      <c r="H69" s="5"/>
      <c r="I69" s="12" t="s">
        <v>8</v>
      </c>
    </row>
    <row r="70" spans="2:9" ht="1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Свод!H10+Свод!T10+Свод!AD10+Свод!W10</f>
        <v>4022025.79</v>
      </c>
      <c r="G70" s="4"/>
      <c r="H70" s="4"/>
      <c r="I70" s="11"/>
    </row>
    <row r="71" spans="2:9" ht="1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" thickBot="1">
      <c r="B73" s="6"/>
    </row>
    <row r="74" spans="2:9" ht="27" thickBot="1">
      <c r="B74" s="316" t="s">
        <v>0</v>
      </c>
      <c r="C74" s="314" t="s">
        <v>1</v>
      </c>
      <c r="D74" s="314" t="s">
        <v>2</v>
      </c>
      <c r="E74" s="128" t="s">
        <v>3</v>
      </c>
      <c r="F74" s="312" t="s">
        <v>5</v>
      </c>
      <c r="G74" s="313"/>
      <c r="H74" s="313"/>
      <c r="I74" s="313"/>
    </row>
    <row r="75" spans="2:9" ht="53.4" thickBot="1">
      <c r="B75" s="317"/>
      <c r="C75" s="315"/>
      <c r="D75" s="315"/>
      <c r="E75" s="129" t="s">
        <v>4</v>
      </c>
      <c r="F75" s="238" t="s">
        <v>347</v>
      </c>
      <c r="G75" s="238" t="s">
        <v>345</v>
      </c>
      <c r="H75" s="238" t="s">
        <v>344</v>
      </c>
      <c r="I75" s="3" t="s">
        <v>6</v>
      </c>
    </row>
    <row r="76" spans="2:9" ht="1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7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7" thickBot="1">
      <c r="B78" s="4" t="s">
        <v>269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7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6.4">
      <c r="B80" s="5" t="s">
        <v>40</v>
      </c>
      <c r="C80" s="12">
        <v>2180</v>
      </c>
      <c r="D80" s="12">
        <v>139</v>
      </c>
      <c r="E80" s="134"/>
      <c r="F80" s="148"/>
      <c r="G80" s="5"/>
      <c r="H80" s="5"/>
      <c r="I80" s="10"/>
    </row>
    <row r="81" spans="2:9" ht="1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8"/>
      <c r="G84" s="5"/>
      <c r="H84" s="5"/>
      <c r="I84" s="12" t="s">
        <v>8</v>
      </c>
    </row>
    <row r="85" spans="2:9" ht="27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8"/>
      <c r="G86" s="5"/>
      <c r="H86" s="5"/>
      <c r="I86" s="10"/>
    </row>
    <row r="87" spans="2:9" ht="27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Свод!F10</f>
        <v>0</v>
      </c>
      <c r="G87" s="4"/>
      <c r="H87" s="4"/>
      <c r="I87" s="9" t="s">
        <v>8</v>
      </c>
    </row>
    <row r="88" spans="2:9" ht="15" thickBot="1">
      <c r="B88" s="4"/>
      <c r="C88" s="11"/>
      <c r="D88" s="11"/>
      <c r="E88" s="132"/>
      <c r="F88" s="61"/>
      <c r="G88" s="4"/>
      <c r="H88" s="4"/>
      <c r="I88" s="11"/>
    </row>
    <row r="89" spans="2:9" ht="27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40.200000000000003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7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8"/>
      <c r="G93" s="5"/>
      <c r="H93" s="5"/>
      <c r="I93" s="12"/>
    </row>
    <row r="94" spans="2:9" ht="1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Свод!J10</f>
        <v>0</v>
      </c>
      <c r="G94" s="4"/>
      <c r="H94" s="4"/>
      <c r="I94" s="9" t="s">
        <v>8</v>
      </c>
    </row>
    <row r="95" spans="2:9" ht="27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Свод!K10</f>
        <v>0</v>
      </c>
      <c r="G95" s="4"/>
      <c r="H95" s="4"/>
      <c r="I95" s="9" t="s">
        <v>8</v>
      </c>
    </row>
    <row r="96" spans="2:9" ht="1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Свод!L10</f>
        <v>0</v>
      </c>
      <c r="G96" s="4"/>
      <c r="H96" s="4"/>
      <c r="I96" s="9" t="s">
        <v>8</v>
      </c>
    </row>
    <row r="97" spans="2:9" ht="1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8"/>
      <c r="G98" s="5"/>
      <c r="H98" s="5"/>
      <c r="I98" s="10"/>
    </row>
    <row r="99" spans="2:9" ht="15" thickBot="1">
      <c r="B99" s="4" t="s">
        <v>270</v>
      </c>
      <c r="C99" s="9">
        <v>2410</v>
      </c>
      <c r="D99" s="9">
        <v>613</v>
      </c>
      <c r="E99" s="134"/>
      <c r="F99" s="148"/>
      <c r="G99" s="5"/>
      <c r="H99" s="5"/>
      <c r="I99" s="10"/>
    </row>
    <row r="100" spans="2:9" ht="15" thickBot="1">
      <c r="B100" s="4" t="s">
        <v>271</v>
      </c>
      <c r="C100" s="9">
        <v>2420</v>
      </c>
      <c r="D100" s="9">
        <v>623</v>
      </c>
      <c r="E100" s="134"/>
      <c r="F100" s="148"/>
      <c r="G100" s="5"/>
      <c r="H100" s="5"/>
      <c r="I100" s="10"/>
    </row>
    <row r="101" spans="2:9" ht="27" thickBot="1">
      <c r="B101" s="4" t="s">
        <v>272</v>
      </c>
      <c r="C101" s="9">
        <v>2430</v>
      </c>
      <c r="D101" s="9">
        <v>634</v>
      </c>
      <c r="E101" s="134"/>
      <c r="F101" s="148"/>
      <c r="G101" s="5"/>
      <c r="H101" s="5"/>
      <c r="I101" s="10"/>
    </row>
    <row r="102" spans="2:9" ht="1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7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40.200000000000003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6.2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6199622.5800000001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7" thickBot="1">
      <c r="B109" s="4" t="s">
        <v>279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7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Свод!AE10+Свод!M10+Свод!AF10</f>
        <v>0</v>
      </c>
      <c r="G110" s="4"/>
      <c r="H110" s="4"/>
      <c r="I110" s="4"/>
    </row>
    <row r="111" spans="2:9" ht="15" thickBot="1">
      <c r="B111" s="6"/>
    </row>
    <row r="112" spans="2:9" ht="26.25" customHeight="1" thickBot="1">
      <c r="B112" s="316" t="s">
        <v>0</v>
      </c>
      <c r="C112" s="314" t="s">
        <v>1</v>
      </c>
      <c r="D112" s="314" t="s">
        <v>2</v>
      </c>
      <c r="E112" s="178" t="s">
        <v>3</v>
      </c>
      <c r="F112" s="312" t="s">
        <v>5</v>
      </c>
      <c r="G112" s="313"/>
      <c r="H112" s="313"/>
      <c r="I112" s="313"/>
    </row>
    <row r="113" spans="2:9" ht="53.4" thickBot="1">
      <c r="B113" s="317"/>
      <c r="C113" s="315"/>
      <c r="D113" s="315"/>
      <c r="E113" s="179" t="s">
        <v>4</v>
      </c>
      <c r="F113" s="238" t="s">
        <v>347</v>
      </c>
      <c r="G113" s="238" t="s">
        <v>345</v>
      </c>
      <c r="H113" s="238" t="s">
        <v>344</v>
      </c>
      <c r="I113" s="3" t="s">
        <v>6</v>
      </c>
    </row>
    <row r="114" spans="2:9" ht="15" thickBot="1">
      <c r="B114" s="179">
        <v>1</v>
      </c>
      <c r="C114" s="179">
        <v>2</v>
      </c>
      <c r="D114" s="179">
        <v>3</v>
      </c>
      <c r="E114" s="179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" thickBot="1">
      <c r="B115" s="4" t="s">
        <v>60</v>
      </c>
      <c r="C115" s="9">
        <v>2640</v>
      </c>
      <c r="D115" s="179">
        <v>244</v>
      </c>
      <c r="E115" s="137">
        <v>220</v>
      </c>
      <c r="F115" s="87">
        <f>Свод!D10+Свод!Q10+Свод!AA10+Свод!AB10+Свод!AL10+Свод!AN10+Свод!AX10</f>
        <v>4689875.96</v>
      </c>
      <c r="G115" s="4"/>
      <c r="H115" s="4"/>
      <c r="I115" s="4"/>
    </row>
    <row r="116" spans="2:9" ht="27" thickBot="1">
      <c r="B116" s="4" t="s">
        <v>280</v>
      </c>
      <c r="C116" s="9">
        <v>2650</v>
      </c>
      <c r="D116" s="9">
        <v>246</v>
      </c>
      <c r="E116" s="180">
        <v>220</v>
      </c>
      <c r="F116" s="62"/>
      <c r="G116" s="4"/>
      <c r="H116" s="4"/>
      <c r="I116" s="4"/>
    </row>
    <row r="117" spans="2:9" ht="15" thickBot="1">
      <c r="B117" s="4" t="s">
        <v>281</v>
      </c>
      <c r="C117" s="9">
        <v>2660</v>
      </c>
      <c r="D117" s="179">
        <v>247</v>
      </c>
      <c r="E117" s="132">
        <v>223</v>
      </c>
      <c r="F117" s="62">
        <f>Свод!N10</f>
        <v>1509746.62</v>
      </c>
      <c r="G117" s="4"/>
      <c r="H117" s="4"/>
      <c r="I117" s="4"/>
    </row>
    <row r="118" spans="2:9" ht="27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6"/>
      <c r="G119" s="5"/>
      <c r="H119" s="5"/>
      <c r="I119" s="5"/>
    </row>
    <row r="120" spans="2:9" ht="27" thickBot="1">
      <c r="B120" s="4" t="s">
        <v>62</v>
      </c>
      <c r="C120" s="9">
        <v>2710</v>
      </c>
      <c r="D120" s="179">
        <v>406</v>
      </c>
      <c r="E120" s="95"/>
      <c r="F120" s="62"/>
      <c r="G120" s="4"/>
      <c r="H120" s="4"/>
      <c r="I120" s="4"/>
    </row>
    <row r="121" spans="2:9" ht="27" thickBot="1">
      <c r="B121" s="4" t="s">
        <v>63</v>
      </c>
      <c r="C121" s="9">
        <v>2720</v>
      </c>
      <c r="D121" s="179">
        <v>407</v>
      </c>
      <c r="E121" s="95">
        <v>228</v>
      </c>
      <c r="F121" s="87">
        <f>Свод!AI10</f>
        <v>0</v>
      </c>
      <c r="G121" s="4"/>
      <c r="H121" s="4"/>
      <c r="I121" s="4"/>
    </row>
    <row r="122" spans="2:9" ht="16.2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6"/>
      <c r="G123" s="5"/>
      <c r="H123" s="5"/>
      <c r="I123" s="5"/>
    </row>
    <row r="124" spans="2:9" ht="16.2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6.2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6.2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6.2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6"/>
      <c r="G128" s="5"/>
      <c r="H128" s="5"/>
      <c r="I128" s="5"/>
    </row>
    <row r="129" spans="1:12" ht="1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">
      <c r="B133" s="8" t="s">
        <v>70</v>
      </c>
    </row>
    <row r="134" spans="1:12" ht="15" thickBot="1">
      <c r="B134" s="6"/>
    </row>
    <row r="135" spans="1:12" ht="15.75" customHeight="1" thickBot="1">
      <c r="A135" s="316" t="s">
        <v>71</v>
      </c>
      <c r="B135" s="314" t="s">
        <v>0</v>
      </c>
      <c r="C135" s="314" t="s">
        <v>72</v>
      </c>
      <c r="D135" s="314" t="s">
        <v>73</v>
      </c>
      <c r="E135" s="314" t="s">
        <v>254</v>
      </c>
      <c r="F135" s="146"/>
      <c r="G135" s="312" t="s">
        <v>5</v>
      </c>
      <c r="H135" s="313"/>
      <c r="I135" s="313"/>
      <c r="J135" s="313"/>
    </row>
    <row r="136" spans="1:12" ht="79.8" thickBot="1">
      <c r="A136" s="317"/>
      <c r="B136" s="315"/>
      <c r="C136" s="315"/>
      <c r="D136" s="315"/>
      <c r="E136" s="315"/>
      <c r="F136" s="194" t="s">
        <v>292</v>
      </c>
      <c r="G136" s="238" t="s">
        <v>347</v>
      </c>
      <c r="H136" s="238" t="s">
        <v>345</v>
      </c>
      <c r="I136" s="238" t="s">
        <v>344</v>
      </c>
      <c r="J136" s="3" t="s">
        <v>6</v>
      </c>
    </row>
    <row r="137" spans="1:12" ht="15" thickBot="1">
      <c r="A137" s="194">
        <v>1</v>
      </c>
      <c r="B137" s="194">
        <v>2</v>
      </c>
      <c r="C137" s="194">
        <v>3</v>
      </c>
      <c r="D137" s="194">
        <v>4</v>
      </c>
      <c r="E137" s="16" t="s">
        <v>255</v>
      </c>
      <c r="F137" s="16" t="s">
        <v>293</v>
      </c>
      <c r="G137" s="83">
        <v>5</v>
      </c>
      <c r="H137" s="83">
        <v>6</v>
      </c>
      <c r="I137" s="83">
        <v>7</v>
      </c>
      <c r="J137" s="3">
        <v>8</v>
      </c>
    </row>
    <row r="138" spans="1:12" ht="16.2" thickBot="1">
      <c r="A138" s="194">
        <v>1</v>
      </c>
      <c r="B138" s="4" t="s">
        <v>74</v>
      </c>
      <c r="C138" s="194">
        <v>26000</v>
      </c>
      <c r="D138" s="194" t="s">
        <v>8</v>
      </c>
      <c r="E138" s="147" t="s">
        <v>262</v>
      </c>
      <c r="F138" s="147" t="s">
        <v>8</v>
      </c>
      <c r="G138" s="62">
        <f>G147+G142</f>
        <v>6199622.5800000001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35" thickBot="1">
      <c r="A140" s="194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2.6" thickBot="1">
      <c r="A141" s="194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2.6" thickBot="1">
      <c r="A142" s="194" t="s">
        <v>79</v>
      </c>
      <c r="B142" s="4" t="s">
        <v>80</v>
      </c>
      <c r="C142" s="9">
        <v>26300</v>
      </c>
      <c r="D142" s="9" t="s">
        <v>8</v>
      </c>
      <c r="E142" s="147" t="s">
        <v>262</v>
      </c>
      <c r="F142" s="147" t="s">
        <v>8</v>
      </c>
      <c r="G142" s="14">
        <f>Свод!AT10+Свод!AU10+Свод!AV10+G144</f>
        <v>0</v>
      </c>
      <c r="H142" s="15"/>
      <c r="I142" s="15"/>
      <c r="J142" s="15"/>
    </row>
    <row r="143" spans="1:12" ht="15" thickBot="1">
      <c r="A143" s="16" t="s">
        <v>256</v>
      </c>
      <c r="B143" s="4" t="s">
        <v>259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15" thickBot="1">
      <c r="A144" s="16" t="s">
        <v>296</v>
      </c>
      <c r="B144" s="4" t="s">
        <v>28</v>
      </c>
      <c r="C144" s="9" t="s">
        <v>258</v>
      </c>
      <c r="D144" s="9"/>
      <c r="E144" s="9"/>
      <c r="F144" s="9" t="s">
        <v>8</v>
      </c>
      <c r="G144" s="14">
        <f>Свод!AW10</f>
        <v>0</v>
      </c>
      <c r="H144" s="15"/>
      <c r="I144" s="15"/>
      <c r="J144" s="15"/>
    </row>
    <row r="145" spans="1:10" ht="27" thickBot="1">
      <c r="A145" s="16" t="s">
        <v>297</v>
      </c>
      <c r="B145" s="4" t="s">
        <v>290</v>
      </c>
      <c r="C145" s="9" t="s">
        <v>291</v>
      </c>
      <c r="D145" s="9"/>
      <c r="E145" s="9"/>
      <c r="F145" s="9"/>
      <c r="G145" s="14"/>
      <c r="H145" s="15"/>
      <c r="I145" s="15"/>
      <c r="J145" s="15"/>
    </row>
    <row r="146" spans="1:10" ht="15" thickBot="1">
      <c r="A146" s="16" t="s">
        <v>257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2.6" thickBot="1">
      <c r="A147" s="194" t="s">
        <v>81</v>
      </c>
      <c r="B147" s="4" t="s">
        <v>82</v>
      </c>
      <c r="C147" s="9">
        <v>26400</v>
      </c>
      <c r="D147" s="9" t="s">
        <v>8</v>
      </c>
      <c r="E147" s="147" t="s">
        <v>262</v>
      </c>
      <c r="F147" s="9" t="s">
        <v>8</v>
      </c>
      <c r="G147" s="65">
        <f>G149+G153+G158+G165</f>
        <v>6199622.5800000001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7" thickBot="1">
      <c r="A149" s="16" t="s">
        <v>114</v>
      </c>
      <c r="B149" s="4" t="s">
        <v>83</v>
      </c>
      <c r="C149" s="9">
        <v>26410</v>
      </c>
      <c r="D149" s="9" t="s">
        <v>8</v>
      </c>
      <c r="E149" s="147" t="s">
        <v>262</v>
      </c>
      <c r="F149" s="9" t="s">
        <v>8</v>
      </c>
      <c r="G149" s="62">
        <f>G151</f>
        <v>5138184.7300000004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" thickBot="1">
      <c r="A151" s="194" t="s">
        <v>84</v>
      </c>
      <c r="B151" s="4" t="s">
        <v>85</v>
      </c>
      <c r="C151" s="9">
        <v>26411</v>
      </c>
      <c r="D151" s="9" t="s">
        <v>8</v>
      </c>
      <c r="E151" s="147" t="s">
        <v>262</v>
      </c>
      <c r="F151" s="9" t="s">
        <v>8</v>
      </c>
      <c r="G151" s="87">
        <f>Свод!Q10+Свод!M10+Свод!D10-Свод!AT10+Свод!N10</f>
        <v>5138184.7300000004</v>
      </c>
      <c r="H151" s="4"/>
      <c r="I151" s="4"/>
      <c r="J151" s="4"/>
    </row>
    <row r="152" spans="1:10" ht="16.2" thickBot="1">
      <c r="A152" s="194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7" thickBot="1">
      <c r="A153" s="194" t="s">
        <v>88</v>
      </c>
      <c r="B153" s="4" t="s">
        <v>89</v>
      </c>
      <c r="C153" s="9">
        <v>26420</v>
      </c>
      <c r="D153" s="9" t="s">
        <v>8</v>
      </c>
      <c r="E153" s="147" t="s">
        <v>262</v>
      </c>
      <c r="F153" s="9" t="s">
        <v>8</v>
      </c>
      <c r="G153" s="61">
        <f>G155</f>
        <v>825984.69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8"/>
      <c r="H154" s="5"/>
      <c r="I154" s="5"/>
      <c r="J154" s="5"/>
    </row>
    <row r="155" spans="1:10" ht="15" thickBot="1">
      <c r="A155" s="194" t="s">
        <v>90</v>
      </c>
      <c r="B155" s="4" t="s">
        <v>85</v>
      </c>
      <c r="C155" s="9">
        <v>26421</v>
      </c>
      <c r="D155" s="9" t="s">
        <v>8</v>
      </c>
      <c r="E155" s="147" t="s">
        <v>262</v>
      </c>
      <c r="F155" s="9" t="s">
        <v>8</v>
      </c>
      <c r="G155" s="89">
        <f>Свод!AA10+Свод!AB10+Свод!AE10-Свод!AU10+Свод!AF10</f>
        <v>825984.69</v>
      </c>
      <c r="H155" s="4"/>
      <c r="I155" s="4"/>
      <c r="J155" s="4"/>
    </row>
    <row r="156" spans="1:10" ht="15" thickBot="1">
      <c r="A156" s="194"/>
      <c r="B156" s="4" t="s">
        <v>28</v>
      </c>
      <c r="C156" s="9" t="s">
        <v>261</v>
      </c>
      <c r="D156" s="9"/>
      <c r="E156" s="9"/>
      <c r="F156" s="9" t="s">
        <v>8</v>
      </c>
      <c r="G156" s="89"/>
      <c r="H156" s="4"/>
      <c r="I156" s="4"/>
      <c r="J156" s="4"/>
    </row>
    <row r="157" spans="1:10" ht="16.2" thickBot="1">
      <c r="A157" s="194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9.4" thickBot="1">
      <c r="A158" s="194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Свод!AI10</f>
        <v>0</v>
      </c>
      <c r="H158" s="4"/>
      <c r="I158" s="4"/>
      <c r="J158" s="4"/>
    </row>
    <row r="159" spans="1:10" ht="15" thickBot="1">
      <c r="A159" s="194" t="s">
        <v>298</v>
      </c>
      <c r="B159" s="4" t="s">
        <v>28</v>
      </c>
      <c r="C159" s="9" t="s">
        <v>260</v>
      </c>
      <c r="D159" s="9"/>
      <c r="E159" s="9"/>
      <c r="F159" s="9" t="s">
        <v>8</v>
      </c>
      <c r="G159" s="89"/>
      <c r="H159" s="4"/>
      <c r="I159" s="4"/>
      <c r="J159" s="4"/>
    </row>
    <row r="160" spans="1:10" ht="27" thickBot="1">
      <c r="A160" s="194" t="s">
        <v>299</v>
      </c>
      <c r="B160" s="4" t="s">
        <v>290</v>
      </c>
      <c r="C160" s="9" t="s">
        <v>294</v>
      </c>
      <c r="D160" s="9"/>
      <c r="E160" s="9"/>
      <c r="F160" s="9"/>
      <c r="G160" s="89"/>
      <c r="H160" s="4"/>
      <c r="I160" s="4"/>
      <c r="J160" s="4"/>
    </row>
    <row r="161" spans="1:10" ht="15" thickBot="1">
      <c r="A161" s="194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" thickBot="1">
      <c r="A163" s="194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6.2" thickBot="1">
      <c r="A164" s="194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" thickBot="1">
      <c r="A165" s="194" t="s">
        <v>98</v>
      </c>
      <c r="B165" s="4" t="s">
        <v>99</v>
      </c>
      <c r="C165" s="9">
        <v>26450</v>
      </c>
      <c r="D165" s="9" t="s">
        <v>8</v>
      </c>
      <c r="E165" s="147" t="s">
        <v>262</v>
      </c>
      <c r="F165" s="9" t="s">
        <v>8</v>
      </c>
      <c r="G165" s="62">
        <f>G171</f>
        <v>235453.16</v>
      </c>
      <c r="H165" s="4"/>
      <c r="I165" s="4"/>
      <c r="J165" s="4"/>
    </row>
    <row r="166" spans="1:10" ht="15" thickBot="1">
      <c r="A166" s="6"/>
    </row>
    <row r="167" spans="1:10" ht="15.75" customHeight="1" thickBot="1">
      <c r="A167" s="316" t="s">
        <v>71</v>
      </c>
      <c r="B167" s="314" t="s">
        <v>0</v>
      </c>
      <c r="C167" s="314" t="s">
        <v>72</v>
      </c>
      <c r="D167" s="314" t="s">
        <v>73</v>
      </c>
      <c r="E167" s="314" t="s">
        <v>254</v>
      </c>
      <c r="F167" s="146"/>
      <c r="G167" s="312" t="s">
        <v>5</v>
      </c>
      <c r="H167" s="313"/>
      <c r="I167" s="313"/>
      <c r="J167" s="313"/>
    </row>
    <row r="168" spans="1:10" ht="79.8" thickBot="1">
      <c r="A168" s="317"/>
      <c r="B168" s="315"/>
      <c r="C168" s="315"/>
      <c r="D168" s="315"/>
      <c r="E168" s="315"/>
      <c r="F168" s="194" t="s">
        <v>292</v>
      </c>
      <c r="G168" s="238" t="s">
        <v>347</v>
      </c>
      <c r="H168" s="238" t="s">
        <v>345</v>
      </c>
      <c r="I168" s="238" t="s">
        <v>344</v>
      </c>
      <c r="J168" s="3" t="s">
        <v>6</v>
      </c>
    </row>
    <row r="169" spans="1:10" ht="15" thickBot="1">
      <c r="A169" s="194">
        <v>1</v>
      </c>
      <c r="B169" s="194">
        <v>2</v>
      </c>
      <c r="C169" s="194">
        <v>3</v>
      </c>
      <c r="D169" s="194">
        <v>4</v>
      </c>
      <c r="E169" s="194"/>
      <c r="F169" s="194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" thickBot="1">
      <c r="A171" s="194" t="s">
        <v>300</v>
      </c>
      <c r="B171" s="4" t="s">
        <v>85</v>
      </c>
      <c r="C171" s="9">
        <v>26451</v>
      </c>
      <c r="D171" s="9" t="s">
        <v>8</v>
      </c>
      <c r="E171" s="147" t="s">
        <v>262</v>
      </c>
      <c r="F171" s="9" t="s">
        <v>8</v>
      </c>
      <c r="G171" s="87">
        <f>Свод!AL10+Свод!AN10-Свод!AV10+Свод!AX10</f>
        <v>235453.16</v>
      </c>
      <c r="H171" s="4"/>
      <c r="I171" s="4"/>
      <c r="J171" s="4"/>
    </row>
    <row r="172" spans="1:10" ht="15" thickBot="1">
      <c r="A172" s="194" t="s">
        <v>301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7" thickBot="1">
      <c r="A173" s="194" t="s">
        <v>302</v>
      </c>
      <c r="B173" s="4" t="s">
        <v>290</v>
      </c>
      <c r="C173" s="9" t="s">
        <v>295</v>
      </c>
      <c r="D173" s="9"/>
      <c r="E173" s="9"/>
      <c r="F173" s="9"/>
      <c r="G173" s="87"/>
      <c r="H173" s="4"/>
      <c r="I173" s="4"/>
      <c r="J173" s="4"/>
    </row>
    <row r="174" spans="1:10" ht="15" thickBot="1">
      <c r="A174" s="194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2.6" thickBot="1">
      <c r="A175" s="194" t="s">
        <v>102</v>
      </c>
      <c r="B175" s="4" t="s">
        <v>103</v>
      </c>
      <c r="C175" s="9">
        <v>26500</v>
      </c>
      <c r="D175" s="9" t="s">
        <v>8</v>
      </c>
      <c r="E175" s="147" t="s">
        <v>262</v>
      </c>
      <c r="F175" s="9" t="s">
        <v>8</v>
      </c>
      <c r="G175" s="62">
        <f>G147</f>
        <v>6199622.5800000001</v>
      </c>
      <c r="H175" s="4"/>
      <c r="I175" s="4"/>
      <c r="J175" s="4"/>
    </row>
    <row r="176" spans="1:10" ht="15" thickBot="1">
      <c r="A176" s="16" t="s">
        <v>248</v>
      </c>
      <c r="B176" s="4" t="s">
        <v>104</v>
      </c>
      <c r="C176" s="9" t="s">
        <v>247</v>
      </c>
      <c r="D176" s="11">
        <v>2024</v>
      </c>
      <c r="E176" s="147" t="s">
        <v>262</v>
      </c>
      <c r="F176" s="9" t="s">
        <v>8</v>
      </c>
      <c r="G176" s="62">
        <f>G175</f>
        <v>6199622.5800000001</v>
      </c>
      <c r="H176" s="4"/>
      <c r="I176" s="4"/>
      <c r="J176" s="4"/>
    </row>
    <row r="177" spans="1:10" ht="40.200000000000003" thickBot="1">
      <c r="A177" s="194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185</v>
      </c>
    </row>
    <row r="182" spans="1:10">
      <c r="A182" s="7" t="s">
        <v>108</v>
      </c>
    </row>
    <row r="183" spans="1:10">
      <c r="A183" s="7"/>
    </row>
    <row r="184" spans="1:10">
      <c r="A184" s="7" t="s">
        <v>187</v>
      </c>
      <c r="B184" s="76"/>
    </row>
    <row r="185" spans="1:10">
      <c r="A185" s="7" t="s">
        <v>186</v>
      </c>
    </row>
    <row r="186" spans="1:10">
      <c r="A186" s="7" t="str">
        <f>D8</f>
        <v>"22"ноября 2024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37</vt:i4>
      </vt:variant>
    </vt:vector>
  </HeadingPairs>
  <TitlesOfParts>
    <vt:vector size="37" baseType="lpstr">
      <vt:lpstr>Свод</vt:lpstr>
      <vt:lpstr>Азов</vt:lpstr>
      <vt:lpstr>Вольн</vt:lpstr>
      <vt:lpstr>З-ленин</vt:lpstr>
      <vt:lpstr>ЗаречКТ</vt:lpstr>
      <vt:lpstr>Зареч</vt:lpstr>
      <vt:lpstr>Изум</vt:lpstr>
      <vt:lpstr>Кондр</vt:lpstr>
      <vt:lpstr>Крым</vt:lpstr>
      <vt:lpstr>Лобан</vt:lpstr>
      <vt:lpstr>Луган</vt:lpstr>
      <vt:lpstr>Майск</vt:lpstr>
      <vt:lpstr>МайскКТ</vt:lpstr>
      <vt:lpstr>Масл</vt:lpstr>
      <vt:lpstr>Медвед</vt:lpstr>
      <vt:lpstr>Мирн</vt:lpstr>
      <vt:lpstr>Мартын</vt:lpstr>
      <vt:lpstr>Н-крым</vt:lpstr>
      <vt:lpstr>Н-степ</vt:lpstr>
      <vt:lpstr>Овощ</vt:lpstr>
      <vt:lpstr>Пахар</vt:lpstr>
      <vt:lpstr>Побед</vt:lpstr>
      <vt:lpstr>Прост</vt:lpstr>
      <vt:lpstr>Роск</vt:lpstr>
      <vt:lpstr>Рощин</vt:lpstr>
      <vt:lpstr>Светл</vt:lpstr>
      <vt:lpstr>Солен</vt:lpstr>
      <vt:lpstr>Стал</vt:lpstr>
      <vt:lpstr>Стеф</vt:lpstr>
      <vt:lpstr>Столб</vt:lpstr>
      <vt:lpstr>Табач</vt:lpstr>
      <vt:lpstr>Целин</vt:lpstr>
      <vt:lpstr>Чайк</vt:lpstr>
      <vt:lpstr>Ярков</vt:lpstr>
      <vt:lpstr>Яркопол</vt:lpstr>
      <vt:lpstr>Ясноп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User</cp:lastModifiedBy>
  <cp:lastPrinted>2024-11-21T09:23:16Z</cp:lastPrinted>
  <dcterms:created xsi:type="dcterms:W3CDTF">2019-05-20T08:14:48Z</dcterms:created>
  <dcterms:modified xsi:type="dcterms:W3CDTF">2024-11-21T09:23:44Z</dcterms:modified>
</cp:coreProperties>
</file>