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8775" tabRatio="956"/>
  </bookViews>
  <sheets>
    <sheet name="Свод" sheetId="2" r:id="rId1"/>
    <sheet name="Азов" sheetId="1" r:id="rId2"/>
    <sheet name="Вольн" sheetId="3" r:id="rId3"/>
    <sheet name="З-ленин" sheetId="4" r:id="rId4"/>
    <sheet name="ЗаречКТ" sheetId="6" r:id="rId5"/>
    <sheet name="Зареч" sheetId="7" r:id="rId6"/>
    <sheet name="Изум" sheetId="8" r:id="rId7"/>
    <sheet name="Кондр" sheetId="9" r:id="rId8"/>
    <sheet name="Крым" sheetId="10" r:id="rId9"/>
    <sheet name="Лобан" sheetId="11" r:id="rId10"/>
    <sheet name="Луган" sheetId="12" r:id="rId11"/>
    <sheet name="Майск" sheetId="13" r:id="rId12"/>
    <sheet name="МайскКТ" sheetId="14" r:id="rId13"/>
    <sheet name="Масл" sheetId="15" r:id="rId14"/>
    <sheet name="Медвед" sheetId="16" r:id="rId15"/>
    <sheet name="Мирн" sheetId="17" r:id="rId16"/>
    <sheet name="Н-крым" sheetId="19" r:id="rId17"/>
    <sheet name="Н-степ" sheetId="20" r:id="rId18"/>
    <sheet name="Овощ" sheetId="21" r:id="rId19"/>
    <sheet name="Пахар" sheetId="22" r:id="rId20"/>
    <sheet name="Побед" sheetId="23" r:id="rId21"/>
    <sheet name="Прост" sheetId="24" r:id="rId22"/>
    <sheet name="Роск" sheetId="25" r:id="rId23"/>
    <sheet name="Рощин" sheetId="26" r:id="rId24"/>
    <sheet name="Светл" sheetId="27" r:id="rId25"/>
    <sheet name="Солен" sheetId="28" r:id="rId26"/>
    <sheet name="Стал" sheetId="29" r:id="rId27"/>
    <sheet name="Столб" sheetId="31" r:id="rId28"/>
    <sheet name="Табач" sheetId="32" r:id="rId29"/>
    <sheet name="Целин" sheetId="33" r:id="rId30"/>
    <sheet name="Чайк" sheetId="34" r:id="rId31"/>
    <sheet name="Ярков" sheetId="35" r:id="rId32"/>
    <sheet name="Яркопол" sheetId="36" r:id="rId33"/>
    <sheet name="Ясноп" sheetId="37" r:id="rId34"/>
    <sheet name="Лист1" sheetId="38" r:id="rId35"/>
  </sheets>
  <calcPr calcId="125725"/>
</workbook>
</file>

<file path=xl/calcChain.xml><?xml version="1.0" encoding="utf-8"?>
<calcChain xmlns="http://schemas.openxmlformats.org/spreadsheetml/2006/main">
  <c r="K4" i="2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"/>
  <c r="FR15"/>
  <c r="GB8" l="1"/>
  <c r="GB33" l="1"/>
  <c r="FZ31"/>
  <c r="GB22"/>
  <c r="GB5"/>
  <c r="GB4"/>
  <c r="GB12"/>
  <c r="GB24"/>
  <c r="R15"/>
  <c r="S15"/>
  <c r="T15"/>
  <c r="H155" i="12" l="1"/>
  <c r="H176" s="1"/>
  <c r="G49"/>
  <c r="G47" s="1"/>
  <c r="G32" s="1"/>
  <c r="G110"/>
  <c r="G107" s="1"/>
  <c r="H153" l="1"/>
  <c r="H147" s="1"/>
  <c r="H175" s="1"/>
  <c r="G61"/>
  <c r="M138" s="1"/>
  <c r="H138"/>
  <c r="M139" s="1"/>
  <c r="GB23" i="2"/>
  <c r="GB18"/>
  <c r="GB15"/>
  <c r="GB3"/>
  <c r="GB34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"/>
  <c r="G172" i="35"/>
  <c r="F51"/>
  <c r="AP36" i="2" l="1"/>
  <c r="F110" i="6" l="1"/>
  <c r="F110" i="9"/>
  <c r="F110" i="10"/>
  <c r="F110" i="11"/>
  <c r="F110" i="13"/>
  <c r="F110" i="14"/>
  <c r="F110" i="20"/>
  <c r="F110" i="21"/>
  <c r="F110" i="27"/>
  <c r="F110" i="28"/>
  <c r="F110" i="29"/>
  <c r="F110" i="31"/>
  <c r="F110" i="32"/>
  <c r="F110" i="34"/>
  <c r="BC4" i="2"/>
  <c r="FY4" l="1"/>
  <c r="FY5"/>
  <c r="FY6"/>
  <c r="FY7"/>
  <c r="FY8"/>
  <c r="FY9"/>
  <c r="FY10"/>
  <c r="FY11"/>
  <c r="FY12"/>
  <c r="FY13"/>
  <c r="FY14"/>
  <c r="FY15"/>
  <c r="FY16"/>
  <c r="FY17"/>
  <c r="FY18"/>
  <c r="FY19"/>
  <c r="FY20"/>
  <c r="FY21"/>
  <c r="FY22"/>
  <c r="FY23"/>
  <c r="FY24"/>
  <c r="FY25"/>
  <c r="FY26"/>
  <c r="FY27"/>
  <c r="FY28"/>
  <c r="FY29"/>
  <c r="FY30"/>
  <c r="FY31"/>
  <c r="FY32"/>
  <c r="FY33"/>
  <c r="FY34"/>
  <c r="FY35"/>
  <c r="FY3"/>
  <c r="BC5" l="1"/>
  <c r="BC6"/>
  <c r="BC7"/>
  <c r="BC8"/>
  <c r="BC9"/>
  <c r="BC10"/>
  <c r="BC11"/>
  <c r="BC12"/>
  <c r="BC13"/>
  <c r="BC14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3"/>
  <c r="BB4"/>
  <c r="F129" i="4"/>
  <c r="G144" s="1"/>
  <c r="F129" i="6"/>
  <c r="G144" s="1"/>
  <c r="F129" i="7"/>
  <c r="F129" i="8"/>
  <c r="G144" s="1"/>
  <c r="F129" i="9"/>
  <c r="F129" i="10"/>
  <c r="G144" s="1"/>
  <c r="F129" i="11"/>
  <c r="F129" i="12"/>
  <c r="F129" i="13"/>
  <c r="G144" s="1"/>
  <c r="F129" i="14"/>
  <c r="G144" s="1"/>
  <c r="F129" i="15"/>
  <c r="G144" s="1"/>
  <c r="F129" i="16"/>
  <c r="F129" i="17"/>
  <c r="F129" i="19"/>
  <c r="G144" s="1"/>
  <c r="F129" i="20"/>
  <c r="F129" i="21"/>
  <c r="F129" i="22"/>
  <c r="F129" i="23"/>
  <c r="F129" i="24"/>
  <c r="F129" i="25"/>
  <c r="F129" i="26"/>
  <c r="F129" i="27"/>
  <c r="F129" i="28"/>
  <c r="F129" i="29"/>
  <c r="F129" i="31"/>
  <c r="F129" i="32"/>
  <c r="F129" i="33"/>
  <c r="F129" i="34"/>
  <c r="F130" i="35"/>
  <c r="F129" i="36"/>
  <c r="F129" i="37"/>
  <c r="AZ15" i="2"/>
  <c r="F127" i="14" l="1"/>
  <c r="F127" i="15"/>
  <c r="F127" i="8"/>
  <c r="F128" i="35"/>
  <c r="G145"/>
  <c r="F127" i="31"/>
  <c r="G144"/>
  <c r="F127" i="26"/>
  <c r="G144"/>
  <c r="F127" i="22"/>
  <c r="G144"/>
  <c r="F127" i="17"/>
  <c r="G144"/>
  <c r="F127" i="9"/>
  <c r="G144"/>
  <c r="F127" i="36"/>
  <c r="G144"/>
  <c r="F127" i="32"/>
  <c r="G144"/>
  <c r="F127" i="27"/>
  <c r="G144"/>
  <c r="F127" i="23"/>
  <c r="G144"/>
  <c r="F127" i="37"/>
  <c r="G144"/>
  <c r="F127" i="33"/>
  <c r="G144"/>
  <c r="F127" i="28"/>
  <c r="G144"/>
  <c r="F127" i="24"/>
  <c r="G144"/>
  <c r="F127" i="20"/>
  <c r="G144"/>
  <c r="F127" i="11"/>
  <c r="G144"/>
  <c r="F127" i="7"/>
  <c r="G144"/>
  <c r="F127" i="34"/>
  <c r="G144"/>
  <c r="F127" i="29"/>
  <c r="G144"/>
  <c r="F127" i="25"/>
  <c r="G144"/>
  <c r="F127" i="21"/>
  <c r="G144"/>
  <c r="F127" i="16"/>
  <c r="G144"/>
  <c r="F127" i="12"/>
  <c r="G144"/>
  <c r="F127" i="13"/>
  <c r="F127" i="10"/>
  <c r="F127" i="19"/>
  <c r="F127" i="6"/>
  <c r="F127" i="4"/>
  <c r="F129" i="1"/>
  <c r="F127" l="1"/>
  <c r="G144"/>
  <c r="F129" i="3"/>
  <c r="G144" s="1"/>
  <c r="BB36" i="2"/>
  <c r="F127" i="3" l="1"/>
  <c r="GQ8" i="2"/>
  <c r="GL8"/>
  <c r="L4" l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J36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L3"/>
  <c r="J3"/>
  <c r="FX36" l="1"/>
  <c r="FX23"/>
  <c r="GC36"/>
  <c r="GD36"/>
  <c r="GB36"/>
  <c r="GA36"/>
  <c r="F118" i="35" l="1"/>
  <c r="BW36" i="2"/>
  <c r="FW28"/>
  <c r="FV28"/>
  <c r="F117" i="37"/>
  <c r="F117" i="36"/>
  <c r="F117" i="34" l="1"/>
  <c r="F117" i="33"/>
  <c r="F117" i="32"/>
  <c r="F117" i="31"/>
  <c r="F117" i="29"/>
  <c r="F117" i="28"/>
  <c r="F117" i="27"/>
  <c r="F117" i="26"/>
  <c r="F117" i="25"/>
  <c r="F117" i="24"/>
  <c r="F117" i="23"/>
  <c r="F117" i="22"/>
  <c r="F117" i="21"/>
  <c r="F117" i="20"/>
  <c r="F117" i="19"/>
  <c r="F117" i="17"/>
  <c r="F117" i="16"/>
  <c r="F117" i="15"/>
  <c r="F117" i="14"/>
  <c r="F117" i="13"/>
  <c r="F117" i="12"/>
  <c r="F117" i="11"/>
  <c r="F117" i="10"/>
  <c r="F117" i="9"/>
  <c r="F117" i="8"/>
  <c r="F117" i="7"/>
  <c r="F117" i="6"/>
  <c r="F117" i="4"/>
  <c r="F117" i="3"/>
  <c r="F117" i="1" l="1"/>
  <c r="F54" i="3"/>
  <c r="F54" i="4"/>
  <c r="F54" i="6"/>
  <c r="F54" i="7"/>
  <c r="F54" i="8"/>
  <c r="F54" i="9"/>
  <c r="F54" i="10"/>
  <c r="F54" i="11"/>
  <c r="F54" i="12"/>
  <c r="F54" i="13"/>
  <c r="F54" i="14" l="1"/>
  <c r="F54" i="15"/>
  <c r="F54" i="16"/>
  <c r="F54" i="17"/>
  <c r="F54" i="19"/>
  <c r="F54" i="20"/>
  <c r="F54" i="21"/>
  <c r="F54" i="22"/>
  <c r="F54" i="23"/>
  <c r="F54" i="24"/>
  <c r="F54" i="25"/>
  <c r="F54" i="26"/>
  <c r="F54" i="27"/>
  <c r="F54" i="28"/>
  <c r="F54" i="29"/>
  <c r="F54" i="31"/>
  <c r="F50" i="32"/>
  <c r="F54"/>
  <c r="F54" i="33"/>
  <c r="F54" i="34"/>
  <c r="F55" i="35"/>
  <c r="F54" i="36"/>
  <c r="F54" i="37"/>
  <c r="F54" i="1" l="1"/>
  <c r="FW36" i="2" l="1"/>
  <c r="FV36"/>
  <c r="GN28"/>
  <c r="BQ36"/>
  <c r="BP36"/>
  <c r="AZ36" l="1"/>
  <c r="AZ28"/>
  <c r="G142" i="1" l="1"/>
  <c r="AW36" i="2"/>
  <c r="AJ36" l="1"/>
  <c r="HD36" l="1"/>
  <c r="GS36"/>
  <c r="GT36"/>
  <c r="GU36"/>
  <c r="GV36"/>
  <c r="GW36"/>
  <c r="GX36"/>
  <c r="GY36"/>
  <c r="GZ36"/>
  <c r="HA36"/>
  <c r="HB36"/>
  <c r="FR36"/>
  <c r="FS36"/>
  <c r="FT36"/>
  <c r="BX36"/>
  <c r="CD36"/>
  <c r="CE36"/>
  <c r="CF36"/>
  <c r="CG36"/>
  <c r="CH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N36" s="1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EW36"/>
  <c r="EX36"/>
  <c r="EY36"/>
  <c r="EZ36"/>
  <c r="FA36"/>
  <c r="FB36"/>
  <c r="FU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"/>
  <c r="H176" i="11" l="1"/>
  <c r="H155"/>
  <c r="H153" s="1"/>
  <c r="H147" s="1"/>
  <c r="G110"/>
  <c r="G107" s="1"/>
  <c r="G61" s="1"/>
  <c r="G40"/>
  <c r="G49"/>
  <c r="G47" s="1"/>
  <c r="G32" l="1"/>
  <c r="H138"/>
  <c r="H175"/>
  <c r="AC4" i="2" l="1"/>
  <c r="AD4"/>
  <c r="AC5"/>
  <c r="AD5"/>
  <c r="AC6"/>
  <c r="AD6"/>
  <c r="AC7"/>
  <c r="AD7"/>
  <c r="AC8"/>
  <c r="AD8"/>
  <c r="AC9"/>
  <c r="AD9"/>
  <c r="AC10"/>
  <c r="AD10"/>
  <c r="AC11"/>
  <c r="AD11"/>
  <c r="AC12"/>
  <c r="AD12"/>
  <c r="AC13"/>
  <c r="AD13"/>
  <c r="AC14"/>
  <c r="AD14"/>
  <c r="AC15"/>
  <c r="AD15"/>
  <c r="AC16"/>
  <c r="AD16"/>
  <c r="AC17"/>
  <c r="AD17"/>
  <c r="AC18"/>
  <c r="AD18"/>
  <c r="AC19"/>
  <c r="AD19"/>
  <c r="AC20"/>
  <c r="AD20"/>
  <c r="AC21"/>
  <c r="AD21"/>
  <c r="AC22"/>
  <c r="AD22"/>
  <c r="AC23"/>
  <c r="AD23"/>
  <c r="AC24"/>
  <c r="AD24"/>
  <c r="AC25"/>
  <c r="AD25"/>
  <c r="AC26"/>
  <c r="AD26"/>
  <c r="AC27"/>
  <c r="AD27"/>
  <c r="AC28"/>
  <c r="AD28"/>
  <c r="AC29"/>
  <c r="AD29"/>
  <c r="AC30"/>
  <c r="AD30"/>
  <c r="AC31"/>
  <c r="AD31"/>
  <c r="AC32"/>
  <c r="AD32"/>
  <c r="AC33"/>
  <c r="AD33"/>
  <c r="AC34"/>
  <c r="AD34"/>
  <c r="AC35"/>
  <c r="AD35"/>
  <c r="AD3"/>
  <c r="AC3"/>
  <c r="AF19" l="1"/>
  <c r="FU36"/>
  <c r="AA36" s="1"/>
  <c r="AF5"/>
  <c r="F110" i="4" s="1"/>
  <c r="E4" i="2"/>
  <c r="F66" i="3" s="1"/>
  <c r="E5" i="2"/>
  <c r="F66" i="4" s="1"/>
  <c r="E6" i="2"/>
  <c r="F66" i="6" s="1"/>
  <c r="E7" i="2"/>
  <c r="E8"/>
  <c r="E9"/>
  <c r="F66" i="9" s="1"/>
  <c r="E10" i="2"/>
  <c r="F66" i="10" s="1"/>
  <c r="E11" i="2"/>
  <c r="F66" i="11" s="1"/>
  <c r="E12" i="2"/>
  <c r="F66" i="12" s="1"/>
  <c r="E13" i="2"/>
  <c r="F66" i="13" s="1"/>
  <c r="E14" i="2"/>
  <c r="F66" i="14" s="1"/>
  <c r="E15" i="2"/>
  <c r="F66" i="15" s="1"/>
  <c r="E16" i="2"/>
  <c r="E17"/>
  <c r="F66" i="17" s="1"/>
  <c r="E18" i="2"/>
  <c r="F66" i="19" s="1"/>
  <c r="E19" i="2"/>
  <c r="F66" i="20" s="1"/>
  <c r="E20" i="2"/>
  <c r="F66" i="21" s="1"/>
  <c r="E21" i="2"/>
  <c r="F66" i="22" s="1"/>
  <c r="E22" i="2"/>
  <c r="F66" i="23" s="1"/>
  <c r="E23" i="2"/>
  <c r="F66" i="24" s="1"/>
  <c r="E24" i="2"/>
  <c r="F66" i="25" s="1"/>
  <c r="E25" i="2"/>
  <c r="F66" i="26" s="1"/>
  <c r="E26" i="2"/>
  <c r="F66" i="27" s="1"/>
  <c r="E27" i="2"/>
  <c r="F66" i="28" s="1"/>
  <c r="E28" i="2"/>
  <c r="F66" i="29" s="1"/>
  <c r="E29" i="2"/>
  <c r="F66" i="31" s="1"/>
  <c r="E30" i="2"/>
  <c r="F66" i="32" s="1"/>
  <c r="E31" i="2"/>
  <c r="F66" i="33" s="1"/>
  <c r="E32" i="2"/>
  <c r="F66" i="34" s="1"/>
  <c r="E33" i="2"/>
  <c r="E34"/>
  <c r="E35"/>
  <c r="F66" i="37" s="1"/>
  <c r="E3" i="2"/>
  <c r="F66" i="1" s="1"/>
  <c r="GL3" i="2"/>
  <c r="AB3" s="1"/>
  <c r="GL22"/>
  <c r="AB22" s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F106" i="29" s="1"/>
  <c r="F105" s="1"/>
  <c r="I29" i="2"/>
  <c r="I30"/>
  <c r="I31"/>
  <c r="I32"/>
  <c r="I33"/>
  <c r="I34"/>
  <c r="I35"/>
  <c r="I3"/>
  <c r="FN36"/>
  <c r="H176" i="29"/>
  <c r="H155"/>
  <c r="H153" s="1"/>
  <c r="H147" s="1"/>
  <c r="FN29" i="2"/>
  <c r="GM36"/>
  <c r="GO36"/>
  <c r="GL30"/>
  <c r="AB30" s="1"/>
  <c r="GQ34"/>
  <c r="AE34" s="1"/>
  <c r="F94" i="11"/>
  <c r="F95"/>
  <c r="GL4" i="2"/>
  <c r="AB4" s="1"/>
  <c r="GL5"/>
  <c r="AB5" s="1"/>
  <c r="GL6"/>
  <c r="AB6" s="1"/>
  <c r="GL7"/>
  <c r="AB7" s="1"/>
  <c r="AB8"/>
  <c r="GL9"/>
  <c r="AB9" s="1"/>
  <c r="GL10"/>
  <c r="AB10" s="1"/>
  <c r="GL11"/>
  <c r="AB11" s="1"/>
  <c r="GL12"/>
  <c r="AB12" s="1"/>
  <c r="GL13"/>
  <c r="AB13" s="1"/>
  <c r="GL14"/>
  <c r="AB14" s="1"/>
  <c r="GL15"/>
  <c r="AB15" s="1"/>
  <c r="GL16"/>
  <c r="AB16" s="1"/>
  <c r="GL17"/>
  <c r="AB17" s="1"/>
  <c r="GL18"/>
  <c r="AB18" s="1"/>
  <c r="GL19"/>
  <c r="AB19" s="1"/>
  <c r="GL20"/>
  <c r="AB20" s="1"/>
  <c r="GL21"/>
  <c r="AB21" s="1"/>
  <c r="GL23"/>
  <c r="AB23" s="1"/>
  <c r="GL24"/>
  <c r="AB24" s="1"/>
  <c r="GL25"/>
  <c r="AB25" s="1"/>
  <c r="GL26"/>
  <c r="AB26" s="1"/>
  <c r="GL27"/>
  <c r="AB27" s="1"/>
  <c r="GL28"/>
  <c r="AB28" s="1"/>
  <c r="GL29"/>
  <c r="AB29" s="1"/>
  <c r="GL31"/>
  <c r="AB31" s="1"/>
  <c r="GL32"/>
  <c r="AB32" s="1"/>
  <c r="GL33"/>
  <c r="AB33" s="1"/>
  <c r="GL34"/>
  <c r="GL35"/>
  <c r="AB35" s="1"/>
  <c r="G143" i="26"/>
  <c r="BV36" i="2"/>
  <c r="G115" i="29"/>
  <c r="G49"/>
  <c r="G47" s="1"/>
  <c r="G32" s="1"/>
  <c r="GQ28" i="2"/>
  <c r="AE28" s="1"/>
  <c r="G156" i="23"/>
  <c r="F121" i="26"/>
  <c r="F118" s="1"/>
  <c r="AK36" i="2"/>
  <c r="GQ4"/>
  <c r="AE4" s="1"/>
  <c r="GQ5"/>
  <c r="AE5" s="1"/>
  <c r="GQ6"/>
  <c r="AE6" s="1"/>
  <c r="GQ7"/>
  <c r="AE7" s="1"/>
  <c r="AE8"/>
  <c r="GQ9"/>
  <c r="AE9" s="1"/>
  <c r="GQ10"/>
  <c r="AE10" s="1"/>
  <c r="GQ11"/>
  <c r="AE11" s="1"/>
  <c r="GQ12"/>
  <c r="AE12" s="1"/>
  <c r="GQ13"/>
  <c r="AE13" s="1"/>
  <c r="GQ14"/>
  <c r="AE14" s="1"/>
  <c r="GQ15"/>
  <c r="AE15" s="1"/>
  <c r="GQ16"/>
  <c r="AE16" s="1"/>
  <c r="F110" i="16" s="1"/>
  <c r="GQ17" i="2"/>
  <c r="AE17" s="1"/>
  <c r="F110" i="17" s="1"/>
  <c r="GQ18" i="2"/>
  <c r="AE18" s="1"/>
  <c r="GQ19"/>
  <c r="AE19" s="1"/>
  <c r="GQ20"/>
  <c r="AE20" s="1"/>
  <c r="GQ21"/>
  <c r="AE21" s="1"/>
  <c r="GQ22"/>
  <c r="AE22" s="1"/>
  <c r="GQ23"/>
  <c r="AE23" s="1"/>
  <c r="GQ24"/>
  <c r="AE24" s="1"/>
  <c r="GQ25"/>
  <c r="AE25" s="1"/>
  <c r="GQ26"/>
  <c r="AE26" s="1"/>
  <c r="GQ27"/>
  <c r="AE27" s="1"/>
  <c r="GQ29"/>
  <c r="AE29" s="1"/>
  <c r="GQ31"/>
  <c r="AE31" s="1"/>
  <c r="GQ32"/>
  <c r="AE32"/>
  <c r="GQ33"/>
  <c r="AE33" s="1"/>
  <c r="GQ35"/>
  <c r="AE35" s="1"/>
  <c r="GQ3"/>
  <c r="AE3" s="1"/>
  <c r="HC36"/>
  <c r="GN36"/>
  <c r="GR36"/>
  <c r="S36"/>
  <c r="T36"/>
  <c r="BR36"/>
  <c r="BT36"/>
  <c r="BU36"/>
  <c r="FC36"/>
  <c r="FD36"/>
  <c r="FE36"/>
  <c r="FF36"/>
  <c r="FG36"/>
  <c r="FH36"/>
  <c r="FI36"/>
  <c r="FJ36"/>
  <c r="FK36"/>
  <c r="FL36"/>
  <c r="FM36"/>
  <c r="F96" i="6"/>
  <c r="F96" i="10"/>
  <c r="F96" i="14"/>
  <c r="F96" i="15"/>
  <c r="F96" i="22"/>
  <c r="F96" i="23"/>
  <c r="F96" i="31"/>
  <c r="AE74" i="2"/>
  <c r="AE75"/>
  <c r="F94" i="3"/>
  <c r="F94" i="4"/>
  <c r="F94" i="6"/>
  <c r="F94" i="7"/>
  <c r="F94" i="8"/>
  <c r="F94" i="9"/>
  <c r="F94" i="10"/>
  <c r="F94" i="12"/>
  <c r="F94" i="13"/>
  <c r="F94" i="14"/>
  <c r="F94" i="15"/>
  <c r="F94" i="16"/>
  <c r="F94" i="17"/>
  <c r="F94" i="19"/>
  <c r="F94" i="20"/>
  <c r="F94" i="21"/>
  <c r="F94" i="22"/>
  <c r="F94" i="23"/>
  <c r="F94" i="24"/>
  <c r="F94" i="25"/>
  <c r="F94" i="26"/>
  <c r="F94" i="27"/>
  <c r="F94" i="28"/>
  <c r="F94" i="29"/>
  <c r="F94" i="31"/>
  <c r="F94" i="32"/>
  <c r="F94" i="33"/>
  <c r="F94" i="34"/>
  <c r="F95" i="35"/>
  <c r="F94" i="36"/>
  <c r="F94" i="37"/>
  <c r="F94" i="1"/>
  <c r="I176" i="29"/>
  <c r="FZ36" i="2"/>
  <c r="I155" i="29"/>
  <c r="I153" s="1"/>
  <c r="I147" s="1"/>
  <c r="H110"/>
  <c r="H107" s="1"/>
  <c r="H61" s="1"/>
  <c r="G110"/>
  <c r="H49"/>
  <c r="H47" s="1"/>
  <c r="H32" s="1"/>
  <c r="DR82" i="2"/>
  <c r="F95" i="3"/>
  <c r="F95" i="4"/>
  <c r="F95" i="6"/>
  <c r="F95" i="7"/>
  <c r="F95" i="8"/>
  <c r="F95" i="9"/>
  <c r="F95" i="10"/>
  <c r="F95" i="12"/>
  <c r="F95" i="13"/>
  <c r="F95" i="14"/>
  <c r="F95" i="15"/>
  <c r="F95" i="16"/>
  <c r="F95" i="17"/>
  <c r="F95" i="19"/>
  <c r="F95" i="20"/>
  <c r="F95" i="21"/>
  <c r="F95" i="22"/>
  <c r="F95" i="23"/>
  <c r="F95" i="24"/>
  <c r="F95" i="25"/>
  <c r="F95" i="26"/>
  <c r="F95" i="27"/>
  <c r="F95" i="28"/>
  <c r="F95" i="29"/>
  <c r="F95" i="31"/>
  <c r="F95" i="32"/>
  <c r="F95" i="33"/>
  <c r="F95" i="34"/>
  <c r="F96" i="35"/>
  <c r="F95" i="36"/>
  <c r="F95" i="37"/>
  <c r="F95" i="1"/>
  <c r="FU4" i="2"/>
  <c r="AA4" s="1"/>
  <c r="FU5"/>
  <c r="AA5" s="1"/>
  <c r="FU6"/>
  <c r="AA6" s="1"/>
  <c r="FU7"/>
  <c r="AA7" s="1"/>
  <c r="FU8"/>
  <c r="AA8" s="1"/>
  <c r="FU9"/>
  <c r="AA9" s="1"/>
  <c r="FU10"/>
  <c r="AA10" s="1"/>
  <c r="FU11"/>
  <c r="AA11" s="1"/>
  <c r="FU12"/>
  <c r="AA12" s="1"/>
  <c r="FU13"/>
  <c r="FU14"/>
  <c r="AA14" s="1"/>
  <c r="FU15"/>
  <c r="AA15" s="1"/>
  <c r="FU16"/>
  <c r="AA16" s="1"/>
  <c r="FU17"/>
  <c r="FU18"/>
  <c r="AA18" s="1"/>
  <c r="FU19"/>
  <c r="AA19" s="1"/>
  <c r="FU20"/>
  <c r="AA20" s="1"/>
  <c r="FU21"/>
  <c r="AA21" s="1"/>
  <c r="FU22"/>
  <c r="AA22" s="1"/>
  <c r="FU23"/>
  <c r="AA23" s="1"/>
  <c r="FU24"/>
  <c r="AA24" s="1"/>
  <c r="FU25"/>
  <c r="AA25" s="1"/>
  <c r="FU26"/>
  <c r="AA26" s="1"/>
  <c r="FU27"/>
  <c r="AA27" s="1"/>
  <c r="FU28"/>
  <c r="AA28" s="1"/>
  <c r="FU29"/>
  <c r="AA29" s="1"/>
  <c r="FU30"/>
  <c r="AA30" s="1"/>
  <c r="FU31"/>
  <c r="AA31" s="1"/>
  <c r="FU32"/>
  <c r="AA32" s="1"/>
  <c r="FU33"/>
  <c r="AA33" s="1"/>
  <c r="FU34"/>
  <c r="AA34" s="1"/>
  <c r="FU35"/>
  <c r="AA35" s="1"/>
  <c r="AA3"/>
  <c r="AF35"/>
  <c r="F110" i="37" s="1"/>
  <c r="AF34" i="2"/>
  <c r="F110" i="36" s="1"/>
  <c r="AF33" i="2"/>
  <c r="F111" i="35" s="1"/>
  <c r="AF32" i="2"/>
  <c r="AF31"/>
  <c r="F110" i="33" s="1"/>
  <c r="AF30" i="2"/>
  <c r="AF29"/>
  <c r="AF28"/>
  <c r="AF27"/>
  <c r="AF26"/>
  <c r="AF25"/>
  <c r="F110" i="26" s="1"/>
  <c r="AF24" i="2"/>
  <c r="F110" i="25" s="1"/>
  <c r="AF23" i="2"/>
  <c r="F110" i="24" s="1"/>
  <c r="AF22" i="2"/>
  <c r="F110" i="23" s="1"/>
  <c r="AF21" i="2"/>
  <c r="F110" i="22" s="1"/>
  <c r="AF20" i="2"/>
  <c r="AF18"/>
  <c r="AF17"/>
  <c r="AF16"/>
  <c r="AF15"/>
  <c r="F110" i="15" s="1"/>
  <c r="AF14" i="2"/>
  <c r="AF13"/>
  <c r="AF12"/>
  <c r="F110" i="12" s="1"/>
  <c r="AF11" i="2"/>
  <c r="AF10"/>
  <c r="AF9"/>
  <c r="AF8"/>
  <c r="F110" i="8" s="1"/>
  <c r="AF7" i="2"/>
  <c r="F110" i="7" s="1"/>
  <c r="AF6" i="2"/>
  <c r="AF4"/>
  <c r="F110" i="3" s="1"/>
  <c r="AF3" i="2"/>
  <c r="F110" i="1" s="1"/>
  <c r="M36" i="2"/>
  <c r="F96" i="17"/>
  <c r="F96" i="20"/>
  <c r="F96" i="21"/>
  <c r="F96" i="24"/>
  <c r="F96" i="25"/>
  <c r="F96" i="28"/>
  <c r="F96" i="29"/>
  <c r="F96" i="32"/>
  <c r="F96" i="33"/>
  <c r="F96" i="36"/>
  <c r="F96" i="37"/>
  <c r="F106" i="13"/>
  <c r="F105" s="1"/>
  <c r="FN3" i="2"/>
  <c r="D3" s="1"/>
  <c r="G143" i="25"/>
  <c r="G143" i="24"/>
  <c r="G143" i="23"/>
  <c r="G143" i="21"/>
  <c r="G143" i="20"/>
  <c r="G143" i="19"/>
  <c r="G143" i="16"/>
  <c r="G143" i="15"/>
  <c r="G143" i="12"/>
  <c r="G143" i="11"/>
  <c r="G143" i="9"/>
  <c r="G143" i="8"/>
  <c r="G143" i="7"/>
  <c r="G143" i="4"/>
  <c r="G143" i="3"/>
  <c r="G143" i="1"/>
  <c r="G143" i="31"/>
  <c r="G143" i="33"/>
  <c r="G143" i="34"/>
  <c r="G144" i="35"/>
  <c r="G142" i="36"/>
  <c r="G143" i="37"/>
  <c r="AY36" i="2"/>
  <c r="BA36"/>
  <c r="BE74"/>
  <c r="F30" i="3"/>
  <c r="F30" i="6"/>
  <c r="F30" i="7"/>
  <c r="F30" i="8"/>
  <c r="F30" i="9"/>
  <c r="F30" i="10"/>
  <c r="F30" i="11"/>
  <c r="F30" i="12"/>
  <c r="F30" i="13"/>
  <c r="F30" i="14"/>
  <c r="F30" i="15"/>
  <c r="F30" i="16"/>
  <c r="F30" i="17"/>
  <c r="F30" i="19"/>
  <c r="F30" i="20"/>
  <c r="F30" i="21"/>
  <c r="F30" i="22"/>
  <c r="F30" i="23"/>
  <c r="F30" i="24"/>
  <c r="F30" i="25"/>
  <c r="F30" i="27"/>
  <c r="F30" i="28"/>
  <c r="F30" i="29"/>
  <c r="F30" i="31"/>
  <c r="F30" i="32"/>
  <c r="F30" i="33"/>
  <c r="F30" i="34"/>
  <c r="F30" i="35"/>
  <c r="F30" i="36"/>
  <c r="F30" i="37"/>
  <c r="F30" i="1"/>
  <c r="AB74" i="2"/>
  <c r="AC74"/>
  <c r="AC76" s="1"/>
  <c r="AB75"/>
  <c r="AB76" s="1"/>
  <c r="AC75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"/>
  <c r="F70" i="29"/>
  <c r="F68" s="1"/>
  <c r="V36" i="2"/>
  <c r="W36"/>
  <c r="F96" i="3"/>
  <c r="F96" i="4"/>
  <c r="F96" i="7"/>
  <c r="F96" i="8"/>
  <c r="F96" i="9"/>
  <c r="F96" i="11"/>
  <c r="F96" i="12"/>
  <c r="F96" i="19"/>
  <c r="F96" i="26"/>
  <c r="F96" i="27"/>
  <c r="F96" i="34"/>
  <c r="F97" i="35"/>
  <c r="F66" i="7"/>
  <c r="F67" i="35"/>
  <c r="FP36" i="2"/>
  <c r="FO36"/>
  <c r="F36"/>
  <c r="H3"/>
  <c r="F70" i="1" s="1"/>
  <c r="F68" s="1"/>
  <c r="G3" i="2"/>
  <c r="F65" i="1" s="1"/>
  <c r="G5" i="2"/>
  <c r="F65" i="4" s="1"/>
  <c r="H5" i="2"/>
  <c r="F70" i="4" s="1"/>
  <c r="F68" s="1"/>
  <c r="G6" i="2"/>
  <c r="F65" i="6" s="1"/>
  <c r="H6" i="2"/>
  <c r="F70" i="6" s="1"/>
  <c r="F68" s="1"/>
  <c r="G7" i="2"/>
  <c r="F65" i="7" s="1"/>
  <c r="H7" i="2"/>
  <c r="F70" i="7" s="1"/>
  <c r="F68" s="1"/>
  <c r="G8" i="2"/>
  <c r="H8"/>
  <c r="F70" i="8" s="1"/>
  <c r="F68" s="1"/>
  <c r="G9" i="2"/>
  <c r="F65" i="9" s="1"/>
  <c r="H9" i="2"/>
  <c r="F70" i="9" s="1"/>
  <c r="F68" s="1"/>
  <c r="G10" i="2"/>
  <c r="F65" i="10" s="1"/>
  <c r="H10" i="2"/>
  <c r="F70" i="10" s="1"/>
  <c r="F68" s="1"/>
  <c r="G11" i="2"/>
  <c r="F65" i="11" s="1"/>
  <c r="H11" i="2"/>
  <c r="F70" i="11" s="1"/>
  <c r="F68" s="1"/>
  <c r="G12" i="2"/>
  <c r="F65" i="12" s="1"/>
  <c r="H12" i="2"/>
  <c r="F70" i="12" s="1"/>
  <c r="F68" s="1"/>
  <c r="G13" i="2"/>
  <c r="F65" i="13" s="1"/>
  <c r="H13" i="2"/>
  <c r="F70" i="13" s="1"/>
  <c r="F68" s="1"/>
  <c r="G14" i="2"/>
  <c r="F65" i="14" s="1"/>
  <c r="H14" i="2"/>
  <c r="F70" i="14" s="1"/>
  <c r="F68" s="1"/>
  <c r="G15" i="2"/>
  <c r="F65" i="15" s="1"/>
  <c r="H15" i="2"/>
  <c r="F70" i="15" s="1"/>
  <c r="F68" s="1"/>
  <c r="G16" i="2"/>
  <c r="F65" i="16" s="1"/>
  <c r="H16" i="2"/>
  <c r="F70" i="16" s="1"/>
  <c r="F68" s="1"/>
  <c r="G17" i="2"/>
  <c r="F65" i="17" s="1"/>
  <c r="H17" i="2"/>
  <c r="F70" i="17" s="1"/>
  <c r="F68" s="1"/>
  <c r="G18" i="2"/>
  <c r="F65" i="19" s="1"/>
  <c r="H18" i="2"/>
  <c r="F70" i="19" s="1"/>
  <c r="F68" s="1"/>
  <c r="G19" i="2"/>
  <c r="F65" i="20" s="1"/>
  <c r="H19" i="2"/>
  <c r="F70" i="20" s="1"/>
  <c r="F68" s="1"/>
  <c r="G20" i="2"/>
  <c r="F65" i="21" s="1"/>
  <c r="H20" i="2"/>
  <c r="F70" i="21" s="1"/>
  <c r="F68" s="1"/>
  <c r="G21" i="2"/>
  <c r="F65" i="22" s="1"/>
  <c r="H21" i="2"/>
  <c r="F70" i="22" s="1"/>
  <c r="F68" s="1"/>
  <c r="G22" i="2"/>
  <c r="F65" i="23" s="1"/>
  <c r="H22" i="2"/>
  <c r="F70" i="23" s="1"/>
  <c r="F68" s="1"/>
  <c r="G23" i="2"/>
  <c r="F65" i="24" s="1"/>
  <c r="H23" i="2"/>
  <c r="F70" i="24" s="1"/>
  <c r="F68" s="1"/>
  <c r="G24" i="2"/>
  <c r="F65" i="25" s="1"/>
  <c r="H24" i="2"/>
  <c r="F70" i="25" s="1"/>
  <c r="F68" s="1"/>
  <c r="G25" i="2"/>
  <c r="F65" i="26" s="1"/>
  <c r="H25" i="2"/>
  <c r="F70" i="26" s="1"/>
  <c r="F68" s="1"/>
  <c r="G26" i="2"/>
  <c r="F65" i="27" s="1"/>
  <c r="H26" i="2"/>
  <c r="F70" i="27" s="1"/>
  <c r="F68" s="1"/>
  <c r="G27" i="2"/>
  <c r="F65" i="28" s="1"/>
  <c r="H27" i="2"/>
  <c r="F70" i="28" s="1"/>
  <c r="F68" s="1"/>
  <c r="G28" i="2"/>
  <c r="F65" i="29" s="1"/>
  <c r="H28" i="2"/>
  <c r="G29"/>
  <c r="F65" i="31" s="1"/>
  <c r="H29" i="2"/>
  <c r="F70" i="31" s="1"/>
  <c r="F68" s="1"/>
  <c r="G30" i="2"/>
  <c r="F65" i="32" s="1"/>
  <c r="H30" i="2"/>
  <c r="F70" i="32" s="1"/>
  <c r="F68" s="1"/>
  <c r="G31" i="2"/>
  <c r="F65" i="33" s="1"/>
  <c r="H31" i="2"/>
  <c r="F70" i="33" s="1"/>
  <c r="F68" s="1"/>
  <c r="G32" i="2"/>
  <c r="F65" i="34" s="1"/>
  <c r="H32" i="2"/>
  <c r="F70" i="34" s="1"/>
  <c r="F68" s="1"/>
  <c r="G33" i="2"/>
  <c r="F66" i="35" s="1"/>
  <c r="H33" i="2"/>
  <c r="F71" i="35" s="1"/>
  <c r="F69" s="1"/>
  <c r="G34" i="2"/>
  <c r="F65" i="36" s="1"/>
  <c r="H34" i="2"/>
  <c r="F70" i="36" s="1"/>
  <c r="F68" s="1"/>
  <c r="G35" i="2"/>
  <c r="F65" i="37" s="1"/>
  <c r="H35" i="2"/>
  <c r="F70" i="37" s="1"/>
  <c r="F68" s="1"/>
  <c r="H4" i="2"/>
  <c r="F70" i="3" s="1"/>
  <c r="F68" s="1"/>
  <c r="G4" i="2"/>
  <c r="G156" i="1"/>
  <c r="AG36" i="2"/>
  <c r="U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BO4"/>
  <c r="BO5"/>
  <c r="BO6"/>
  <c r="BO7"/>
  <c r="BO8"/>
  <c r="BO9"/>
  <c r="BO10"/>
  <c r="BO11"/>
  <c r="BO12"/>
  <c r="BO13"/>
  <c r="BO14"/>
  <c r="BO15"/>
  <c r="BO16"/>
  <c r="BO17"/>
  <c r="BO18"/>
  <c r="BO19"/>
  <c r="BO20"/>
  <c r="BO21"/>
  <c r="BO22"/>
  <c r="BO23"/>
  <c r="BO24"/>
  <c r="BO25"/>
  <c r="BO26"/>
  <c r="BO27"/>
  <c r="BO28"/>
  <c r="BO29"/>
  <c r="BO30"/>
  <c r="BO31"/>
  <c r="BO32"/>
  <c r="BO33"/>
  <c r="BO34"/>
  <c r="BO35"/>
  <c r="BO3"/>
  <c r="AM36"/>
  <c r="AA13"/>
  <c r="AA17"/>
  <c r="H176" i="4"/>
  <c r="H155"/>
  <c r="H153" s="1"/>
  <c r="H147" s="1"/>
  <c r="G115"/>
  <c r="G107" s="1"/>
  <c r="G61" s="1"/>
  <c r="G47"/>
  <c r="G32" s="1"/>
  <c r="FN4" i="2"/>
  <c r="D4" s="1"/>
  <c r="FN5"/>
  <c r="FN6"/>
  <c r="FN7"/>
  <c r="FN8"/>
  <c r="FN9"/>
  <c r="FN10"/>
  <c r="FN11"/>
  <c r="FN12"/>
  <c r="FN13"/>
  <c r="FN14"/>
  <c r="FN15"/>
  <c r="FN16"/>
  <c r="FN17"/>
  <c r="FN18"/>
  <c r="FN19"/>
  <c r="FN20"/>
  <c r="FN21"/>
  <c r="FN22"/>
  <c r="FN23"/>
  <c r="D23" s="1"/>
  <c r="FN24"/>
  <c r="FN25"/>
  <c r="FN26"/>
  <c r="FN27"/>
  <c r="FN28"/>
  <c r="D28" s="1"/>
  <c r="FN30"/>
  <c r="FN31"/>
  <c r="FN32"/>
  <c r="FN33"/>
  <c r="FN34"/>
  <c r="FN35"/>
  <c r="P36"/>
  <c r="G156" i="12"/>
  <c r="AS36" i="2"/>
  <c r="F50" i="33"/>
  <c r="F50" i="34"/>
  <c r="F50" i="35"/>
  <c r="F50" i="36"/>
  <c r="F50" i="37"/>
  <c r="F50" i="31"/>
  <c r="F50" i="29"/>
  <c r="F50" i="28"/>
  <c r="F50" i="27"/>
  <c r="F50" i="25"/>
  <c r="F50" i="24"/>
  <c r="F50" i="23"/>
  <c r="F50" i="22"/>
  <c r="F50" i="21"/>
  <c r="F50" i="20"/>
  <c r="F50" i="19"/>
  <c r="F50" i="17"/>
  <c r="F50" i="16"/>
  <c r="F50" i="15"/>
  <c r="F50" i="14"/>
  <c r="F50" i="13"/>
  <c r="F50" i="12"/>
  <c r="F50" i="11"/>
  <c r="F50" i="10"/>
  <c r="F50" i="9"/>
  <c r="F50" i="8"/>
  <c r="F50" i="7"/>
  <c r="F50" i="6"/>
  <c r="F50" i="4"/>
  <c r="F50" i="3"/>
  <c r="F50" i="1"/>
  <c r="F50" i="26"/>
  <c r="G156"/>
  <c r="AB34" i="2"/>
  <c r="AN36"/>
  <c r="BG36"/>
  <c r="BH36"/>
  <c r="BI36"/>
  <c r="BJ36"/>
  <c r="BK36"/>
  <c r="BL36"/>
  <c r="BM36"/>
  <c r="BN36"/>
  <c r="AI36"/>
  <c r="AL4"/>
  <c r="G171" i="3" s="1"/>
  <c r="G165" s="1"/>
  <c r="AL5" i="2"/>
  <c r="G171" i="4" s="1"/>
  <c r="G165" s="1"/>
  <c r="AL6" i="2"/>
  <c r="G171" i="6" s="1"/>
  <c r="G165" s="1"/>
  <c r="AL7" i="2"/>
  <c r="G171" i="7" s="1"/>
  <c r="G165" s="1"/>
  <c r="AL8" i="2"/>
  <c r="G171" i="8" s="1"/>
  <c r="G165" s="1"/>
  <c r="AL9" i="2"/>
  <c r="G171" i="9" s="1"/>
  <c r="G165" s="1"/>
  <c r="AL10" i="2"/>
  <c r="G171" i="10" s="1"/>
  <c r="G165" s="1"/>
  <c r="AL11" i="2"/>
  <c r="F44" i="11" s="1"/>
  <c r="AL12" i="2"/>
  <c r="G171" i="12" s="1"/>
  <c r="G165" s="1"/>
  <c r="AL13" i="2"/>
  <c r="G171" i="13" s="1"/>
  <c r="G165" s="1"/>
  <c r="AL14" i="2"/>
  <c r="F44" i="14" s="1"/>
  <c r="AL15" i="2"/>
  <c r="F44" i="15" s="1"/>
  <c r="AL16" i="2"/>
  <c r="G171" i="16" s="1"/>
  <c r="G165" s="1"/>
  <c r="AL17" i="2"/>
  <c r="F44" i="17" s="1"/>
  <c r="AL18" i="2"/>
  <c r="F44" i="19" s="1"/>
  <c r="AL19" i="2"/>
  <c r="G171" i="20" s="1"/>
  <c r="G165" s="1"/>
  <c r="AL20" i="2"/>
  <c r="G171" i="21" s="1"/>
  <c r="G165" s="1"/>
  <c r="AL21" i="2"/>
  <c r="G171" i="22" s="1"/>
  <c r="G165" s="1"/>
  <c r="AL22" i="2"/>
  <c r="F44" i="23" s="1"/>
  <c r="AL23" i="2"/>
  <c r="F44" i="24" s="1"/>
  <c r="AL24" i="2"/>
  <c r="G171" i="25" s="1"/>
  <c r="G165" s="1"/>
  <c r="AL25" i="2"/>
  <c r="F44" i="26" s="1"/>
  <c r="AL26" i="2"/>
  <c r="F44" i="27" s="1"/>
  <c r="AL27" i="2"/>
  <c r="G171" i="28" s="1"/>
  <c r="G165" s="1"/>
  <c r="AL28" i="2"/>
  <c r="F44" i="29" s="1"/>
  <c r="AL29" i="2"/>
  <c r="G171" i="31" s="1"/>
  <c r="G165" s="1"/>
  <c r="AL30" i="2"/>
  <c r="F44" i="32" s="1"/>
  <c r="AL31" i="2"/>
  <c r="F44" i="33" s="1"/>
  <c r="AL32" i="2"/>
  <c r="G171" i="34" s="1"/>
  <c r="G165" s="1"/>
  <c r="AL33" i="2"/>
  <c r="F44" i="35" s="1"/>
  <c r="AL34" i="2"/>
  <c r="G171" i="36" s="1"/>
  <c r="G165" s="1"/>
  <c r="AL35" i="2"/>
  <c r="G171" i="37" s="1"/>
  <c r="G165" s="1"/>
  <c r="G158"/>
  <c r="F121"/>
  <c r="F118" s="1"/>
  <c r="F87"/>
  <c r="F83" s="1"/>
  <c r="F45"/>
  <c r="F34"/>
  <c r="I32"/>
  <c r="H32"/>
  <c r="G32"/>
  <c r="D8"/>
  <c r="A186" s="1"/>
  <c r="G158" i="36"/>
  <c r="F121"/>
  <c r="F118" s="1"/>
  <c r="F87"/>
  <c r="F83" s="1"/>
  <c r="F45"/>
  <c r="F34"/>
  <c r="I32"/>
  <c r="H32"/>
  <c r="G32"/>
  <c r="D8"/>
  <c r="G159" i="35"/>
  <c r="F122"/>
  <c r="F119" s="1"/>
  <c r="F88"/>
  <c r="F86" s="1"/>
  <c r="F45"/>
  <c r="F34"/>
  <c r="I32"/>
  <c r="H32"/>
  <c r="G32"/>
  <c r="D8"/>
  <c r="A187" s="1"/>
  <c r="G158" i="34"/>
  <c r="F121"/>
  <c r="F118" s="1"/>
  <c r="F87"/>
  <c r="F83" s="1"/>
  <c r="F45"/>
  <c r="F34"/>
  <c r="I32"/>
  <c r="H32"/>
  <c r="G32"/>
  <c r="D8"/>
  <c r="G158" i="33"/>
  <c r="F121"/>
  <c r="F118" s="1"/>
  <c r="F87"/>
  <c r="F83" s="1"/>
  <c r="F45"/>
  <c r="F34"/>
  <c r="I32"/>
  <c r="H32"/>
  <c r="G32"/>
  <c r="D8"/>
  <c r="C13" s="1"/>
  <c r="G158" i="32"/>
  <c r="F121"/>
  <c r="F118" s="1"/>
  <c r="F87"/>
  <c r="F85" s="1"/>
  <c r="F45"/>
  <c r="F34"/>
  <c r="I32"/>
  <c r="H32"/>
  <c r="G32"/>
  <c r="D8"/>
  <c r="C13" s="1"/>
  <c r="G158" i="31"/>
  <c r="F121"/>
  <c r="F118" s="1"/>
  <c r="F87"/>
  <c r="F83" s="1"/>
  <c r="F45"/>
  <c r="F34"/>
  <c r="I32"/>
  <c r="H32"/>
  <c r="G32"/>
  <c r="D8"/>
  <c r="C13" s="1"/>
  <c r="G158" i="29"/>
  <c r="F121"/>
  <c r="F118" s="1"/>
  <c r="F87"/>
  <c r="F83" s="1"/>
  <c r="F45"/>
  <c r="F34"/>
  <c r="I32"/>
  <c r="D8"/>
  <c r="C13" s="1"/>
  <c r="G158" i="28"/>
  <c r="F121"/>
  <c r="F118" s="1"/>
  <c r="F87"/>
  <c r="F85" s="1"/>
  <c r="F45"/>
  <c r="F34"/>
  <c r="I32"/>
  <c r="H32"/>
  <c r="G32"/>
  <c r="D8"/>
  <c r="C13" s="1"/>
  <c r="G158" i="27"/>
  <c r="F121"/>
  <c r="F118" s="1"/>
  <c r="F87"/>
  <c r="F85" s="1"/>
  <c r="F45"/>
  <c r="F34"/>
  <c r="I32"/>
  <c r="H32"/>
  <c r="G32"/>
  <c r="D8"/>
  <c r="C13" s="1"/>
  <c r="G158" i="26"/>
  <c r="F87"/>
  <c r="F45"/>
  <c r="F34"/>
  <c r="I32"/>
  <c r="H32"/>
  <c r="G32"/>
  <c r="D8"/>
  <c r="A186" s="1"/>
  <c r="G158" i="25"/>
  <c r="F121"/>
  <c r="F118" s="1"/>
  <c r="F87"/>
  <c r="F85" s="1"/>
  <c r="F45"/>
  <c r="F34"/>
  <c r="I32"/>
  <c r="H32"/>
  <c r="G32"/>
  <c r="D8"/>
  <c r="C13" s="1"/>
  <c r="G158" i="24"/>
  <c r="F121"/>
  <c r="F118" s="1"/>
  <c r="F87"/>
  <c r="F45"/>
  <c r="F34"/>
  <c r="I32"/>
  <c r="H32"/>
  <c r="G32"/>
  <c r="D8"/>
  <c r="C13" s="1"/>
  <c r="G158" i="23"/>
  <c r="F121"/>
  <c r="F118" s="1"/>
  <c r="F87"/>
  <c r="F85" s="1"/>
  <c r="F45"/>
  <c r="F34"/>
  <c r="I32"/>
  <c r="H32"/>
  <c r="G32"/>
  <c r="D8"/>
  <c r="A186" s="1"/>
  <c r="G158" i="22"/>
  <c r="F121"/>
  <c r="F118" s="1"/>
  <c r="F87"/>
  <c r="F83" s="1"/>
  <c r="F45"/>
  <c r="F34"/>
  <c r="I32"/>
  <c r="H32"/>
  <c r="G32"/>
  <c r="D8"/>
  <c r="C13" s="1"/>
  <c r="G158" i="21"/>
  <c r="F121"/>
  <c r="F118" s="1"/>
  <c r="F87"/>
  <c r="F83" s="1"/>
  <c r="F45"/>
  <c r="F34"/>
  <c r="I32"/>
  <c r="H32"/>
  <c r="G32"/>
  <c r="D8"/>
  <c r="C13" s="1"/>
  <c r="G158" i="20"/>
  <c r="F121"/>
  <c r="F118" s="1"/>
  <c r="F87"/>
  <c r="F83" s="1"/>
  <c r="F45"/>
  <c r="F34"/>
  <c r="I32"/>
  <c r="H32"/>
  <c r="G32"/>
  <c r="D8"/>
  <c r="C13" s="1"/>
  <c r="G158" i="19"/>
  <c r="F121"/>
  <c r="F118" s="1"/>
  <c r="F87"/>
  <c r="F85" s="1"/>
  <c r="F45"/>
  <c r="F34"/>
  <c r="I32"/>
  <c r="H32"/>
  <c r="G32"/>
  <c r="D8"/>
  <c r="C13" s="1"/>
  <c r="G158" i="17"/>
  <c r="F121"/>
  <c r="F118" s="1"/>
  <c r="F87"/>
  <c r="F83" s="1"/>
  <c r="F45"/>
  <c r="F34"/>
  <c r="I32"/>
  <c r="H32"/>
  <c r="G32"/>
  <c r="D8"/>
  <c r="A186" s="1"/>
  <c r="G158" i="16"/>
  <c r="F121"/>
  <c r="F118" s="1"/>
  <c r="F87"/>
  <c r="F83" s="1"/>
  <c r="F45"/>
  <c r="F34"/>
  <c r="I32"/>
  <c r="H32"/>
  <c r="G32"/>
  <c r="D8"/>
  <c r="C13" s="1"/>
  <c r="G158" i="15"/>
  <c r="D8"/>
  <c r="A186" s="1"/>
  <c r="D8" i="14"/>
  <c r="A186" s="1"/>
  <c r="D8" i="13"/>
  <c r="A186" s="1"/>
  <c r="D8" i="12"/>
  <c r="C13" s="1"/>
  <c r="D8" i="11"/>
  <c r="D8" i="10"/>
  <c r="C13" s="1"/>
  <c r="D8" i="9"/>
  <c r="A186" s="1"/>
  <c r="D8" i="8"/>
  <c r="C13" s="1"/>
  <c r="D8" i="7"/>
  <c r="D8" i="6"/>
  <c r="C13" s="1"/>
  <c r="D8" i="4"/>
  <c r="C13" s="1"/>
  <c r="D8" i="3"/>
  <c r="A186" s="1"/>
  <c r="D8" i="1"/>
  <c r="C13" s="1"/>
  <c r="F121" i="15"/>
  <c r="F118" s="1"/>
  <c r="F87"/>
  <c r="F45"/>
  <c r="F34"/>
  <c r="I32"/>
  <c r="H32"/>
  <c r="G32"/>
  <c r="G158" i="14"/>
  <c r="F121"/>
  <c r="F118" s="1"/>
  <c r="F87"/>
  <c r="F83" s="1"/>
  <c r="F45"/>
  <c r="F34"/>
  <c r="I32"/>
  <c r="H32"/>
  <c r="G32"/>
  <c r="G158" i="13"/>
  <c r="F121"/>
  <c r="F118" s="1"/>
  <c r="F96"/>
  <c r="F87"/>
  <c r="F83" s="1"/>
  <c r="F45"/>
  <c r="F34"/>
  <c r="I32"/>
  <c r="H32"/>
  <c r="G32"/>
  <c r="G158" i="12"/>
  <c r="F121"/>
  <c r="F118" s="1"/>
  <c r="F87"/>
  <c r="F83" s="1"/>
  <c r="F45"/>
  <c r="F34"/>
  <c r="I32"/>
  <c r="H32"/>
  <c r="G158" i="11"/>
  <c r="F121"/>
  <c r="F118" s="1"/>
  <c r="F87"/>
  <c r="F83" s="1"/>
  <c r="F45"/>
  <c r="F34"/>
  <c r="I32"/>
  <c r="H32"/>
  <c r="G158" i="10"/>
  <c r="F121"/>
  <c r="F118" s="1"/>
  <c r="F87"/>
  <c r="F83" s="1"/>
  <c r="F45"/>
  <c r="F34"/>
  <c r="I32"/>
  <c r="H32"/>
  <c r="G32"/>
  <c r="G158" i="9"/>
  <c r="F121"/>
  <c r="F118" s="1"/>
  <c r="F87"/>
  <c r="F83" s="1"/>
  <c r="F45"/>
  <c r="F34"/>
  <c r="I32"/>
  <c r="H32"/>
  <c r="G32"/>
  <c r="G158" i="8"/>
  <c r="F121"/>
  <c r="F118" s="1"/>
  <c r="F87"/>
  <c r="F85" s="1"/>
  <c r="F45"/>
  <c r="F34"/>
  <c r="I32"/>
  <c r="H32"/>
  <c r="G32"/>
  <c r="G158" i="7"/>
  <c r="F121"/>
  <c r="F118" s="1"/>
  <c r="F87"/>
  <c r="F83" s="1"/>
  <c r="F45"/>
  <c r="F34"/>
  <c r="I32"/>
  <c r="H32"/>
  <c r="G32"/>
  <c r="G158" i="6"/>
  <c r="F121"/>
  <c r="F118" s="1"/>
  <c r="F87"/>
  <c r="F85" s="1"/>
  <c r="F45"/>
  <c r="F34"/>
  <c r="I32"/>
  <c r="H32"/>
  <c r="G32"/>
  <c r="G158" i="4"/>
  <c r="F121"/>
  <c r="F118" s="1"/>
  <c r="F87"/>
  <c r="F85" s="1"/>
  <c r="F45"/>
  <c r="F34"/>
  <c r="I32"/>
  <c r="H32"/>
  <c r="G158" i="3"/>
  <c r="F121"/>
  <c r="F118" s="1"/>
  <c r="F87"/>
  <c r="F85" s="1"/>
  <c r="F45"/>
  <c r="F34"/>
  <c r="I32"/>
  <c r="H32"/>
  <c r="G32"/>
  <c r="AV4" i="2"/>
  <c r="AV5"/>
  <c r="AV6"/>
  <c r="AV7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"/>
  <c r="BF36"/>
  <c r="BE36"/>
  <c r="G158" i="1"/>
  <c r="F121"/>
  <c r="F118" s="1"/>
  <c r="F87"/>
  <c r="F83" s="1"/>
  <c r="F45"/>
  <c r="AL3" i="2"/>
  <c r="F44" i="1" s="1"/>
  <c r="GI36" i="2"/>
  <c r="GJ36"/>
  <c r="HI36"/>
  <c r="GK36"/>
  <c r="F34" i="1"/>
  <c r="G32"/>
  <c r="H32"/>
  <c r="I32"/>
  <c r="F96"/>
  <c r="F44" i="36"/>
  <c r="F44" i="22"/>
  <c r="G171" i="19"/>
  <c r="G165" s="1"/>
  <c r="F96" i="16"/>
  <c r="R36" i="2"/>
  <c r="FY36" l="1"/>
  <c r="F110" i="19"/>
  <c r="D35" i="2"/>
  <c r="O35" s="1"/>
  <c r="D22"/>
  <c r="F115" i="23" s="1"/>
  <c r="D14" i="2"/>
  <c r="G151" i="14" s="1"/>
  <c r="G149" s="1"/>
  <c r="D6" i="2"/>
  <c r="F115" i="6" s="1"/>
  <c r="D15" i="2"/>
  <c r="G151" i="15" s="1"/>
  <c r="G149" s="1"/>
  <c r="D11" i="2"/>
  <c r="F115" i="11" s="1"/>
  <c r="D33" i="2"/>
  <c r="D24"/>
  <c r="F115" i="25" s="1"/>
  <c r="D20" i="2"/>
  <c r="HG20" s="1"/>
  <c r="D16"/>
  <c r="F115" i="16" s="1"/>
  <c r="D12" i="2"/>
  <c r="F115" i="12" s="1"/>
  <c r="D8" i="2"/>
  <c r="F115" i="8" s="1"/>
  <c r="D29" i="2"/>
  <c r="HG29" s="1"/>
  <c r="D31"/>
  <c r="F115" i="33" s="1"/>
  <c r="D26" i="2"/>
  <c r="G151" i="27" s="1"/>
  <c r="G149" s="1"/>
  <c r="D18" i="2"/>
  <c r="F115" i="19" s="1"/>
  <c r="D10" i="2"/>
  <c r="G151" i="10" s="1"/>
  <c r="G149" s="1"/>
  <c r="D32" i="2"/>
  <c r="F115" i="34" s="1"/>
  <c r="D27" i="2"/>
  <c r="O27" s="1"/>
  <c r="Y27" s="1"/>
  <c r="AQ27" s="1"/>
  <c r="D19"/>
  <c r="F115" i="20" s="1"/>
  <c r="D7" i="2"/>
  <c r="O7" s="1"/>
  <c r="Y7" s="1"/>
  <c r="AQ7" s="1"/>
  <c r="D34"/>
  <c r="F115" i="36" s="1"/>
  <c r="D30" i="2"/>
  <c r="O30" s="1"/>
  <c r="Y30" s="1"/>
  <c r="D25"/>
  <c r="F115" i="26" s="1"/>
  <c r="D21" i="2"/>
  <c r="HG21" s="1"/>
  <c r="D17"/>
  <c r="F115" i="17" s="1"/>
  <c r="D13" i="2"/>
  <c r="HG13" s="1"/>
  <c r="D9"/>
  <c r="F115" i="9" s="1"/>
  <c r="D5" i="2"/>
  <c r="HG5" s="1"/>
  <c r="F115" i="24"/>
  <c r="F115" i="3"/>
  <c r="F115" i="1"/>
  <c r="F115" i="29"/>
  <c r="F44" i="37"/>
  <c r="F44" i="20"/>
  <c r="Q36" i="2"/>
  <c r="G142" i="26"/>
  <c r="F44" i="31"/>
  <c r="X36" i="2"/>
  <c r="G171" i="24"/>
  <c r="G165" s="1"/>
  <c r="F44" i="13"/>
  <c r="F44" i="16"/>
  <c r="F44" i="10"/>
  <c r="F44" i="7"/>
  <c r="F44" i="9"/>
  <c r="G171" i="33"/>
  <c r="G165" s="1"/>
  <c r="G171" i="14"/>
  <c r="G165" s="1"/>
  <c r="G143" i="35"/>
  <c r="G142" i="27"/>
  <c r="G142" i="14"/>
  <c r="G142" i="22"/>
  <c r="AH35" i="2"/>
  <c r="F49" i="37" s="1"/>
  <c r="F47" s="1"/>
  <c r="I36" i="2"/>
  <c r="F44" i="28"/>
  <c r="F44" i="25"/>
  <c r="G171" i="23"/>
  <c r="G165" s="1"/>
  <c r="G171" i="1"/>
  <c r="G165" s="1"/>
  <c r="BO36" i="2"/>
  <c r="BO38" s="1"/>
  <c r="AH20"/>
  <c r="F49" i="21" s="1"/>
  <c r="F47" s="1"/>
  <c r="G155" i="12"/>
  <c r="G153" s="1"/>
  <c r="AH8" i="2"/>
  <c r="F49" i="8" s="1"/>
  <c r="F47" s="1"/>
  <c r="G155" i="25"/>
  <c r="G153" s="1"/>
  <c r="AH33" i="2"/>
  <c r="GG33" s="1"/>
  <c r="G155" i="23"/>
  <c r="G153" s="1"/>
  <c r="G155" i="8"/>
  <c r="G153" s="1"/>
  <c r="H36" i="2"/>
  <c r="U36"/>
  <c r="G166" i="35"/>
  <c r="G171" i="29"/>
  <c r="G165" s="1"/>
  <c r="F44" i="3"/>
  <c r="F44" i="34"/>
  <c r="G171" i="27"/>
  <c r="G165" s="1"/>
  <c r="F44" i="21"/>
  <c r="G171" i="11"/>
  <c r="G165" s="1"/>
  <c r="F44" i="4"/>
  <c r="AL36" i="2"/>
  <c r="AH24"/>
  <c r="F49" i="25" s="1"/>
  <c r="F47" s="1"/>
  <c r="GQ36" i="2"/>
  <c r="AE36" s="1"/>
  <c r="G155" i="14"/>
  <c r="G153" s="1"/>
  <c r="AH14" i="2"/>
  <c r="G155" i="10"/>
  <c r="G153" s="1"/>
  <c r="AH10" i="2"/>
  <c r="F49" i="10" s="1"/>
  <c r="F47" s="1"/>
  <c r="AH18" i="2"/>
  <c r="G155" i="19"/>
  <c r="G153" s="1"/>
  <c r="G155" i="16"/>
  <c r="G153" s="1"/>
  <c r="AH16" i="2"/>
  <c r="F49" i="16" s="1"/>
  <c r="F47" s="1"/>
  <c r="AH7" i="2"/>
  <c r="GG7" s="1"/>
  <c r="G155" i="7"/>
  <c r="G153" s="1"/>
  <c r="AH4" i="2"/>
  <c r="F49" i="3" s="1"/>
  <c r="F47" s="1"/>
  <c r="G155"/>
  <c r="G153" s="1"/>
  <c r="G155" i="15"/>
  <c r="G153" s="1"/>
  <c r="AH15" i="2"/>
  <c r="GG15" s="1"/>
  <c r="G155" i="17"/>
  <c r="G153" s="1"/>
  <c r="AH17" i="2"/>
  <c r="F49" i="17" s="1"/>
  <c r="F47" s="1"/>
  <c r="G155" i="33"/>
  <c r="G153" s="1"/>
  <c r="G156" i="35"/>
  <c r="G154" s="1"/>
  <c r="AB36" i="2"/>
  <c r="G155" i="24"/>
  <c r="G153" s="1"/>
  <c r="AH23" i="2"/>
  <c r="GG23" s="1"/>
  <c r="AH11"/>
  <c r="F49" i="11" s="1"/>
  <c r="F47" s="1"/>
  <c r="G155"/>
  <c r="G153" s="1"/>
  <c r="G155" i="37"/>
  <c r="G153" s="1"/>
  <c r="AH32" i="2"/>
  <c r="F49" i="34" s="1"/>
  <c r="F47" s="1"/>
  <c r="G155"/>
  <c r="G153" s="1"/>
  <c r="AH27" i="2"/>
  <c r="F49" i="28" s="1"/>
  <c r="F47" s="1"/>
  <c r="G155"/>
  <c r="G153" s="1"/>
  <c r="AH21" i="2"/>
  <c r="GG21" s="1"/>
  <c r="G155" i="22"/>
  <c r="G153" s="1"/>
  <c r="AH6" i="2"/>
  <c r="GG6" s="1"/>
  <c r="AH31"/>
  <c r="GG31" s="1"/>
  <c r="G155" i="6"/>
  <c r="G153" s="1"/>
  <c r="G155" i="21"/>
  <c r="G153" s="1"/>
  <c r="F44" i="12"/>
  <c r="G142" i="28"/>
  <c r="G142" i="21"/>
  <c r="G36" i="2"/>
  <c r="AH22"/>
  <c r="F49" i="23" s="1"/>
  <c r="F47" s="1"/>
  <c r="G171" i="17"/>
  <c r="G165" s="1"/>
  <c r="F44" i="6"/>
  <c r="G171" i="26"/>
  <c r="G165" s="1"/>
  <c r="F44" i="8"/>
  <c r="G171" i="32"/>
  <c r="G165" s="1"/>
  <c r="G171" i="15"/>
  <c r="G165" s="1"/>
  <c r="F30" i="4"/>
  <c r="G142" i="37"/>
  <c r="G142" i="29"/>
  <c r="GL36" i="2"/>
  <c r="GQ30"/>
  <c r="AE30" s="1"/>
  <c r="G155" i="36"/>
  <c r="G153" s="1"/>
  <c r="G142" i="32"/>
  <c r="G142" i="13"/>
  <c r="G151" i="3"/>
  <c r="G149" s="1"/>
  <c r="F30" i="26"/>
  <c r="CX38" i="2"/>
  <c r="E36"/>
  <c r="HG23"/>
  <c r="G143" i="14"/>
  <c r="F85" i="13"/>
  <c r="F85" i="36"/>
  <c r="G155" i="26"/>
  <c r="G153" s="1"/>
  <c r="G143" i="32"/>
  <c r="F63" i="13"/>
  <c r="AH12" i="2"/>
  <c r="GG12" s="1"/>
  <c r="AC36"/>
  <c r="F92" i="32"/>
  <c r="F85" i="33"/>
  <c r="F93" i="35"/>
  <c r="F83" i="27"/>
  <c r="F85" i="10"/>
  <c r="F83" i="4"/>
  <c r="F92" i="27"/>
  <c r="AH28" i="2"/>
  <c r="GG28" s="1"/>
  <c r="G155" i="29"/>
  <c r="G153" s="1"/>
  <c r="AH9" i="2"/>
  <c r="G155" i="9"/>
  <c r="G153" s="1"/>
  <c r="AH34" i="2"/>
  <c r="F49" i="36" s="1"/>
  <c r="F47" s="1"/>
  <c r="F84" i="35"/>
  <c r="F92" i="1"/>
  <c r="G142" i="11"/>
  <c r="F83" i="6"/>
  <c r="G142" i="8"/>
  <c r="G143" i="29"/>
  <c r="F92" i="31"/>
  <c r="F92" i="10"/>
  <c r="A186" i="4"/>
  <c r="A186" i="12"/>
  <c r="A186" i="22"/>
  <c r="G142" i="16"/>
  <c r="F63" i="21"/>
  <c r="F92"/>
  <c r="F63" i="22"/>
  <c r="F83" i="32"/>
  <c r="G143" i="27"/>
  <c r="O28" i="2"/>
  <c r="Y28" s="1"/>
  <c r="G151" i="29"/>
  <c r="G149" s="1"/>
  <c r="G151" i="1"/>
  <c r="G149" s="1"/>
  <c r="HG3" i="2"/>
  <c r="HG28"/>
  <c r="C13" i="23"/>
  <c r="A186" i="32"/>
  <c r="AD36" i="2"/>
  <c r="F63" i="14"/>
  <c r="F65" i="8"/>
  <c r="F65" i="3"/>
  <c r="F63" s="1"/>
  <c r="F64" i="35"/>
  <c r="F63" i="27"/>
  <c r="G142" i="9"/>
  <c r="F63" i="10"/>
  <c r="F92" i="23"/>
  <c r="F92" i="15"/>
  <c r="G142" i="4"/>
  <c r="A186" i="27"/>
  <c r="F92" i="20"/>
  <c r="F92" i="14"/>
  <c r="F92" i="33"/>
  <c r="F92" i="25"/>
  <c r="G107" i="29"/>
  <c r="G61" s="1"/>
  <c r="F85" i="34"/>
  <c r="F92" i="19"/>
  <c r="G155" i="20"/>
  <c r="G153" s="1"/>
  <c r="AH19" i="2"/>
  <c r="F49" i="20" s="1"/>
  <c r="F47" s="1"/>
  <c r="F83" i="8"/>
  <c r="A186" i="28"/>
  <c r="F85" i="12"/>
  <c r="F63" i="19"/>
  <c r="F92" i="24"/>
  <c r="G142" i="15"/>
  <c r="A186" i="24"/>
  <c r="F83" i="23"/>
  <c r="F92" i="36"/>
  <c r="F92" i="34"/>
  <c r="F92" i="28"/>
  <c r="F92" i="26"/>
  <c r="F92" i="9"/>
  <c r="F92" i="22"/>
  <c r="F92" i="6"/>
  <c r="G155" i="31"/>
  <c r="G153" s="1"/>
  <c r="AH29" i="2"/>
  <c r="G155" i="27"/>
  <c r="G153" s="1"/>
  <c r="AH26" i="2"/>
  <c r="AH25"/>
  <c r="AH13"/>
  <c r="G155" i="13"/>
  <c r="G153" s="1"/>
  <c r="G155" i="4"/>
  <c r="G153" s="1"/>
  <c r="AH5" i="2"/>
  <c r="F49" i="4" s="1"/>
  <c r="F47" s="1"/>
  <c r="G155" i="1"/>
  <c r="G153" s="1"/>
  <c r="AH3" i="2"/>
  <c r="GG3" s="1"/>
  <c r="F66" i="16"/>
  <c r="F63" s="1"/>
  <c r="F63" i="11"/>
  <c r="F66" i="8"/>
  <c r="F66" i="36"/>
  <c r="F63" s="1"/>
  <c r="F63" i="23"/>
  <c r="F63" i="33"/>
  <c r="F63" i="4"/>
  <c r="O23" i="2"/>
  <c r="Y23" s="1"/>
  <c r="AQ23" s="1"/>
  <c r="O4"/>
  <c r="Y4" s="1"/>
  <c r="AQ4" s="1"/>
  <c r="HG4"/>
  <c r="G151" i="24"/>
  <c r="G149" s="1"/>
  <c r="O3" i="2"/>
  <c r="Y3" s="1"/>
  <c r="AQ3" s="1"/>
  <c r="H175" i="4"/>
  <c r="H138"/>
  <c r="F85" i="11"/>
  <c r="F85" i="29"/>
  <c r="G142" i="33"/>
  <c r="C13" i="14"/>
  <c r="C13" i="3"/>
  <c r="F83"/>
  <c r="F85" i="7"/>
  <c r="F85" i="9"/>
  <c r="A186" i="16"/>
  <c r="F85" i="37"/>
  <c r="F63" i="12"/>
  <c r="G143" i="13"/>
  <c r="G143" i="28"/>
  <c r="F85" i="14"/>
  <c r="A186" i="21"/>
  <c r="A188" i="29"/>
  <c r="A186" i="6"/>
  <c r="G142" i="31"/>
  <c r="F83" i="25"/>
  <c r="C13" i="35"/>
  <c r="G142" i="19"/>
  <c r="G142" i="34"/>
  <c r="F85" i="31"/>
  <c r="A186" i="19"/>
  <c r="G142" i="7"/>
  <c r="F83" i="28"/>
  <c r="F85" i="16"/>
  <c r="G142" i="23"/>
  <c r="G142" i="25"/>
  <c r="F63" i="32"/>
  <c r="F63" i="28"/>
  <c r="F63" i="9"/>
  <c r="F92" i="17"/>
  <c r="F92" i="4"/>
  <c r="F63" i="20"/>
  <c r="F92" i="7"/>
  <c r="G142" i="20"/>
  <c r="F63" i="17"/>
  <c r="F63" i="6"/>
  <c r="F63" i="1"/>
  <c r="F63" i="26"/>
  <c r="F92" i="11"/>
  <c r="F92" i="12"/>
  <c r="F92" i="3"/>
  <c r="G143" i="22"/>
  <c r="C13" i="26"/>
  <c r="A186" i="31"/>
  <c r="A186" i="33"/>
  <c r="A186" i="10"/>
  <c r="C13" i="17"/>
  <c r="A186" i="1"/>
  <c r="C13" i="37"/>
  <c r="A186" i="8"/>
  <c r="A186" i="20"/>
  <c r="I138" i="29"/>
  <c r="I175"/>
  <c r="F83" i="26"/>
  <c r="F85"/>
  <c r="G143" i="10"/>
  <c r="G142"/>
  <c r="H138" i="29"/>
  <c r="H175"/>
  <c r="C13" i="7"/>
  <c r="A186"/>
  <c r="F83" i="15"/>
  <c r="F85"/>
  <c r="F85" i="24"/>
  <c r="F83"/>
  <c r="G142" i="6"/>
  <c r="G143"/>
  <c r="G143" i="17"/>
  <c r="G142"/>
  <c r="A186" i="11"/>
  <c r="C13"/>
  <c r="C13" i="34"/>
  <c r="A186"/>
  <c r="A186" i="36"/>
  <c r="C13"/>
  <c r="F63" i="37"/>
  <c r="G142" i="3"/>
  <c r="G143" i="36"/>
  <c r="F63" i="25"/>
  <c r="F92" i="37"/>
  <c r="F92" i="29"/>
  <c r="F92" i="13"/>
  <c r="C13"/>
  <c r="F85" i="21"/>
  <c r="G142" i="24"/>
  <c r="F85" i="17"/>
  <c r="F83" i="19"/>
  <c r="F85" i="20"/>
  <c r="F85" i="22"/>
  <c r="A186" i="25"/>
  <c r="F63" i="34"/>
  <c r="F63" i="24"/>
  <c r="F63" i="15"/>
  <c r="F63" i="7"/>
  <c r="F63" i="29"/>
  <c r="C13" i="15"/>
  <c r="C13" i="9"/>
  <c r="G142" i="12"/>
  <c r="F85" i="1"/>
  <c r="F63" i="31"/>
  <c r="F92" i="16"/>
  <c r="F92" i="8"/>
  <c r="O12" i="2" l="1"/>
  <c r="Y12" s="1"/>
  <c r="AQ12" s="1"/>
  <c r="HH12" s="1"/>
  <c r="HG12"/>
  <c r="FU37"/>
  <c r="FU39" s="1"/>
  <c r="F42" i="32"/>
  <c r="F40" s="1"/>
  <c r="AQ30" i="2"/>
  <c r="G152" i="35"/>
  <c r="G150" s="1"/>
  <c r="G148" s="1"/>
  <c r="G176" s="1"/>
  <c r="G177" s="1"/>
  <c r="F116"/>
  <c r="F108" s="1"/>
  <c r="F62" s="1"/>
  <c r="F42" i="29"/>
  <c r="F40" s="1"/>
  <c r="AQ28" i="2"/>
  <c r="HH28" s="1"/>
  <c r="GG35"/>
  <c r="O26"/>
  <c r="Y26" s="1"/>
  <c r="HG26"/>
  <c r="G151" i="12"/>
  <c r="G149" s="1"/>
  <c r="G147" s="1"/>
  <c r="G175" s="1"/>
  <c r="G176" s="1"/>
  <c r="O13" i="2"/>
  <c r="Y13" s="1"/>
  <c r="O32"/>
  <c r="Y32" s="1"/>
  <c r="G151" i="20"/>
  <c r="G149" s="1"/>
  <c r="G147" s="1"/>
  <c r="G175" s="1"/>
  <c r="G176" s="1"/>
  <c r="G151" i="34"/>
  <c r="G149" s="1"/>
  <c r="G147" s="1"/>
  <c r="G175" s="1"/>
  <c r="G176" s="1"/>
  <c r="F115" i="32"/>
  <c r="F107" s="1"/>
  <c r="F61" s="1"/>
  <c r="O8" i="2"/>
  <c r="Y8" s="1"/>
  <c r="O25"/>
  <c r="Y25" s="1"/>
  <c r="HG17"/>
  <c r="HG35"/>
  <c r="F115" i="10"/>
  <c r="F107" s="1"/>
  <c r="F61" s="1"/>
  <c r="G151" i="8"/>
  <c r="G149" s="1"/>
  <c r="G147" s="1"/>
  <c r="G138" s="1"/>
  <c r="G151" i="21"/>
  <c r="G149" s="1"/>
  <c r="G147" s="1"/>
  <c r="G175" s="1"/>
  <c r="G176" s="1"/>
  <c r="O17" i="2"/>
  <c r="Y17" s="1"/>
  <c r="G151" i="22"/>
  <c r="G149" s="1"/>
  <c r="G147" s="1"/>
  <c r="G138" s="1"/>
  <c r="HG22" i="2"/>
  <c r="G151" i="17"/>
  <c r="G149" s="1"/>
  <c r="G147" s="1"/>
  <c r="G175" s="1"/>
  <c r="G176" s="1"/>
  <c r="HG11" i="2"/>
  <c r="F115" i="22"/>
  <c r="F107" s="1"/>
  <c r="F61" s="1"/>
  <c r="F115" i="28"/>
  <c r="F107" s="1"/>
  <c r="F61" s="1"/>
  <c r="O16" i="2"/>
  <c r="Y16" s="1"/>
  <c r="HG19"/>
  <c r="O19"/>
  <c r="Y19" s="1"/>
  <c r="G151" i="11"/>
  <c r="G149" s="1"/>
  <c r="G147" s="1"/>
  <c r="G175" s="1"/>
  <c r="G176" s="1"/>
  <c r="HG30" i="2"/>
  <c r="G151" i="32"/>
  <c r="G149" s="1"/>
  <c r="HG16" i="2"/>
  <c r="G151" i="6"/>
  <c r="G149" s="1"/>
  <c r="G147" s="1"/>
  <c r="G175" s="1"/>
  <c r="G176" s="1"/>
  <c r="G151" i="19"/>
  <c r="G149" s="1"/>
  <c r="G147" s="1"/>
  <c r="G151" i="16"/>
  <c r="G149" s="1"/>
  <c r="G147" s="1"/>
  <c r="G175" s="1"/>
  <c r="G176" s="1"/>
  <c r="G151" i="37"/>
  <c r="G149" s="1"/>
  <c r="G147" s="1"/>
  <c r="G138" s="1"/>
  <c r="HG27" i="2"/>
  <c r="O9"/>
  <c r="Y9" s="1"/>
  <c r="G151" i="23"/>
  <c r="G149" s="1"/>
  <c r="G147" s="1"/>
  <c r="G138" s="1"/>
  <c r="HG31" i="2"/>
  <c r="HG33"/>
  <c r="O6"/>
  <c r="Y6" s="1"/>
  <c r="O22"/>
  <c r="Y22" s="1"/>
  <c r="F115" i="13"/>
  <c r="F107" s="1"/>
  <c r="F61" s="1"/>
  <c r="F115" i="37"/>
  <c r="F107" s="1"/>
  <c r="F61" s="1"/>
  <c r="HG6" i="2"/>
  <c r="O34"/>
  <c r="Y34" s="1"/>
  <c r="G151" i="13"/>
  <c r="G149" s="1"/>
  <c r="G147" s="1"/>
  <c r="G175" s="1"/>
  <c r="G176" s="1"/>
  <c r="D36" i="2"/>
  <c r="O36" s="1"/>
  <c r="O40" s="1"/>
  <c r="F115" i="27"/>
  <c r="F107" s="1"/>
  <c r="F61" s="1"/>
  <c r="F115" i="21"/>
  <c r="F107" s="1"/>
  <c r="F61" s="1"/>
  <c r="F115" i="14"/>
  <c r="F107" s="1"/>
  <c r="F61" s="1"/>
  <c r="Y35" i="2"/>
  <c r="HG24"/>
  <c r="O31"/>
  <c r="Y31" s="1"/>
  <c r="O24"/>
  <c r="Y24" s="1"/>
  <c r="G151" i="26"/>
  <c r="G149" s="1"/>
  <c r="G147" s="1"/>
  <c r="G138" s="1"/>
  <c r="O15" i="2"/>
  <c r="Y15" s="1"/>
  <c r="G151" i="33"/>
  <c r="G149" s="1"/>
  <c r="G147" s="1"/>
  <c r="G138" s="1"/>
  <c r="G151" i="36"/>
  <c r="G149" s="1"/>
  <c r="G147" s="1"/>
  <c r="G138" s="1"/>
  <c r="HG15" i="2"/>
  <c r="HG7"/>
  <c r="O18"/>
  <c r="Y18" s="1"/>
  <c r="HG25"/>
  <c r="O5"/>
  <c r="Y5" s="1"/>
  <c r="HG34"/>
  <c r="G151" i="25"/>
  <c r="G149" s="1"/>
  <c r="G147" s="1"/>
  <c r="G175" s="1"/>
  <c r="G176" s="1"/>
  <c r="HG18" i="2"/>
  <c r="G151" i="9"/>
  <c r="G149" s="1"/>
  <c r="G147" s="1"/>
  <c r="G175" s="1"/>
  <c r="G176" s="1"/>
  <c r="O11" i="2"/>
  <c r="Y11" s="1"/>
  <c r="G151" i="4"/>
  <c r="G149" s="1"/>
  <c r="G147" s="1"/>
  <c r="G175" s="1"/>
  <c r="G176" s="1"/>
  <c r="O21" i="2"/>
  <c r="Y21" s="1"/>
  <c r="F115" i="4"/>
  <c r="F107" s="1"/>
  <c r="F61" s="1"/>
  <c r="F115" i="7"/>
  <c r="F107" s="1"/>
  <c r="F61" s="1"/>
  <c r="F115" i="31"/>
  <c r="F107" s="1"/>
  <c r="F61" s="1"/>
  <c r="F115" i="15"/>
  <c r="F107" s="1"/>
  <c r="F61" s="1"/>
  <c r="O14" i="2"/>
  <c r="Y14" s="1"/>
  <c r="G151" i="28"/>
  <c r="G149" s="1"/>
  <c r="G147" s="1"/>
  <c r="G175" s="1"/>
  <c r="G176" s="1"/>
  <c r="G151" i="7"/>
  <c r="G149" s="1"/>
  <c r="G147" s="1"/>
  <c r="G175" s="1"/>
  <c r="G176" s="1"/>
  <c r="HG14" i="2"/>
  <c r="HG9"/>
  <c r="O33"/>
  <c r="Y33" s="1"/>
  <c r="HG10"/>
  <c r="HG32"/>
  <c r="HG8"/>
  <c r="G151" i="31"/>
  <c r="G149" s="1"/>
  <c r="G147" s="1"/>
  <c r="G175" s="1"/>
  <c r="G176" s="1"/>
  <c r="O29" i="2"/>
  <c r="Y29" s="1"/>
  <c r="O10"/>
  <c r="Y10" s="1"/>
  <c r="O20"/>
  <c r="Y20" s="1"/>
  <c r="F49" i="19"/>
  <c r="F47" s="1"/>
  <c r="GG11" i="2"/>
  <c r="F107" i="6"/>
  <c r="F61" s="1"/>
  <c r="F107" i="16"/>
  <c r="F61" s="1"/>
  <c r="G155" i="32"/>
  <c r="G153" s="1"/>
  <c r="F107" i="33"/>
  <c r="F61" s="1"/>
  <c r="F107" i="8"/>
  <c r="F107" i="26"/>
  <c r="F61" s="1"/>
  <c r="F107" i="25"/>
  <c r="F61" s="1"/>
  <c r="GG18" i="2"/>
  <c r="GG8"/>
  <c r="F107" i="12"/>
  <c r="F61" s="1"/>
  <c r="F107" i="19"/>
  <c r="F61" s="1"/>
  <c r="F49" i="33"/>
  <c r="F47" s="1"/>
  <c r="GG32" i="2"/>
  <c r="HH7"/>
  <c r="F49" i="35"/>
  <c r="F47" s="1"/>
  <c r="F107" i="3"/>
  <c r="F61" s="1"/>
  <c r="F107" i="29"/>
  <c r="F61" s="1"/>
  <c r="F107" i="24"/>
  <c r="F61" s="1"/>
  <c r="GG20" i="2"/>
  <c r="G147" i="3"/>
  <c r="G175" s="1"/>
  <c r="G176" s="1"/>
  <c r="GG27" i="2"/>
  <c r="F49" i="15"/>
  <c r="F47" s="1"/>
  <c r="G147"/>
  <c r="G175" s="1"/>
  <c r="G176" s="1"/>
  <c r="F107" i="11"/>
  <c r="F61" s="1"/>
  <c r="GG4" i="2"/>
  <c r="GG24"/>
  <c r="GG16"/>
  <c r="F49" i="24"/>
  <c r="F47" s="1"/>
  <c r="GG10" i="2"/>
  <c r="HH27"/>
  <c r="GG17"/>
  <c r="G147" i="24"/>
  <c r="G175" s="1"/>
  <c r="G176" s="1"/>
  <c r="F107" i="36"/>
  <c r="F61" s="1"/>
  <c r="F107" i="23"/>
  <c r="F61" s="1"/>
  <c r="G147" i="10"/>
  <c r="G138" s="1"/>
  <c r="GG14" i="2"/>
  <c r="F49" i="14"/>
  <c r="F47" s="1"/>
  <c r="F49" i="6"/>
  <c r="F47" s="1"/>
  <c r="F49" i="7"/>
  <c r="F47" s="1"/>
  <c r="F49" i="22"/>
  <c r="F47" s="1"/>
  <c r="F107" i="17"/>
  <c r="F61" s="1"/>
  <c r="G147" i="14"/>
  <c r="G175" s="1"/>
  <c r="G176" s="1"/>
  <c r="GG22" i="2"/>
  <c r="AH30"/>
  <c r="BC36"/>
  <c r="G147" i="29"/>
  <c r="G175" s="1"/>
  <c r="G176" s="1"/>
  <c r="F42" i="7"/>
  <c r="F40" s="1"/>
  <c r="F49" i="12"/>
  <c r="F47" s="1"/>
  <c r="GG19" i="2"/>
  <c r="GG5"/>
  <c r="GG34"/>
  <c r="F107" i="34"/>
  <c r="F61" s="1"/>
  <c r="F49" i="29"/>
  <c r="F47" s="1"/>
  <c r="F49" i="9"/>
  <c r="F47" s="1"/>
  <c r="GG9" i="2"/>
  <c r="F107" i="9"/>
  <c r="F61" s="1"/>
  <c r="F107" i="1"/>
  <c r="F61" s="1"/>
  <c r="G147" i="27"/>
  <c r="G175" s="1"/>
  <c r="G176" s="1"/>
  <c r="G147" i="1"/>
  <c r="G138" s="1"/>
  <c r="F107" i="20"/>
  <c r="F61" s="1"/>
  <c r="F63" i="8"/>
  <c r="GG29" i="2"/>
  <c r="F49" i="31"/>
  <c r="F47" s="1"/>
  <c r="GG26" i="2"/>
  <c r="F49" i="27"/>
  <c r="F47" s="1"/>
  <c r="GG25" i="2"/>
  <c r="F49" i="26"/>
  <c r="F47" s="1"/>
  <c r="GG13" i="2"/>
  <c r="F49" i="13"/>
  <c r="F47" s="1"/>
  <c r="AF36" i="2"/>
  <c r="AF37" s="1"/>
  <c r="F49" i="1"/>
  <c r="F47" s="1"/>
  <c r="F42" i="28"/>
  <c r="F40" s="1"/>
  <c r="F32" s="1"/>
  <c r="F42" i="3"/>
  <c r="F40" s="1"/>
  <c r="F32" s="1"/>
  <c r="HH4" i="2"/>
  <c r="F42" i="1"/>
  <c r="F40" s="1"/>
  <c r="HH3" i="2"/>
  <c r="F42" i="24"/>
  <c r="F40" s="1"/>
  <c r="HH23" i="2"/>
  <c r="F42" i="12" l="1"/>
  <c r="F40" s="1"/>
  <c r="F32" s="1"/>
  <c r="L138" s="1"/>
  <c r="AA37" i="2"/>
  <c r="F42" i="35"/>
  <c r="F40" s="1"/>
  <c r="F32" s="1"/>
  <c r="L139" s="1"/>
  <c r="AQ33" i="2"/>
  <c r="HH33" s="1"/>
  <c r="F42" i="15"/>
  <c r="F40" s="1"/>
  <c r="F32" s="1"/>
  <c r="AQ15" i="2"/>
  <c r="HH15" s="1"/>
  <c r="F42" i="8"/>
  <c r="F40" s="1"/>
  <c r="F32" s="1"/>
  <c r="AQ8" i="2"/>
  <c r="HH8" s="1"/>
  <c r="F42" i="27"/>
  <c r="F40" s="1"/>
  <c r="F32" s="1"/>
  <c r="L138" s="1"/>
  <c r="AQ26" i="2"/>
  <c r="HH26" s="1"/>
  <c r="F42" i="31"/>
  <c r="F40" s="1"/>
  <c r="F32" s="1"/>
  <c r="L138" s="1"/>
  <c r="AQ29" i="2"/>
  <c r="HH29" s="1"/>
  <c r="AQ18"/>
  <c r="HH18" s="1"/>
  <c r="AQ34"/>
  <c r="HH34" s="1"/>
  <c r="F42" i="26"/>
  <c r="F40" s="1"/>
  <c r="F32" s="1"/>
  <c r="L138" s="1"/>
  <c r="AQ25" i="2"/>
  <c r="HH25" s="1"/>
  <c r="F42" i="10"/>
  <c r="F40" s="1"/>
  <c r="F32" s="1"/>
  <c r="L138" s="1"/>
  <c r="AQ10" i="2"/>
  <c r="HH10" s="1"/>
  <c r="AQ21"/>
  <c r="HH21" s="1"/>
  <c r="AQ24"/>
  <c r="HH24" s="1"/>
  <c r="F42" i="16"/>
  <c r="F40" s="1"/>
  <c r="F32" s="1"/>
  <c r="L138" s="1"/>
  <c r="AQ16" i="2"/>
  <c r="HH16" s="1"/>
  <c r="F32" i="29"/>
  <c r="L138" s="1"/>
  <c r="HH30" i="2"/>
  <c r="F42" i="11"/>
  <c r="F40" s="1"/>
  <c r="F32" s="1"/>
  <c r="AQ11" i="2"/>
  <c r="HH11" s="1"/>
  <c r="F42" i="23"/>
  <c r="F40" s="1"/>
  <c r="F32" s="1"/>
  <c r="L138" s="1"/>
  <c r="AQ22" i="2"/>
  <c r="HH22" s="1"/>
  <c r="F42" i="20"/>
  <c r="F40" s="1"/>
  <c r="F32" s="1"/>
  <c r="L138" s="1"/>
  <c r="AQ19" i="2"/>
  <c r="HH19" s="1"/>
  <c r="F42" i="34"/>
  <c r="F40" s="1"/>
  <c r="F32" s="1"/>
  <c r="L138" s="1"/>
  <c r="AQ32" i="2"/>
  <c r="HH32" s="1"/>
  <c r="AQ31"/>
  <c r="HH31" s="1"/>
  <c r="F42" i="21"/>
  <c r="F40" s="1"/>
  <c r="F32" s="1"/>
  <c r="L138" s="1"/>
  <c r="AQ20" i="2"/>
  <c r="HH20" s="1"/>
  <c r="F42" i="14"/>
  <c r="F40" s="1"/>
  <c r="F32" s="1"/>
  <c r="L138" s="1"/>
  <c r="AQ14" i="2"/>
  <c r="HH14" s="1"/>
  <c r="F42" i="4"/>
  <c r="F40" s="1"/>
  <c r="F32" s="1"/>
  <c r="L138" s="1"/>
  <c r="AQ5" i="2"/>
  <c r="HH5" s="1"/>
  <c r="F42" i="37"/>
  <c r="F40" s="1"/>
  <c r="F32" s="1"/>
  <c r="L138" s="1"/>
  <c r="AQ35" i="2"/>
  <c r="HH35" s="1"/>
  <c r="F42" i="6"/>
  <c r="F40" s="1"/>
  <c r="F32" s="1"/>
  <c r="L138" s="1"/>
  <c r="AQ6" i="2"/>
  <c r="HH6" s="1"/>
  <c r="F42" i="9"/>
  <c r="F40" s="1"/>
  <c r="F32" s="1"/>
  <c r="L138" s="1"/>
  <c r="AQ9" i="2"/>
  <c r="HH9" s="1"/>
  <c r="F42" i="17"/>
  <c r="F40" s="1"/>
  <c r="F32" s="1"/>
  <c r="L138" s="1"/>
  <c r="AQ17" i="2"/>
  <c r="HH17" s="1"/>
  <c r="F42" i="13"/>
  <c r="F40" s="1"/>
  <c r="F32" s="1"/>
  <c r="L138" s="1"/>
  <c r="AQ13" i="2"/>
  <c r="HH13" s="1"/>
  <c r="G175" i="19"/>
  <c r="G176" s="1"/>
  <c r="G138"/>
  <c r="L139" s="1"/>
  <c r="L138" i="28"/>
  <c r="L138" i="11"/>
  <c r="F61" i="8"/>
  <c r="L139" i="22"/>
  <c r="L138" i="3"/>
  <c r="G147" i="32"/>
  <c r="G175" s="1"/>
  <c r="G176" s="1"/>
  <c r="F42" i="19"/>
  <c r="F40" s="1"/>
  <c r="F32" s="1"/>
  <c r="L138" s="1"/>
  <c r="F42" i="36"/>
  <c r="F40" s="1"/>
  <c r="F32" s="1"/>
  <c r="L138" s="1"/>
  <c r="F42" i="33"/>
  <c r="F40" s="1"/>
  <c r="F32" s="1"/>
  <c r="L138" s="1"/>
  <c r="F42" i="25"/>
  <c r="F40" s="1"/>
  <c r="F32" s="1"/>
  <c r="L138" s="1"/>
  <c r="F42" i="22"/>
  <c r="F40" s="1"/>
  <c r="F32" s="1"/>
  <c r="L138" s="1"/>
  <c r="AH36" i="2"/>
  <c r="AH38" s="1"/>
  <c r="L139" i="36"/>
  <c r="L139" i="10"/>
  <c r="L139" i="8"/>
  <c r="L139" i="33"/>
  <c r="G175" i="23"/>
  <c r="G176" s="1"/>
  <c r="L139" i="26"/>
  <c r="G138" i="25"/>
  <c r="L139" s="1"/>
  <c r="G138" i="12"/>
  <c r="L139" s="1"/>
  <c r="G138" i="3"/>
  <c r="L139" s="1"/>
  <c r="L139" i="37"/>
  <c r="G175" i="8"/>
  <c r="G176" s="1"/>
  <c r="G138" i="21"/>
  <c r="L139" s="1"/>
  <c r="F32" i="7"/>
  <c r="L138" s="1"/>
  <c r="L139" i="23"/>
  <c r="G138" i="11"/>
  <c r="L139" s="1"/>
  <c r="G138" i="16"/>
  <c r="L139" s="1"/>
  <c r="G138" i="15"/>
  <c r="L139" s="1"/>
  <c r="F32" i="24"/>
  <c r="L138" s="1"/>
  <c r="G138" i="7"/>
  <c r="L139" s="1"/>
  <c r="G138" i="24"/>
  <c r="L139" s="1"/>
  <c r="G138" i="20"/>
  <c r="L139" s="1"/>
  <c r="G138" i="17"/>
  <c r="L139" s="1"/>
  <c r="G175" i="10"/>
  <c r="G176" s="1"/>
  <c r="G175" i="22"/>
  <c r="G176" s="1"/>
  <c r="G138" i="34"/>
  <c r="L139" s="1"/>
  <c r="G138" i="6"/>
  <c r="L139" s="1"/>
  <c r="G139" i="35"/>
  <c r="L140" s="1"/>
  <c r="G175" i="33"/>
  <c r="G176" s="1"/>
  <c r="G175" i="36"/>
  <c r="G176" s="1"/>
  <c r="G138" i="28"/>
  <c r="L139" s="1"/>
  <c r="F49" i="32"/>
  <c r="F47" s="1"/>
  <c r="F32" s="1"/>
  <c r="L138" s="1"/>
  <c r="GG30" i="2"/>
  <c r="G175" i="37"/>
  <c r="G176" s="1"/>
  <c r="G138" i="14"/>
  <c r="L139" s="1"/>
  <c r="G138" i="31"/>
  <c r="L139" s="1"/>
  <c r="G138" i="29"/>
  <c r="L139" s="1"/>
  <c r="Y36" i="2"/>
  <c r="U37"/>
  <c r="G175" i="26"/>
  <c r="G176" s="1"/>
  <c r="G138" i="13"/>
  <c r="L139" s="1"/>
  <c r="G138" i="4"/>
  <c r="L139" s="1"/>
  <c r="G138" i="9"/>
  <c r="L139" s="1"/>
  <c r="L139" i="1"/>
  <c r="G138" i="27"/>
  <c r="L139" s="1"/>
  <c r="G175" i="1"/>
  <c r="G176" s="1"/>
  <c r="F32"/>
  <c r="L138" s="1"/>
  <c r="L138" i="8" l="1"/>
  <c r="J61" i="15"/>
  <c r="L138"/>
  <c r="G138" i="32"/>
  <c r="L139" s="1"/>
  <c r="AQ36" i="2"/>
  <c r="AQ38" s="1"/>
  <c r="GG36"/>
</calcChain>
</file>

<file path=xl/comments1.xml><?xml version="1.0" encoding="utf-8"?>
<comments xmlns="http://schemas.openxmlformats.org/spreadsheetml/2006/main">
  <authors>
    <author>УОМС</author>
  </authors>
  <commentList>
    <comment ref="FQ34" authorId="0">
      <text>
        <r>
          <rPr>
            <b/>
            <sz val="9"/>
            <color indexed="81"/>
            <rFont val="Tahoma"/>
            <family val="2"/>
            <charset val="204"/>
          </rPr>
          <t>УОМС:</t>
        </r>
        <r>
          <rPr>
            <sz val="9"/>
            <color indexed="81"/>
            <rFont val="Tahoma"/>
            <family val="2"/>
            <charset val="204"/>
          </rPr>
          <t xml:space="preserve">
24.06.2022
</t>
        </r>
      </text>
    </comment>
  </commentList>
</comments>
</file>

<file path=xl/sharedStrings.xml><?xml version="1.0" encoding="utf-8"?>
<sst xmlns="http://schemas.openxmlformats.org/spreadsheetml/2006/main" count="12599" uniqueCount="396">
  <si>
    <t>Наименование показателя</t>
  </si>
  <si>
    <t>Код строки</t>
  </si>
  <si>
    <r>
      <t>Код по бюджетной классификации Российской Федерации</t>
    </r>
    <r>
      <rPr>
        <vertAlign val="superscript"/>
        <sz val="10"/>
        <color theme="1"/>
        <rFont val="Arial"/>
        <family val="2"/>
        <charset val="204"/>
      </rPr>
      <t>3</t>
    </r>
  </si>
  <si>
    <t>Аналитический</t>
  </si>
  <si>
    <r>
      <t>код</t>
    </r>
    <r>
      <rPr>
        <vertAlign val="superscript"/>
        <sz val="10"/>
        <color theme="1"/>
        <rFont val="Arial"/>
        <family val="2"/>
        <charset val="204"/>
      </rPr>
      <t>4</t>
    </r>
  </si>
  <si>
    <t>Сумма</t>
  </si>
  <si>
    <t>за пределами планового периода</t>
  </si>
  <si>
    <r>
      <t>Остаток средств на начало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</si>
  <si>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х</t>
  </si>
  <si>
    <r>
      <t>Остаток средств на конец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</si>
  <si>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Доходы, всего:</t>
  </si>
  <si>
    <t>в том числе:</t>
  </si>
  <si>
    <t>доходы от собственности, всего</t>
  </si>
  <si>
    <t xml:space="preserve">                                                                                    ______________________________________________</t>
  </si>
  <si>
    <t xml:space="preserve">                                                                                    (наименование органа - учредителя (учреждения)</t>
  </si>
  <si>
    <t xml:space="preserve">                                                                                                                   │    Коды    │</t>
  </si>
  <si>
    <t>Раздел 1. Поступления и выплаты</t>
  </si>
  <si>
    <r>
      <t>Аналитический код</t>
    </r>
    <r>
      <rPr>
        <vertAlign val="superscript"/>
        <sz val="10"/>
        <color theme="1"/>
        <rFont val="Arial"/>
        <family val="2"/>
        <charset val="204"/>
      </rPr>
      <t>4</t>
    </r>
  </si>
  <si>
    <t>доходы от оказания услуг, работ, компенсации затрат учреждений, всего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</si>
  <si>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</si>
  <si>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</si>
  <si>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</si>
  <si>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</si>
  <si>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</si>
  <si>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</si>
  <si>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</si>
  <si>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</si>
  <si>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r>
      <t>прочие поступления, всего</t>
    </r>
    <r>
      <rPr>
        <vertAlign val="superscript"/>
        <sz val="10"/>
        <color theme="1"/>
        <rFont val="Arial"/>
        <family val="2"/>
        <charset val="204"/>
      </rPr>
      <t>6</t>
    </r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</si>
  <si>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</si>
  <si>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</si>
  <si>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</si>
  <si>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</si>
  <si>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</si>
  <si>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</si>
  <si>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</si>
  <si>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</si>
  <si>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</si>
  <si>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на иные выплаты работникам</t>
  </si>
  <si>
    <t>денежное довольствие военнослужащих и сотрудников, имеющих специальные звания</t>
  </si>
  <si>
    <t>иные выплаты военнослужащим и сотрудникам, имеющим специальные звания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</si>
  <si>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</si>
  <si>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оплату труда стажеров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</si>
  <si>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</si>
  <si>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</si>
  <si>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</si>
  <si>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</si>
  <si>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</si>
  <si>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</si>
  <si>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</si>
  <si>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</si>
  <si>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</si>
  <si>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</si>
  <si>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</si>
  <si>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</si>
  <si>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</si>
  <si>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</si>
  <si>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</si>
  <si>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</si>
  <si>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r>
      <t>расходы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7</t>
    </r>
  </si>
  <si>
    <t>закупку товаров, работ, услуг в целях капитального ремонта государственного (муниципального) имущества</t>
  </si>
  <si>
    <t>прочую закупку товаров, работ и услуг, всего</t>
  </si>
  <si>
    <t>капитальные вложения в объекты государственной (муниципальной) собственности, всего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</si>
  <si>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</si>
  <si>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</si>
  <si>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r>
      <t>Выплаты, уменьшающие доход, всего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</si>
  <si>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прибыль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</si>
  <si>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добавленную стоимость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</si>
  <si>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налоги, уменьшающие доход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</si>
  <si>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выплаты, всего</t>
    </r>
    <r>
      <rPr>
        <vertAlign val="superscript"/>
        <sz val="10"/>
        <color theme="1"/>
        <rFont val="Arial"/>
        <family val="2"/>
        <charset val="204"/>
      </rPr>
      <t>9</t>
    </r>
  </si>
  <si>
    <t>возврат в бюджет средств субсидии</t>
  </si>
  <si>
    <r>
      <t>Раздел 2. Сведения по выплатам на закупки товаров, работ, услуг</t>
    </r>
    <r>
      <rPr>
        <b/>
        <u/>
        <vertAlign val="superscript"/>
        <sz val="12"/>
        <color theme="1"/>
        <rFont val="Arial"/>
        <family val="2"/>
        <charset val="204"/>
      </rPr>
      <t>10</t>
    </r>
  </si>
  <si>
    <t>№ п/п</t>
  </si>
  <si>
    <t>Коды строк</t>
  </si>
  <si>
    <t>Год начала закупки</t>
  </si>
  <si>
    <r>
      <t>Выплаты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11</t>
    </r>
  </si>
  <si>
    <t>1.1.</t>
  </si>
  <si>
    <r>
      <t>по контрактам (договорам), заключенным до начала текущего финансового года без применения норм Федерального закона от 5 апреля 2013 г. № 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 14, ст. 1652; 2018, № 32, ст. 5104) (далее - Федеральный закон № 44-ФЗ) и Федерального закона от 18 июля 2011 г. № 223-ФЗ "О закупках товаров, работ, услуг отдельными видами юридических лиц" (Собрание законодательства Российской Федерации, 2011, № 30, ст. 4571; 2018, № 32, ст. 5135) (далее - Федеральный закон № 223-ФЗ)</t>
    </r>
    <r>
      <rPr>
        <vertAlign val="superscript"/>
        <sz val="10"/>
        <color theme="1"/>
        <rFont val="Arial"/>
        <family val="2"/>
        <charset val="204"/>
      </rPr>
      <t>12</t>
    </r>
  </si>
  <si>
    <t>1.2.</t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</si>
  <si>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12</t>
    </r>
  </si>
  <si>
    <t>1.3.</t>
  </si>
  <si>
    <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</si>
  <si>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1.4.</t>
  </si>
  <si>
    <r>
  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</si>
  <si>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за счет субсидий, предоставляемых на финансовое обеспечение выполнения государственного (муниципального) задания</t>
  </si>
  <si>
    <t>1.4.1.1.</t>
  </si>
  <si>
    <t>в соответствии с Федеральным законом № 44-ФЗ</t>
  </si>
  <si>
    <t>1.4.1.2.</t>
  </si>
  <si>
    <r>
      <t>в соответствии с Федеральным законом № 223-ФЗ</t>
    </r>
    <r>
      <rPr>
        <vertAlign val="superscript"/>
        <sz val="10"/>
        <color theme="1"/>
        <rFont val="Arial"/>
        <family val="2"/>
        <charset val="204"/>
      </rPr>
      <t>14</t>
    </r>
  </si>
  <si>
    <t>1.4.2.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</si>
  <si>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</si>
  <si>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1.4.2.1</t>
  </si>
  <si>
    <t>1.4.2.2.</t>
  </si>
  <si>
    <t>1.4.3.</t>
  </si>
  <si>
    <r>
      <t>за счет субсидий, предоставляемых на осуществление капитальных вложений</t>
    </r>
    <r>
      <rPr>
        <vertAlign val="superscript"/>
        <sz val="10"/>
        <color theme="1"/>
        <rFont val="Arial"/>
        <family val="2"/>
        <charset val="204"/>
      </rPr>
      <t>15</t>
    </r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</si>
  <si>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</si>
  <si>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</si>
  <si>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</si>
  <si>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</si>
  <si>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</si>
  <si>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</si>
  <si>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1.4.5.2.</t>
  </si>
  <si>
    <t>в соответствии с Федеральным законом № 223-ФЗ</t>
  </si>
  <si>
    <t>2.</t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</si>
  <si>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vertAlign val="superscript"/>
        <sz val="10"/>
        <color theme="1"/>
        <rFont val="Arial"/>
        <family val="2"/>
        <charset val="204"/>
      </rPr>
      <t>16</t>
    </r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</si>
  <si>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</si>
  <si>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</si>
  <si>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</si>
  <si>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>Руководитель учреждения</t>
  </si>
  <si>
    <t xml:space="preserve">                                   (должность)              (подпись)          (расшифровка подписи)</t>
  </si>
  <si>
    <t>в том числе: арендная плата</t>
  </si>
  <si>
    <t>доходы от оказания услуг, работ, компенсации затрат учреждений</t>
  </si>
  <si>
    <t>КФО2</t>
  </si>
  <si>
    <t>КФО4</t>
  </si>
  <si>
    <t>КФО6</t>
  </si>
  <si>
    <t>1.4.1</t>
  </si>
  <si>
    <t xml:space="preserve">№ п/п </t>
  </si>
  <si>
    <t>260/4</t>
  </si>
  <si>
    <t>Местный бюджет отдельн КБК</t>
  </si>
  <si>
    <t>Зарплата</t>
  </si>
  <si>
    <t>Итого</t>
  </si>
  <si>
    <t>ИТОГО</t>
  </si>
  <si>
    <t>родит+возмещ</t>
  </si>
  <si>
    <t>пеня</t>
  </si>
  <si>
    <t>Увел 11</t>
  </si>
  <si>
    <t>МОУ "Азовская школа-гимназия им.Николая Саввы"</t>
  </si>
  <si>
    <t>МОУ "Вольновская школа"</t>
  </si>
  <si>
    <t>МБОУ "Заветленинская школа- детский сад"</t>
  </si>
  <si>
    <t>МБОУ "Зареченская школа с крымско-татарским языком обучения-детский сад"</t>
  </si>
  <si>
    <t>МОУ "Зареченская русская школа"</t>
  </si>
  <si>
    <t>МОУ "Изумрудновская школа"</t>
  </si>
  <si>
    <t>МОУ "Кондратьевская школа"</t>
  </si>
  <si>
    <t>МОУ "Крымская школа"</t>
  </si>
  <si>
    <t>МБОУ "Лобановская школа- детский сад</t>
  </si>
  <si>
    <t>МОУОДО "Луганская школа-детский сад"</t>
  </si>
  <si>
    <t>МОУ "Майская русская школа"</t>
  </si>
  <si>
    <t>МОУ "Майская школа с крымско-татарским языком обучения"</t>
  </si>
  <si>
    <t>МОУ "Масловская школа"</t>
  </si>
  <si>
    <t>МОУ "Медведевская школа"</t>
  </si>
  <si>
    <t>МОУ "Мирновская школа"</t>
  </si>
  <si>
    <t>МОУ "Новокрымская школа"</t>
  </si>
  <si>
    <t>МОУ "Новостепновская школа"</t>
  </si>
  <si>
    <t>МОУ "Овощновская школа"</t>
  </si>
  <si>
    <t>МБОУ "Пахаревская школа- детский сад</t>
  </si>
  <si>
    <t>МОУ "Победненская школа"</t>
  </si>
  <si>
    <t>МОУ "Просторненская школа"</t>
  </si>
  <si>
    <t>МОУ "Роскошненская школа"</t>
  </si>
  <si>
    <t>МБОУ "Рощинская школа- детский сад</t>
  </si>
  <si>
    <t>МОУ "Светловская школа"</t>
  </si>
  <si>
    <t>МОУ "Соленоозерная школа"</t>
  </si>
  <si>
    <t>МОУ "Стальновская школа"</t>
  </si>
  <si>
    <t>МОУ "Столбовская школа"</t>
  </si>
  <si>
    <t>МБОУ "Табачненская школа- детский сад"</t>
  </si>
  <si>
    <t>МОУ "Целиновская школа"</t>
  </si>
  <si>
    <t>МБОУ "Чайкинская школа- детский сад</t>
  </si>
  <si>
    <t>МОУ "Ярковская школа"</t>
  </si>
  <si>
    <t>МОУ "Яркополенская школа"</t>
  </si>
  <si>
    <t>МБОУ "Яснополянская школа- детский сад"</t>
  </si>
  <si>
    <t>Прочие
244</t>
  </si>
  <si>
    <t xml:space="preserve">Муниципальное задание ШКОЛЫ                                                                             </t>
  </si>
  <si>
    <t>Иные</t>
  </si>
  <si>
    <t>Местный</t>
  </si>
  <si>
    <t xml:space="preserve"> ИНЫЕ 244</t>
  </si>
  <si>
    <t>Иные 112</t>
  </si>
  <si>
    <t xml:space="preserve">Итого </t>
  </si>
  <si>
    <t>Итого
 местный</t>
  </si>
  <si>
    <t>Итого 
муниципалка</t>
  </si>
  <si>
    <t>Родител.
плата</t>
  </si>
  <si>
    <t>Компенсация затрат</t>
  </si>
  <si>
    <t>Штрафы</t>
  </si>
  <si>
    <t>Всего прочие</t>
  </si>
  <si>
    <t>КФО5+6</t>
  </si>
  <si>
    <t>Итого прочие244</t>
  </si>
  <si>
    <t>Кап.
Вложения 400</t>
  </si>
  <si>
    <t>Уголь</t>
  </si>
  <si>
    <t>Продукты</t>
  </si>
  <si>
    <t>Итого
 муниц</t>
  </si>
  <si>
    <t xml:space="preserve">Договора, заключ в 2019г на 2020 РПпродукты </t>
  </si>
  <si>
    <t xml:space="preserve">   </t>
  </si>
  <si>
    <t>Утверждаю</t>
  </si>
  <si>
    <t xml:space="preserve">                                                                                                    </t>
  </si>
  <si>
    <t>(уполномоченное лицо учреждения) __Директор_____ ________________________ _________________________</t>
  </si>
  <si>
    <t xml:space="preserve">                     (должность)       (фамилия, инициалы)           </t>
  </si>
  <si>
    <r>
      <t xml:space="preserve">Гл.бухгалтер      _________________       </t>
    </r>
    <r>
      <rPr>
        <u/>
        <sz val="10"/>
        <color theme="1"/>
        <rFont val="Courier New"/>
        <family val="3"/>
        <charset val="204"/>
      </rPr>
      <t>Попович А.С.</t>
    </r>
  </si>
  <si>
    <t xml:space="preserve">                                                                                             "24"_декабря__2020_г.</t>
  </si>
  <si>
    <t xml:space="preserve">   Коды    </t>
  </si>
  <si>
    <t>Дата</t>
  </si>
  <si>
    <t xml:space="preserve"> глава по БК</t>
  </si>
  <si>
    <t xml:space="preserve"> функции и полномочия                                                                                  </t>
  </si>
  <si>
    <t xml:space="preserve">                                                                                          </t>
  </si>
  <si>
    <t>ИНН</t>
  </si>
  <si>
    <t>КПП</t>
  </si>
  <si>
    <t>по ОКЕИ</t>
  </si>
  <si>
    <t xml:space="preserve"> Единица измерения: руб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</si>
  <si>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</si>
  <si>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Орган, осуществляющий                                                                                             </t>
  </si>
  <si>
    <t xml:space="preserve">                                               Джанкойского района                                                                   </t>
  </si>
  <si>
    <r>
      <t xml:space="preserve"> учредителя             </t>
    </r>
    <r>
      <rPr>
        <b/>
        <sz val="11"/>
        <color theme="1"/>
        <rFont val="Courier New"/>
        <family val="3"/>
        <charset val="204"/>
      </rPr>
      <t xml:space="preserve">Управление образования,молодежи и спорта администрации </t>
    </r>
    <r>
      <rPr>
        <sz val="10"/>
        <color theme="1"/>
        <rFont val="Courier New"/>
        <family val="3"/>
        <charset val="204"/>
      </rPr>
      <t xml:space="preserve">                   </t>
    </r>
  </si>
  <si>
    <t xml:space="preserve">         по Сводному реестру</t>
  </si>
  <si>
    <t xml:space="preserve">                                                                                   </t>
  </si>
  <si>
    <t xml:space="preserve">Респ
</t>
  </si>
  <si>
    <t xml:space="preserve">                                                                            (подпись)        (расшифровка подписи)</t>
  </si>
  <si>
    <t>от</t>
  </si>
  <si>
    <t>Муниципальное общеобразовательное учреждение</t>
  </si>
  <si>
    <t>Муниципальное бюджетное общеобразовательное учреждение</t>
  </si>
  <si>
    <r>
      <t xml:space="preserve"> Учреждение              </t>
    </r>
    <r>
      <rPr>
        <b/>
        <sz val="11"/>
        <color theme="1"/>
        <rFont val="Times New Roman"/>
        <family val="1"/>
        <charset val="204"/>
      </rPr>
      <t xml:space="preserve">"Азовская школа-гимназия имени Николая Саввы" </t>
    </r>
    <r>
      <rPr>
        <b/>
        <sz val="11"/>
        <color theme="1"/>
        <rFont val="Courier New"/>
        <family val="3"/>
        <charset val="204"/>
      </rPr>
      <t xml:space="preserve"> </t>
    </r>
    <r>
      <rPr>
        <sz val="11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</si>
  <si>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         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"Вольновская школа"</t>
    </r>
    <r>
      <rPr>
        <sz val="11"/>
        <color theme="1"/>
        <rFont val="Courier New"/>
        <family val="3"/>
        <charset val="204"/>
      </rPr>
      <t xml:space="preserve">  </t>
    </r>
    <r>
      <rPr>
        <sz val="10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</si>
  <si>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"Завет-Ленинская школа-детский сад" 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</si>
  <si>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с крымско-татарским языком обучения"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</si>
  <si>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</si>
  <si>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"Изумрудновская школа"   </t>
    </r>
    <r>
      <rPr>
        <sz val="10"/>
        <color theme="1"/>
        <rFont val="Courier New"/>
        <family val="3"/>
        <charset val="204"/>
      </rPr>
      <t xml:space="preserve">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</si>
  <si>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 xml:space="preserve"> "Кондратьевская школа"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</si>
  <si>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 </t>
    </r>
    <r>
      <rPr>
        <b/>
        <sz val="11"/>
        <color theme="1"/>
        <rFont val="Times New Roman"/>
        <family val="1"/>
        <charset val="204"/>
      </rPr>
      <t>"Крымская школа"</t>
    </r>
    <r>
      <rPr>
        <sz val="10"/>
        <color theme="1"/>
        <rFont val="Courier New"/>
        <family val="3"/>
        <charset val="204"/>
      </rPr>
      <t xml:space="preserve">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</si>
  <si>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"Лобановская школа-детский сад" </t>
    </r>
    <r>
      <rPr>
        <sz val="10"/>
        <color theme="1"/>
        <rFont val="Courier New"/>
        <family val="3"/>
        <charset val="204"/>
      </rPr>
      <t xml:space="preserve">        </t>
    </r>
  </si>
  <si>
    <t xml:space="preserve">         Муниципальное образовательное учреждение общего и дошкольного образования</t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</si>
  <si>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"Луганская школа-детский сад"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</si>
  <si>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</t>
    </r>
    <r>
      <rPr>
        <b/>
        <sz val="11"/>
        <color theme="1"/>
        <rFont val="Times New Roman"/>
        <family val="1"/>
        <charset val="204"/>
      </rPr>
      <t>"Майская школа"</t>
    </r>
    <r>
      <rPr>
        <sz val="10"/>
        <color theme="1"/>
        <rFont val="Courier New"/>
        <family val="3"/>
        <charset val="204"/>
      </rPr>
      <t xml:space="preserve">               </t>
    </r>
  </si>
  <si>
    <t>МОУ "Майская школа"</t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</si>
  <si>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"Масловская школа-детский сад"</t>
    </r>
    <r>
      <rPr>
        <sz val="10"/>
        <color theme="1"/>
        <rFont val="Courier New"/>
        <family val="3"/>
        <charset val="204"/>
      </rPr>
      <t xml:space="preserve"> 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</si>
  <si>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"Медведевская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</si>
  <si>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"Мирновская школа"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</si>
  <si>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"Новокрымская школа"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</si>
  <si>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"Новостепновская школа"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</si>
  <si>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  "</t>
    </r>
    <r>
      <rPr>
        <b/>
        <sz val="11"/>
        <color theme="1"/>
        <rFont val="Times New Roman"/>
        <family val="1"/>
        <charset val="204"/>
      </rPr>
      <t>Овощновская школа</t>
    </r>
    <r>
      <rPr>
        <sz val="10"/>
        <color theme="1"/>
        <rFont val="Courier New"/>
        <family val="3"/>
        <charset val="204"/>
      </rPr>
      <t xml:space="preserve">"              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</si>
  <si>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«Пахаревкая школа –детский сад»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</si>
  <si>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"Победненская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</si>
  <si>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</t>
    </r>
    <r>
      <rPr>
        <b/>
        <sz val="11"/>
        <color theme="1"/>
        <rFont val="Times New Roman"/>
        <family val="1"/>
        <charset val="204"/>
      </rPr>
      <t xml:space="preserve"> "Рощинская школа-детский сад"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</si>
  <si>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          </t>
    </r>
    <r>
      <rPr>
        <b/>
        <sz val="11"/>
        <color theme="1"/>
        <rFont val="Times New Roman"/>
        <family val="1"/>
        <charset val="204"/>
      </rPr>
      <t xml:space="preserve"> "Светловская школа"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</si>
  <si>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"Табачненская школа-детский сад"     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</si>
  <si>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"Стальновская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</si>
  <si>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"Столбовская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</si>
  <si>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>"Целиновская школа"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</si>
  <si>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   "Чайкинская школа-детский сад"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</si>
  <si>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"Яснополянская школа- детский сад"  </t>
    </r>
    <r>
      <rPr>
        <sz val="10"/>
        <color theme="1"/>
        <rFont val="Courier New"/>
        <family val="3"/>
        <charset val="204"/>
      </rPr>
      <t xml:space="preserve">          </t>
    </r>
  </si>
  <si>
    <t>Всего по
 всем КФО</t>
  </si>
  <si>
    <r>
      <t xml:space="preserve"> Учреждение                 </t>
    </r>
    <r>
      <rPr>
        <b/>
        <sz val="11"/>
        <color theme="1"/>
        <rFont val="Times New Roman"/>
        <family val="1"/>
        <charset val="204"/>
      </rPr>
      <t xml:space="preserve">"Просторненская школа имени Ивана Яцуненко" 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</si>
  <si>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"Соленоозерная школа имени Степана Куца" 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</si>
  <si>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>"Ярковская школа имени Михаила Чупилко"</t>
    </r>
  </si>
  <si>
    <t>Леваньков И.А.</t>
  </si>
  <si>
    <t>коман+дистан.обуч. 112</t>
  </si>
  <si>
    <t>853</t>
  </si>
  <si>
    <t>26500.1</t>
  </si>
  <si>
    <t>2.1</t>
  </si>
  <si>
    <t>подгот.
орган упр сил РСЧС 07022020120050611</t>
  </si>
  <si>
    <t>853/291</t>
  </si>
  <si>
    <t>851/291</t>
  </si>
  <si>
    <t>852/291</t>
  </si>
  <si>
    <t>оздоровл</t>
  </si>
  <si>
    <t>Код бюджетной классификации Российской  Федерации</t>
  </si>
  <si>
    <t>4.1</t>
  </si>
  <si>
    <t>1.3.1</t>
  </si>
  <si>
    <t>1.3.2</t>
  </si>
  <si>
    <t>26310.1</t>
  </si>
  <si>
    <t>в том числе: в соответствии с Федеральным законом № 44-ФЗ</t>
  </si>
  <si>
    <t>26430.1</t>
  </si>
  <si>
    <t>26421.1</t>
  </si>
  <si>
    <t>0000000000</t>
  </si>
  <si>
    <t>Прочие доходы</t>
  </si>
  <si>
    <t>Бушманова А.Н.</t>
  </si>
  <si>
    <t xml:space="preserve">904070202701L3040612
 </t>
  </si>
  <si>
    <t>Горячее питание ФБ</t>
  </si>
  <si>
    <t>Кравец Е.В.</t>
  </si>
  <si>
    <t xml:space="preserve">в том числе: </t>
  </si>
  <si>
    <t>расходы на выплаты военнослужащим и сотрудникам, имеющим специальные звания, зависящие от размера денежного довольствия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</si>
  <si>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</si>
  <si>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</si>
  <si>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</si>
  <si>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"Яркополенская школа-детский сад"    </t>
    </r>
    <r>
      <rPr>
        <sz val="10"/>
        <color theme="1"/>
        <rFont val="Courier New"/>
        <family val="3"/>
        <charset val="204"/>
      </rPr>
      <t xml:space="preserve">         </t>
    </r>
  </si>
  <si>
    <t>Договора, заключ в 2020г на 2021 муниципалка</t>
  </si>
  <si>
    <t>РЭС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</si>
  <si>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"Роскошненская школа-детский сад"</t>
    </r>
  </si>
  <si>
    <t>закупку научно-исследовательских, опытно-конструкторских работ и технологических работ</t>
  </si>
  <si>
    <t xml:space="preserve"> закупку товаров, работ и услуг в целях создания, развития, эксплуатации и вывода из эксплуатации госцдарственных информационных систем</t>
  </si>
  <si>
    <t>закупку энергетических ресурсов</t>
  </si>
  <si>
    <t>прочую закупку товаров, работ и услуг</t>
  </si>
  <si>
    <t>Иные 243</t>
  </si>
  <si>
    <t>Респуб243</t>
  </si>
  <si>
    <t>Местный бюджет ИНЫЕ ЦЕЛИ 07020220100590612</t>
  </si>
  <si>
    <t>07020270320440611</t>
  </si>
  <si>
    <t>Итого 244</t>
  </si>
  <si>
    <t>установка ограждения243</t>
  </si>
  <si>
    <t>Итого 243</t>
  </si>
  <si>
    <t>из них:объекты кап.строительства,финансируемые из Федерального бюджета</t>
  </si>
  <si>
    <t>26310.2</t>
  </si>
  <si>
    <t>Уникальный код</t>
  </si>
  <si>
    <t>4.2</t>
  </si>
  <si>
    <t>26430.2</t>
  </si>
  <si>
    <t>26451.2</t>
  </si>
  <si>
    <t>1.3.1.1</t>
  </si>
  <si>
    <t>1.3.1.2</t>
  </si>
  <si>
    <t>1.4.3.1</t>
  </si>
  <si>
    <t>1.4.3.2</t>
  </si>
  <si>
    <t>1.4.5.1</t>
  </si>
  <si>
    <t>1.4.5.1.1</t>
  </si>
  <si>
    <t>1.4.5.1.2</t>
  </si>
  <si>
    <t>Гранты,
 благотвор</t>
  </si>
  <si>
    <t xml:space="preserve">
 904070202215S0810612</t>
  </si>
  <si>
    <t>022Е250970</t>
  </si>
  <si>
    <t>1.4.2.1.1</t>
  </si>
  <si>
    <t>из них: нацпроект</t>
  </si>
  <si>
    <t>831/297</t>
  </si>
  <si>
    <t>Компен. сел.пед+
 компен переехавшим</t>
  </si>
  <si>
    <t>852/291 госпошлина</t>
  </si>
  <si>
    <t>Синяк И.А.</t>
  </si>
  <si>
    <t>Куртнезиров Р.З</t>
  </si>
  <si>
    <t>26.12.22</t>
  </si>
  <si>
    <t>Классное руковод 612,
 Советники</t>
  </si>
  <si>
    <t>Остаток средств на начало текущего финансового года КФО2</t>
  </si>
  <si>
    <t>Итого Остаток средств на начало текущего финансового года</t>
  </si>
  <si>
    <t>Капитальный
 ремонт</t>
  </si>
  <si>
    <r>
      <t xml:space="preserve"> Учреждение     </t>
    </r>
    <r>
      <rPr>
        <b/>
        <sz val="11"/>
        <color theme="1"/>
        <rFont val="Times New Roman"/>
        <family val="1"/>
        <charset val="204"/>
      </rPr>
      <t>"Майская школа с крымскотатарским языком обучения имени Номана Челебиджихана"</t>
    </r>
    <r>
      <rPr>
        <sz val="10"/>
        <color theme="1"/>
        <rFont val="Courier New"/>
        <family val="3"/>
        <charset val="204"/>
      </rPr>
      <t xml:space="preserve">               </t>
    </r>
  </si>
  <si>
    <t>Школьное инициативное бюджетирование</t>
  </si>
  <si>
    <t>070202221S0Ш01612</t>
  </si>
  <si>
    <t>налог на имущество 851/291</t>
  </si>
  <si>
    <t>Расходы на реализацию
 мероприятий по модернизации школьных систем образования муниципального образования Джанкойский район Республики Крым 904070202220L7500612</t>
  </si>
  <si>
    <t>26500.2</t>
  </si>
  <si>
    <t>26500.3</t>
  </si>
  <si>
    <t>853/293</t>
  </si>
  <si>
    <t>01.11.23</t>
  </si>
  <si>
    <t>Маненко О.А.</t>
  </si>
  <si>
    <t>09.11.2023</t>
  </si>
  <si>
    <t>15.11.2023</t>
  </si>
  <si>
    <t>17.11</t>
  </si>
  <si>
    <t xml:space="preserve"> Местный 2024</t>
  </si>
  <si>
    <t>на 2026 г. второй год планового периода</t>
  </si>
  <si>
    <t>на 2025 г. первый год планового периода</t>
  </si>
  <si>
    <t>на 2024 г. текущий финансовый год</t>
  </si>
  <si>
    <t xml:space="preserve">Классное руковод 612
</t>
  </si>
  <si>
    <t xml:space="preserve">
 Советники</t>
  </si>
  <si>
    <t>111</t>
  </si>
  <si>
    <t>119</t>
  </si>
  <si>
    <t>070202205SK750612</t>
  </si>
  <si>
    <t>070202220L7500612</t>
  </si>
  <si>
    <t>Иные цели
 Республ 244</t>
  </si>
  <si>
    <t>Иные цели 
243</t>
  </si>
  <si>
    <t>Льгот пит</t>
  </si>
  <si>
    <t>спортплощадка
 НАЦПРОЕКТ</t>
  </si>
  <si>
    <t>0702022Е250980612</t>
  </si>
  <si>
    <t>Расходы на реализацию
 мероприятий по модернизации школьных систем образования 244</t>
  </si>
  <si>
    <t>2025
243</t>
  </si>
  <si>
    <t>2025
  244</t>
  </si>
  <si>
    <t xml:space="preserve"> Местный 2024 Первоначальный</t>
  </si>
  <si>
    <t>Расходы на реализацию
 мероприятий по модернизации школьных систем образования 243 измен 04.03.24</t>
  </si>
  <si>
    <t>приобретение модул.зданий</t>
  </si>
  <si>
    <t>904070202205М370Р612</t>
  </si>
  <si>
    <t>Субсидии бюджетам муниципальных образований Республики Крым на капитальный ремонт муниципальных образовательных учреждений (средства г. Москва)</t>
  </si>
  <si>
    <t>ПСД капремонт/капремонт крыши/технадзор</t>
  </si>
  <si>
    <t>12,07,2023</t>
  </si>
  <si>
    <t xml:space="preserve">01.08.2024 </t>
  </si>
  <si>
    <t>01/08/2024</t>
  </si>
  <si>
    <t>15.08.24</t>
  </si>
  <si>
    <t>28.08.24</t>
  </si>
  <si>
    <t>18,09,2024</t>
  </si>
  <si>
    <t>02.10.24</t>
  </si>
  <si>
    <t>23.10.2024</t>
  </si>
  <si>
    <t>28.10.24</t>
  </si>
  <si>
    <t>11.11.2024</t>
  </si>
  <si>
    <t>Вознаграждение советникам</t>
  </si>
  <si>
    <t>22.11.2024</t>
  </si>
  <si>
    <t>04.12.2024</t>
  </si>
  <si>
    <t>09.12.24</t>
  </si>
  <si>
    <t>капитальный ремонт отопления, здания</t>
  </si>
  <si>
    <t>11.12</t>
  </si>
  <si>
    <t>16-19.12.2024</t>
  </si>
  <si>
    <t>Республ 2025</t>
  </si>
  <si>
    <t xml:space="preserve">                               План финансово-хозяйственной деятельности на 2025_ г. </t>
  </si>
  <si>
    <t>на 2025 г. текущий финансовый год</t>
  </si>
  <si>
    <t>на 2026 г. первый год планового периода</t>
  </si>
  <si>
    <t>на 2027 г. второй год планового периода</t>
  </si>
  <si>
    <t xml:space="preserve">Договора, заключ в 2024г на 2025 иные модуль </t>
  </si>
  <si>
    <t>Остаток средств на начало текущего финансового года КФО 5 ВР 244</t>
  </si>
  <si>
    <t>Остаток средств на начало текущего финансового года КФО 5 ВР 243</t>
  </si>
  <si>
    <t>из них:за счет субсидий, предоставляемых в соответствии с абзацем вторым пункта 1 статьи 78.1 Бюджетного кодекса Российской Федерации</t>
  </si>
  <si>
    <t>Установка системы видеонаблюдения 06.03.2025</t>
  </si>
  <si>
    <t>Установка системы пожарной безопасности 05.03.2025</t>
  </si>
  <si>
    <t>доходы от операций с активами</t>
  </si>
  <si>
    <t>В т.ч. Расходы за счет прочих на 247</t>
  </si>
  <si>
    <t>Расходы бюджетных учреждений на закупку товаров, работ, услуг</t>
  </si>
  <si>
    <t>Мартын. Посбие</t>
  </si>
  <si>
    <t>Трудовой лагерь 27.05.2025</t>
  </si>
  <si>
    <t>16.06.2025</t>
  </si>
  <si>
    <t>Оборуд.пищеблока
16.06.2025</t>
  </si>
  <si>
    <t>Возврат остатков прошлых лет ВР 610</t>
  </si>
  <si>
    <t>01.07.2025</t>
  </si>
  <si>
    <t>28.07.2025</t>
  </si>
  <si>
    <t>15.08.2025</t>
  </si>
  <si>
    <t>газификация/Замена магистрали водопровода и отопления 15.08.25</t>
  </si>
  <si>
    <t>прочие поступления</t>
  </si>
  <si>
    <t>27.08.25</t>
  </si>
  <si>
    <t xml:space="preserve">Начальник управления образования, молодежи и спорта администрации </t>
  </si>
  <si>
    <t>(наименование должности лица, утверждающего документ; наименование органа,</t>
  </si>
  <si>
    <t>Джанкойского района</t>
  </si>
  <si>
    <t>осуществляющего функции и полномочия учредителя (учреждения))</t>
  </si>
  <si>
    <t>В.А.Кравченко</t>
  </si>
  <si>
    <t>19.09.25</t>
  </si>
  <si>
    <t>"16"октября 2025 г.</t>
  </si>
  <si>
    <t>16.10.2025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</si>
</sst>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dd/mm/yy;@"/>
    <numFmt numFmtId="165" formatCode="_-* #,##0.00_р_._-;\-* #,##0.00_р_._-;_-* &quot;-&quot;??_р_._-;_-@_-"/>
    <numFmt numFmtId="166" formatCode="#,##0.00\ _₽"/>
  </numFmts>
  <fonts count="42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b/>
      <u/>
      <sz val="12"/>
      <color theme="1"/>
      <name val="Arial"/>
      <family val="2"/>
      <charset val="204"/>
    </font>
    <font>
      <b/>
      <u/>
      <vertAlign val="superscript"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ourier New"/>
      <family val="3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ourier New"/>
      <family val="3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4" fillId="0" borderId="0"/>
    <xf numFmtId="0" fontId="10" fillId="0" borderId="0"/>
    <xf numFmtId="0" fontId="30" fillId="0" borderId="0"/>
    <xf numFmtId="0" fontId="6" fillId="0" borderId="0"/>
    <xf numFmtId="0" fontId="29" fillId="0" borderId="0"/>
    <xf numFmtId="165" fontId="6" fillId="0" borderId="0" applyFont="0" applyFill="0" applyBorder="0" applyAlignment="0" applyProtection="0"/>
  </cellStyleXfs>
  <cellXfs count="3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justify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7" borderId="6" xfId="0" applyFill="1" applyBorder="1"/>
    <xf numFmtId="0" fontId="0" fillId="0" borderId="13" xfId="0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49" fontId="0" fillId="8" borderId="0" xfId="0" applyNumberFormat="1" applyFill="1" applyBorder="1"/>
    <xf numFmtId="14" fontId="0" fillId="0" borderId="0" xfId="0" applyNumberFormat="1"/>
    <xf numFmtId="0" fontId="10" fillId="0" borderId="17" xfId="0" applyFont="1" applyBorder="1"/>
    <xf numFmtId="0" fontId="0" fillId="0" borderId="13" xfId="0" applyFill="1" applyBorder="1" applyAlignment="1">
      <alignment wrapText="1"/>
    </xf>
    <xf numFmtId="0" fontId="0" fillId="2" borderId="13" xfId="0" applyFill="1" applyBorder="1"/>
    <xf numFmtId="0" fontId="0" fillId="8" borderId="0" xfId="0" applyFill="1"/>
    <xf numFmtId="0" fontId="0" fillId="0" borderId="11" xfId="0" applyBorder="1" applyAlignment="1"/>
    <xf numFmtId="49" fontId="0" fillId="0" borderId="14" xfId="0" applyNumberFormat="1" applyBorder="1" applyAlignment="1"/>
    <xf numFmtId="0" fontId="0" fillId="8" borderId="0" xfId="0" applyFill="1" applyBorder="1"/>
    <xf numFmtId="0" fontId="0" fillId="0" borderId="18" xfId="0" applyBorder="1"/>
    <xf numFmtId="0" fontId="11" fillId="4" borderId="13" xfId="0" applyNumberFormat="1" applyFont="1" applyFill="1" applyBorder="1" applyAlignment="1" applyProtection="1">
      <alignment wrapText="1"/>
      <protection hidden="1"/>
    </xf>
    <xf numFmtId="4" fontId="0" fillId="0" borderId="13" xfId="0" applyNumberFormat="1" applyBorder="1"/>
    <xf numFmtId="2" fontId="0" fillId="0" borderId="13" xfId="0" applyNumberFormat="1" applyBorder="1"/>
    <xf numFmtId="4" fontId="0" fillId="0" borderId="0" xfId="0" applyNumberFormat="1"/>
    <xf numFmtId="4" fontId="0" fillId="0" borderId="0" xfId="0" applyNumberFormat="1" applyBorder="1"/>
    <xf numFmtId="1" fontId="0" fillId="0" borderId="0" xfId="0" applyNumberFormat="1"/>
    <xf numFmtId="1" fontId="0" fillId="0" borderId="13" xfId="0" applyNumberFormat="1" applyBorder="1"/>
    <xf numFmtId="2" fontId="0" fillId="0" borderId="0" xfId="0" applyNumberFormat="1"/>
    <xf numFmtId="1" fontId="0" fillId="9" borderId="13" xfId="0" applyNumberFormat="1" applyFill="1" applyBorder="1"/>
    <xf numFmtId="2" fontId="0" fillId="2" borderId="13" xfId="0" applyNumberFormat="1" applyFill="1" applyBorder="1"/>
    <xf numFmtId="1" fontId="0" fillId="0" borderId="14" xfId="0" applyNumberFormat="1" applyBorder="1"/>
    <xf numFmtId="4" fontId="0" fillId="0" borderId="16" xfId="0" applyNumberFormat="1" applyBorder="1" applyAlignment="1">
      <alignment horizontal="center"/>
    </xf>
    <xf numFmtId="0" fontId="11" fillId="0" borderId="13" xfId="0" applyNumberFormat="1" applyFont="1" applyFill="1" applyBorder="1" applyAlignment="1" applyProtection="1">
      <alignment wrapText="1"/>
      <protection hidden="1"/>
    </xf>
    <xf numFmtId="0" fontId="13" fillId="0" borderId="13" xfId="0" applyFont="1" applyFill="1" applyBorder="1" applyAlignment="1">
      <alignment wrapText="1"/>
    </xf>
    <xf numFmtId="0" fontId="13" fillId="4" borderId="13" xfId="0" applyFont="1" applyFill="1" applyBorder="1" applyAlignment="1">
      <alignment wrapText="1"/>
    </xf>
    <xf numFmtId="2" fontId="0" fillId="4" borderId="13" xfId="0" applyNumberFormat="1" applyFill="1" applyBorder="1"/>
    <xf numFmtId="2" fontId="0" fillId="0" borderId="0" xfId="0" applyNumberFormat="1" applyBorder="1"/>
    <xf numFmtId="4" fontId="0" fillId="0" borderId="13" xfId="0" applyNumberFormat="1" applyFill="1" applyBorder="1"/>
    <xf numFmtId="0" fontId="13" fillId="2" borderId="13" xfId="0" applyFont="1" applyFill="1" applyBorder="1" applyAlignment="1">
      <alignment wrapText="1"/>
    </xf>
    <xf numFmtId="0" fontId="0" fillId="0" borderId="20" xfId="0" applyBorder="1"/>
    <xf numFmtId="0" fontId="0" fillId="0" borderId="3" xfId="0" applyBorder="1"/>
    <xf numFmtId="4" fontId="0" fillId="0" borderId="8" xfId="0" applyNumberFormat="1" applyBorder="1"/>
    <xf numFmtId="3" fontId="0" fillId="0" borderId="0" xfId="0" applyNumberFormat="1"/>
    <xf numFmtId="3" fontId="11" fillId="4" borderId="21" xfId="1" applyNumberFormat="1" applyFont="1" applyFill="1" applyBorder="1" applyAlignment="1" applyProtection="1"/>
    <xf numFmtId="1" fontId="0" fillId="4" borderId="15" xfId="0" applyNumberFormat="1" applyFill="1" applyBorder="1"/>
    <xf numFmtId="0" fontId="9" fillId="7" borderId="0" xfId="0" applyFont="1" applyFill="1" applyBorder="1" applyAlignment="1">
      <alignment horizontal="center"/>
    </xf>
    <xf numFmtId="0" fontId="0" fillId="0" borderId="23" xfId="0" applyBorder="1"/>
    <xf numFmtId="0" fontId="0" fillId="0" borderId="13" xfId="0" applyBorder="1" applyAlignment="1">
      <alignment wrapText="1"/>
    </xf>
    <xf numFmtId="0" fontId="0" fillId="0" borderId="13" xfId="0" applyBorder="1" applyAlignment="1"/>
    <xf numFmtId="0" fontId="9" fillId="7" borderId="0" xfId="0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left" vertical="top" wrapText="1"/>
    </xf>
    <xf numFmtId="2" fontId="1" fillId="8" borderId="2" xfId="0" applyNumberFormat="1" applyFont="1" applyFill="1" applyBorder="1" applyAlignment="1">
      <alignment horizontal="left" vertical="top" wrapText="1"/>
    </xf>
    <xf numFmtId="4" fontId="1" fillId="8" borderId="2" xfId="0" applyNumberFormat="1" applyFont="1" applyFill="1" applyBorder="1" applyAlignment="1">
      <alignment horizontal="left" vertical="top" wrapText="1"/>
    </xf>
    <xf numFmtId="4" fontId="1" fillId="4" borderId="2" xfId="0" applyNumberFormat="1" applyFont="1" applyFill="1" applyBorder="1" applyAlignment="1">
      <alignment horizontal="left" vertical="top" wrapText="1"/>
    </xf>
    <xf numFmtId="0" fontId="15" fillId="4" borderId="0" xfId="0" applyFont="1" applyFill="1"/>
    <xf numFmtId="0" fontId="11" fillId="4" borderId="13" xfId="0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/>
    <xf numFmtId="0" fontId="0" fillId="0" borderId="0" xfId="0" applyBorder="1"/>
    <xf numFmtId="0" fontId="20" fillId="0" borderId="0" xfId="0" applyFont="1"/>
    <xf numFmtId="0" fontId="0" fillId="0" borderId="0" xfId="0" applyAlignment="1">
      <alignment horizontal="right"/>
    </xf>
    <xf numFmtId="14" fontId="0" fillId="0" borderId="13" xfId="0" applyNumberFormat="1" applyBorder="1"/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2" fontId="0" fillId="0" borderId="14" xfId="0" applyNumberFormat="1" applyBorder="1"/>
    <xf numFmtId="0" fontId="0" fillId="0" borderId="13" xfId="0" applyFill="1" applyBorder="1" applyAlignment="1"/>
    <xf numFmtId="49" fontId="0" fillId="0" borderId="13" xfId="0" applyNumberFormat="1" applyBorder="1"/>
    <xf numFmtId="4" fontId="1" fillId="3" borderId="2" xfId="0" applyNumberFormat="1" applyFont="1" applyFill="1" applyBorder="1" applyAlignment="1">
      <alignment horizontal="left" vertical="top" wrapText="1"/>
    </xf>
    <xf numFmtId="3" fontId="1" fillId="3" borderId="2" xfId="0" applyNumberFormat="1" applyFont="1" applyFill="1" applyBorder="1" applyAlignment="1">
      <alignment horizontal="left" vertical="top" wrapText="1"/>
    </xf>
    <xf numFmtId="2" fontId="1" fillId="3" borderId="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24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12" fillId="0" borderId="13" xfId="0" applyFont="1" applyBorder="1"/>
    <xf numFmtId="1" fontId="1" fillId="3" borderId="2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0" fillId="0" borderId="13" xfId="0" applyBorder="1" applyAlignment="1">
      <alignment horizontal="center"/>
    </xf>
    <xf numFmtId="4" fontId="1" fillId="8" borderId="2" xfId="0" applyNumberFormat="1" applyFont="1" applyFill="1" applyBorder="1" applyAlignment="1">
      <alignment horizontal="left" vertical="top" wrapText="1" indent="1"/>
    </xf>
    <xf numFmtId="0" fontId="0" fillId="11" borderId="13" xfId="0" applyFill="1" applyBorder="1"/>
    <xf numFmtId="0" fontId="0" fillId="4" borderId="19" xfId="0" applyFill="1" applyBorder="1"/>
    <xf numFmtId="4" fontId="0" fillId="4" borderId="13" xfId="0" applyNumberFormat="1" applyFill="1" applyBorder="1"/>
    <xf numFmtId="4" fontId="0" fillId="4" borderId="15" xfId="0" applyNumberFormat="1" applyFill="1" applyBorder="1"/>
    <xf numFmtId="0" fontId="0" fillId="4" borderId="13" xfId="0" applyFill="1" applyBorder="1"/>
    <xf numFmtId="3" fontId="12" fillId="4" borderId="13" xfId="0" applyNumberFormat="1" applyFont="1" applyFill="1" applyBorder="1"/>
    <xf numFmtId="0" fontId="0" fillId="12" borderId="0" xfId="0" applyFill="1" applyAlignment="1"/>
    <xf numFmtId="0" fontId="0" fillId="12" borderId="22" xfId="0" applyFill="1" applyBorder="1"/>
    <xf numFmtId="2" fontId="0" fillId="12" borderId="16" xfId="0" applyNumberFormat="1" applyFill="1" applyBorder="1"/>
    <xf numFmtId="2" fontId="0" fillId="9" borderId="13" xfId="0" applyNumberFormat="1" applyFill="1" applyBorder="1"/>
    <xf numFmtId="0" fontId="0" fillId="12" borderId="13" xfId="0" applyFill="1" applyBorder="1" applyAlignment="1">
      <alignment wrapText="1"/>
    </xf>
    <xf numFmtId="4" fontId="0" fillId="12" borderId="13" xfId="0" applyNumberFormat="1" applyFill="1" applyBorder="1"/>
    <xf numFmtId="0" fontId="0" fillId="13" borderId="13" xfId="0" applyFill="1" applyBorder="1" applyAlignment="1">
      <alignment wrapText="1"/>
    </xf>
    <xf numFmtId="4" fontId="0" fillId="13" borderId="13" xfId="0" applyNumberFormat="1" applyFill="1" applyBorder="1"/>
    <xf numFmtId="0" fontId="0" fillId="12" borderId="13" xfId="0" applyFill="1" applyBorder="1" applyAlignment="1">
      <alignment horizontal="center"/>
    </xf>
    <xf numFmtId="4" fontId="0" fillId="2" borderId="13" xfId="0" applyNumberFormat="1" applyFill="1" applyBorder="1"/>
    <xf numFmtId="0" fontId="25" fillId="10" borderId="0" xfId="0" applyFont="1" applyFill="1" applyBorder="1" applyAlignment="1">
      <alignment horizontal="center" wrapText="1"/>
    </xf>
    <xf numFmtId="0" fontId="12" fillId="10" borderId="23" xfId="0" applyFont="1" applyFill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7" fillId="0" borderId="0" xfId="0" applyFont="1"/>
    <xf numFmtId="0" fontId="0" fillId="0" borderId="13" xfId="0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/>
    <xf numFmtId="0" fontId="0" fillId="0" borderId="23" xfId="0" applyFill="1" applyBorder="1"/>
    <xf numFmtId="3" fontId="0" fillId="0" borderId="13" xfId="0" applyNumberFormat="1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left" vertical="top" wrapText="1"/>
    </xf>
    <xf numFmtId="1" fontId="1" fillId="0" borderId="5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wrapText="1"/>
    </xf>
    <xf numFmtId="1" fontId="1" fillId="0" borderId="5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vertical="top" wrapText="1"/>
    </xf>
    <xf numFmtId="1" fontId="1" fillId="4" borderId="5" xfId="0" applyNumberFormat="1" applyFont="1" applyFill="1" applyBorder="1" applyAlignment="1">
      <alignment horizontal="center" vertical="top" wrapText="1"/>
    </xf>
    <xf numFmtId="1" fontId="1" fillId="3" borderId="2" xfId="0" applyNumberFormat="1" applyFont="1" applyFill="1" applyBorder="1" applyAlignment="1">
      <alignment horizontal="center" vertical="top" wrapText="1"/>
    </xf>
    <xf numFmtId="49" fontId="0" fillId="0" borderId="13" xfId="0" applyNumberFormat="1" applyBorder="1" applyAlignment="1">
      <alignment wrapText="1"/>
    </xf>
    <xf numFmtId="14" fontId="0" fillId="0" borderId="13" xfId="0" applyNumberFormat="1" applyBorder="1" applyAlignment="1">
      <alignment wrapText="1"/>
    </xf>
    <xf numFmtId="0" fontId="0" fillId="0" borderId="13" xfId="0" applyFill="1" applyBorder="1"/>
    <xf numFmtId="2" fontId="0" fillId="4" borderId="15" xfId="0" applyNumberFormat="1" applyFill="1" applyBorder="1"/>
    <xf numFmtId="2" fontId="12" fillId="10" borderId="15" xfId="0" applyNumberFormat="1" applyFont="1" applyFill="1" applyBorder="1"/>
    <xf numFmtId="2" fontId="0" fillId="0" borderId="13" xfId="0" applyNumberFormat="1" applyFill="1" applyBorder="1"/>
    <xf numFmtId="2" fontId="1" fillId="4" borderId="2" xfId="0" applyNumberFormat="1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4" fontId="0" fillId="3" borderId="13" xfId="0" applyNumberFormat="1" applyFill="1" applyBorder="1"/>
    <xf numFmtId="49" fontId="0" fillId="4" borderId="16" xfId="0" applyNumberFormat="1" applyFill="1" applyBorder="1" applyAlignment="1">
      <alignment wrapText="1"/>
    </xf>
    <xf numFmtId="2" fontId="28" fillId="15" borderId="13" xfId="0" applyNumberFormat="1" applyFont="1" applyFill="1" applyBorder="1" applyAlignment="1">
      <alignment vertical="center"/>
    </xf>
    <xf numFmtId="2" fontId="29" fillId="15" borderId="13" xfId="0" applyNumberFormat="1" applyFont="1" applyFill="1" applyBorder="1" applyAlignment="1">
      <alignment vertical="center"/>
    </xf>
    <xf numFmtId="0" fontId="0" fillId="16" borderId="0" xfId="0" applyFill="1" applyBorder="1"/>
    <xf numFmtId="4" fontId="1" fillId="0" borderId="5" xfId="0" applyNumberFormat="1" applyFont="1" applyBorder="1" applyAlignment="1">
      <alignment horizontal="left" vertical="top" wrapText="1"/>
    </xf>
    <xf numFmtId="0" fontId="12" fillId="4" borderId="13" xfId="0" applyFont="1" applyFill="1" applyBorder="1"/>
    <xf numFmtId="2" fontId="12" fillId="0" borderId="13" xfId="0" applyNumberFormat="1" applyFont="1" applyBorder="1"/>
    <xf numFmtId="4" fontId="12" fillId="0" borderId="13" xfId="0" applyNumberFormat="1" applyFont="1" applyBorder="1"/>
    <xf numFmtId="16" fontId="0" fillId="0" borderId="13" xfId="0" applyNumberFormat="1" applyBorder="1" applyAlignment="1">
      <alignment horizontal="center" wrapText="1"/>
    </xf>
    <xf numFmtId="16" fontId="0" fillId="0" borderId="15" xfId="0" applyNumberFormat="1" applyBorder="1" applyAlignment="1">
      <alignment horizontal="center" wrapText="1"/>
    </xf>
    <xf numFmtId="0" fontId="0" fillId="2" borderId="19" xfId="0" applyFill="1" applyBorder="1"/>
    <xf numFmtId="1" fontId="0" fillId="2" borderId="15" xfId="0" applyNumberFormat="1" applyFill="1" applyBorder="1"/>
    <xf numFmtId="2" fontId="0" fillId="2" borderId="15" xfId="0" applyNumberFormat="1" applyFill="1" applyBorder="1"/>
    <xf numFmtId="4" fontId="12" fillId="2" borderId="13" xfId="0" applyNumberFormat="1" applyFont="1" applyFill="1" applyBorder="1"/>
    <xf numFmtId="2" fontId="0" fillId="2" borderId="16" xfId="0" applyNumberFormat="1" applyFill="1" applyBorder="1"/>
    <xf numFmtId="0" fontId="11" fillId="2" borderId="13" xfId="0" applyFont="1" applyFill="1" applyBorder="1" applyAlignment="1">
      <alignment wrapText="1"/>
    </xf>
    <xf numFmtId="0" fontId="11" fillId="2" borderId="13" xfId="0" applyNumberFormat="1" applyFont="1" applyFill="1" applyBorder="1" applyAlignment="1" applyProtection="1">
      <alignment wrapText="1"/>
      <protection hidden="1"/>
    </xf>
    <xf numFmtId="2" fontId="0" fillId="2" borderId="0" xfId="0" applyNumberFormat="1" applyFill="1"/>
    <xf numFmtId="1" fontId="0" fillId="2" borderId="13" xfId="0" applyNumberFormat="1" applyFill="1" applyBorder="1"/>
    <xf numFmtId="2" fontId="0" fillId="2" borderId="14" xfId="0" applyNumberFormat="1" applyFill="1" applyBorder="1"/>
    <xf numFmtId="0" fontId="0" fillId="2" borderId="0" xfId="0" applyFill="1"/>
    <xf numFmtId="14" fontId="0" fillId="0" borderId="0" xfId="0" applyNumberFormat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left" vertical="top" wrapText="1"/>
    </xf>
    <xf numFmtId="49" fontId="0" fillId="0" borderId="0" xfId="0" applyNumberFormat="1" applyBorder="1" applyAlignment="1">
      <alignment horizontal="center" wrapText="1"/>
    </xf>
    <xf numFmtId="0" fontId="0" fillId="4" borderId="13" xfId="0" applyFont="1" applyFill="1" applyBorder="1"/>
    <xf numFmtId="0" fontId="0" fillId="0" borderId="13" xfId="0" applyFont="1" applyBorder="1"/>
    <xf numFmtId="49" fontId="0" fillId="0" borderId="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" fontId="12" fillId="4" borderId="13" xfId="0" applyNumberFormat="1" applyFont="1" applyFill="1" applyBorder="1"/>
    <xf numFmtId="0" fontId="0" fillId="8" borderId="14" xfId="0" applyFill="1" applyBorder="1" applyAlignment="1">
      <alignment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13" xfId="0" applyFill="1" applyBorder="1" applyAlignment="1">
      <alignment horizontal="center" wrapText="1"/>
    </xf>
    <xf numFmtId="2" fontId="0" fillId="14" borderId="16" xfId="0" applyNumberFormat="1" applyFill="1" applyBorder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164" fontId="0" fillId="0" borderId="13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9" fontId="0" fillId="0" borderId="0" xfId="0" applyNumberFormat="1" applyBorder="1" applyAlignment="1">
      <alignment horizontal="center" wrapText="1"/>
    </xf>
    <xf numFmtId="0" fontId="0" fillId="4" borderId="0" xfId="0" applyFill="1" applyBorder="1"/>
    <xf numFmtId="2" fontId="0" fillId="4" borderId="0" xfId="0" applyNumberFormat="1" applyFill="1" applyBorder="1"/>
    <xf numFmtId="2" fontId="12" fillId="10" borderId="15" xfId="0" applyNumberFormat="1" applyFont="1" applyFill="1" applyBorder="1" applyAlignment="1">
      <alignment horizontal="left"/>
    </xf>
    <xf numFmtId="2" fontId="31" fillId="0" borderId="13" xfId="0" applyNumberFormat="1" applyFont="1" applyFill="1" applyBorder="1"/>
    <xf numFmtId="0" fontId="0" fillId="4" borderId="0" xfId="0" applyFill="1"/>
    <xf numFmtId="0" fontId="0" fillId="2" borderId="13" xfId="0" applyFill="1" applyBorder="1" applyAlignment="1">
      <alignment horizontal="center" wrapText="1"/>
    </xf>
    <xf numFmtId="0" fontId="0" fillId="2" borderId="13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27" xfId="0" applyNumberFormat="1" applyFont="1" applyBorder="1" applyAlignment="1">
      <alignment vertical="top" wrapText="1"/>
    </xf>
    <xf numFmtId="4" fontId="0" fillId="0" borderId="27" xfId="0" applyNumberFormat="1" applyFont="1" applyBorder="1" applyAlignment="1">
      <alignment vertical="top" wrapText="1"/>
    </xf>
    <xf numFmtId="14" fontId="0" fillId="8" borderId="13" xfId="0" applyNumberFormat="1" applyFill="1" applyBorder="1" applyAlignment="1">
      <alignment wrapText="1"/>
    </xf>
    <xf numFmtId="2" fontId="31" fillId="0" borderId="13" xfId="0" applyNumberFormat="1" applyFont="1" applyBorder="1"/>
    <xf numFmtId="0" fontId="0" fillId="17" borderId="0" xfId="0" applyFill="1" applyAlignment="1">
      <alignment horizontal="center" wrapText="1"/>
    </xf>
    <xf numFmtId="14" fontId="17" fillId="18" borderId="14" xfId="0" applyNumberFormat="1" applyFont="1" applyFill="1" applyBorder="1" applyAlignment="1">
      <alignment horizontal="center" wrapText="1"/>
    </xf>
    <xf numFmtId="0" fontId="0" fillId="0" borderId="15" xfId="0" applyBorder="1"/>
    <xf numFmtId="0" fontId="0" fillId="4" borderId="15" xfId="0" applyFill="1" applyBorder="1"/>
    <xf numFmtId="0" fontId="0" fillId="4" borderId="15" xfId="0" applyFont="1" applyFill="1" applyBorder="1"/>
    <xf numFmtId="0" fontId="0" fillId="0" borderId="15" xfId="0" applyFont="1" applyBorder="1"/>
    <xf numFmtId="0" fontId="0" fillId="17" borderId="13" xfId="0" applyFill="1" applyBorder="1"/>
    <xf numFmtId="0" fontId="0" fillId="17" borderId="14" xfId="0" applyFill="1" applyBorder="1" applyAlignment="1">
      <alignment wrapText="1"/>
    </xf>
    <xf numFmtId="0" fontId="0" fillId="2" borderId="13" xfId="0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2" fontId="12" fillId="4" borderId="13" xfId="0" applyNumberFormat="1" applyFont="1" applyFill="1" applyBorder="1"/>
    <xf numFmtId="0" fontId="0" fillId="18" borderId="13" xfId="0" applyFill="1" applyBorder="1"/>
    <xf numFmtId="0" fontId="0" fillId="2" borderId="13" xfId="0" applyFill="1" applyBorder="1" applyAlignment="1">
      <alignment horizontal="center" wrapText="1"/>
    </xf>
    <xf numFmtId="4" fontId="31" fillId="0" borderId="13" xfId="0" applyNumberFormat="1" applyFont="1" applyBorder="1"/>
    <xf numFmtId="0" fontId="31" fillId="0" borderId="13" xfId="0" applyFont="1" applyBorder="1"/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" fontId="0" fillId="0" borderId="13" xfId="0" applyNumberFormat="1" applyBorder="1" applyAlignment="1">
      <alignment horizontal="center"/>
    </xf>
    <xf numFmtId="14" fontId="35" fillId="8" borderId="13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49" fontId="0" fillId="19" borderId="13" xfId="0" applyNumberFormat="1" applyFill="1" applyBorder="1"/>
    <xf numFmtId="4" fontId="0" fillId="10" borderId="13" xfId="0" applyNumberFormat="1" applyFill="1" applyBorder="1"/>
    <xf numFmtId="3" fontId="0" fillId="0" borderId="13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4" fontId="13" fillId="4" borderId="15" xfId="0" applyNumberFormat="1" applyFont="1" applyFill="1" applyBorder="1"/>
    <xf numFmtId="0" fontId="17" fillId="0" borderId="13" xfId="0" applyFont="1" applyBorder="1"/>
    <xf numFmtId="0" fontId="36" fillId="0" borderId="16" xfId="0" applyFont="1" applyFill="1" applyBorder="1" applyAlignment="1">
      <alignment wrapText="1"/>
    </xf>
    <xf numFmtId="0" fontId="0" fillId="2" borderId="15" xfId="0" applyFill="1" applyBorder="1" applyAlignment="1">
      <alignment wrapText="1"/>
    </xf>
    <xf numFmtId="4" fontId="37" fillId="4" borderId="13" xfId="0" applyNumberFormat="1" applyFont="1" applyFill="1" applyBorder="1"/>
    <xf numFmtId="4" fontId="31" fillId="4" borderId="13" xfId="0" applyNumberFormat="1" applyFont="1" applyFill="1" applyBorder="1"/>
    <xf numFmtId="49" fontId="0" fillId="0" borderId="13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18" xfId="0" applyNumberFormat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14" fontId="31" fillId="4" borderId="13" xfId="0" applyNumberFormat="1" applyFont="1" applyFill="1" applyBorder="1" applyAlignment="1">
      <alignment wrapText="1"/>
    </xf>
    <xf numFmtId="0" fontId="31" fillId="20" borderId="0" xfId="0" applyFont="1" applyFill="1" applyAlignment="1">
      <alignment horizontal="center" wrapText="1"/>
    </xf>
    <xf numFmtId="4" fontId="0" fillId="0" borderId="28" xfId="0" applyNumberFormat="1" applyBorder="1" applyAlignment="1">
      <alignment horizontal="right" vertical="top"/>
    </xf>
    <xf numFmtId="0" fontId="1" fillId="0" borderId="2" xfId="0" applyFont="1" applyBorder="1" applyAlignment="1">
      <alignment horizontal="center" vertical="top" wrapText="1"/>
    </xf>
    <xf numFmtId="0" fontId="0" fillId="17" borderId="22" xfId="0" applyFill="1" applyBorder="1"/>
    <xf numFmtId="2" fontId="0" fillId="17" borderId="15" xfId="0" applyNumberFormat="1" applyFill="1" applyBorder="1"/>
    <xf numFmtId="4" fontId="0" fillId="17" borderId="13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4" fontId="12" fillId="4" borderId="0" xfId="0" applyNumberFormat="1" applyFont="1" applyFill="1" applyBorder="1"/>
    <xf numFmtId="4" fontId="7" fillId="0" borderId="15" xfId="0" applyNumberFormat="1" applyFont="1" applyBorder="1" applyAlignment="1">
      <alignment horizontal="left" vertical="top"/>
    </xf>
    <xf numFmtId="4" fontId="14" fillId="0" borderId="15" xfId="0" applyNumberFormat="1" applyFont="1" applyBorder="1" applyAlignment="1">
      <alignment horizontal="left" vertical="top"/>
    </xf>
    <xf numFmtId="0" fontId="38" fillId="4" borderId="13" xfId="0" applyFont="1" applyFill="1" applyBorder="1" applyAlignment="1">
      <alignment wrapText="1"/>
    </xf>
    <xf numFmtId="4" fontId="7" fillId="0" borderId="0" xfId="0" applyNumberFormat="1" applyFont="1" applyBorder="1" applyAlignment="1">
      <alignment horizontal="left" vertical="top"/>
    </xf>
    <xf numFmtId="4" fontId="14" fillId="0" borderId="0" xfId="0" applyNumberFormat="1" applyFont="1" applyBorder="1" applyAlignment="1">
      <alignment horizontal="left" vertical="top"/>
    </xf>
    <xf numFmtId="0" fontId="38" fillId="4" borderId="0" xfId="0" applyFont="1" applyFill="1" applyBorder="1" applyAlignment="1">
      <alignment wrapText="1"/>
    </xf>
    <xf numFmtId="0" fontId="13" fillId="4" borderId="0" xfId="0" applyFont="1" applyFill="1" applyBorder="1" applyAlignment="1">
      <alignment wrapText="1"/>
    </xf>
    <xf numFmtId="4" fontId="13" fillId="0" borderId="13" xfId="0" applyNumberFormat="1" applyFont="1" applyBorder="1"/>
    <xf numFmtId="166" fontId="39" fillId="4" borderId="13" xfId="0" applyNumberFormat="1" applyFont="1" applyFill="1" applyBorder="1" applyAlignment="1">
      <alignment wrapText="1"/>
    </xf>
    <xf numFmtId="0" fontId="0" fillId="12" borderId="24" xfId="0" applyFill="1" applyBorder="1" applyAlignment="1">
      <alignment wrapText="1"/>
    </xf>
    <xf numFmtId="4" fontId="0" fillId="0" borderId="0" xfId="0" applyNumberFormat="1" applyBorder="1" applyAlignment="1">
      <alignment horizontal="right" vertical="top"/>
    </xf>
    <xf numFmtId="0" fontId="0" fillId="12" borderId="25" xfId="0" applyFill="1" applyBorder="1" applyAlignment="1">
      <alignment horizontal="center" wrapText="1"/>
    </xf>
    <xf numFmtId="0" fontId="0" fillId="4" borderId="25" xfId="0" applyFill="1" applyBorder="1" applyAlignment="1">
      <alignment horizontal="center"/>
    </xf>
    <xf numFmtId="0" fontId="0" fillId="4" borderId="24" xfId="0" applyFill="1" applyBorder="1" applyAlignment="1">
      <alignment wrapText="1"/>
    </xf>
    <xf numFmtId="0" fontId="12" fillId="19" borderId="13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4" fontId="0" fillId="0" borderId="0" xfId="0" applyNumberFormat="1" applyFont="1" applyBorder="1" applyAlignment="1">
      <alignment vertical="top" wrapText="1"/>
    </xf>
    <xf numFmtId="4" fontId="11" fillId="4" borderId="13" xfId="0" applyNumberFormat="1" applyFont="1" applyFill="1" applyBorder="1" applyAlignment="1" applyProtection="1">
      <alignment wrapText="1"/>
      <protection hidden="1"/>
    </xf>
    <xf numFmtId="49" fontId="0" fillId="0" borderId="0" xfId="0" applyNumberFormat="1" applyBorder="1" applyAlignment="1">
      <alignment horizontal="center" wrapText="1"/>
    </xf>
    <xf numFmtId="49" fontId="0" fillId="0" borderId="22" xfId="0" applyNumberFormat="1" applyBorder="1" applyAlignment="1">
      <alignment horizontal="center" wrapText="1"/>
    </xf>
    <xf numFmtId="4" fontId="31" fillId="2" borderId="13" xfId="0" applyNumberFormat="1" applyFont="1" applyFill="1" applyBorder="1"/>
    <xf numFmtId="0" fontId="18" fillId="0" borderId="11" xfId="2" applyFont="1" applyBorder="1" applyAlignment="1"/>
    <xf numFmtId="0" fontId="40" fillId="0" borderId="29" xfId="2" applyFont="1" applyBorder="1" applyAlignment="1"/>
    <xf numFmtId="0" fontId="41" fillId="0" borderId="11" xfId="2" applyFont="1" applyBorder="1" applyAlignment="1"/>
    <xf numFmtId="49" fontId="0" fillId="0" borderId="0" xfId="0" applyNumberFormat="1" applyBorder="1" applyAlignment="1">
      <alignment horizontal="center" wrapText="1"/>
    </xf>
    <xf numFmtId="0" fontId="31" fillId="21" borderId="0" xfId="0" applyFont="1" applyFill="1" applyAlignment="1">
      <alignment horizontal="center" wrapText="1"/>
    </xf>
    <xf numFmtId="0" fontId="0" fillId="21" borderId="0" xfId="0" applyFill="1" applyBorder="1" applyAlignment="1">
      <alignment wrapText="1"/>
    </xf>
    <xf numFmtId="0" fontId="0" fillId="21" borderId="13" xfId="0" applyFill="1" applyBorder="1"/>
    <xf numFmtId="0" fontId="0" fillId="21" borderId="13" xfId="0" applyFont="1" applyFill="1" applyBorder="1"/>
    <xf numFmtId="4" fontId="31" fillId="21" borderId="13" xfId="0" applyNumberFormat="1" applyFont="1" applyFill="1" applyBorder="1"/>
    <xf numFmtId="0" fontId="0" fillId="21" borderId="0" xfId="0" applyFill="1" applyBorder="1"/>
    <xf numFmtId="4" fontId="0" fillId="17" borderId="23" xfId="0" applyNumberFormat="1" applyFill="1" applyBorder="1"/>
    <xf numFmtId="14" fontId="0" fillId="0" borderId="22" xfId="0" applyNumberFormat="1" applyBorder="1" applyAlignment="1">
      <alignment horizontal="center" wrapText="1"/>
    </xf>
    <xf numFmtId="14" fontId="0" fillId="0" borderId="26" xfId="0" applyNumberFormat="1" applyBorder="1" applyAlignment="1">
      <alignment horizontal="center" wrapText="1"/>
    </xf>
    <xf numFmtId="14" fontId="0" fillId="0" borderId="25" xfId="0" applyNumberFormat="1" applyBorder="1" applyAlignment="1">
      <alignment horizontal="center" wrapText="1"/>
    </xf>
    <xf numFmtId="14" fontId="0" fillId="0" borderId="13" xfId="0" applyNumberFormat="1" applyBorder="1" applyAlignment="1">
      <alignment horizontal="center"/>
    </xf>
    <xf numFmtId="14" fontId="0" fillId="0" borderId="13" xfId="0" applyNumberForma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4" fillId="0" borderId="13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17" borderId="11" xfId="0" applyFill="1" applyBorder="1" applyAlignment="1">
      <alignment horizontal="center" wrapText="1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0" fontId="8" fillId="6" borderId="17" xfId="0" applyFont="1" applyFill="1" applyBorder="1" applyAlignment="1">
      <alignment horizontal="left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9" fillId="8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9" fillId="14" borderId="23" xfId="0" applyFont="1" applyFill="1" applyBorder="1" applyAlignment="1">
      <alignment vertical="center" wrapText="1"/>
    </xf>
    <xf numFmtId="0" fontId="9" fillId="14" borderId="24" xfId="0" applyFont="1" applyFill="1" applyBorder="1" applyAlignment="1">
      <alignment vertical="center" wrapText="1"/>
    </xf>
    <xf numFmtId="0" fontId="0" fillId="0" borderId="13" xfId="0" applyFill="1" applyBorder="1" applyAlignment="1">
      <alignment horizontal="center"/>
    </xf>
    <xf numFmtId="0" fontId="0" fillId="9" borderId="13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9" fillId="8" borderId="22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8" borderId="26" xfId="0" applyFont="1" applyFill="1" applyBorder="1" applyAlignment="1">
      <alignment horizontal="center"/>
    </xf>
    <xf numFmtId="14" fontId="0" fillId="0" borderId="14" xfId="0" applyNumberFormat="1" applyBorder="1" applyAlignment="1">
      <alignment horizontal="center" wrapText="1"/>
    </xf>
    <xf numFmtId="14" fontId="0" fillId="0" borderId="16" xfId="0" applyNumberFormat="1" applyBorder="1" applyAlignment="1">
      <alignment horizontal="center" wrapText="1"/>
    </xf>
    <xf numFmtId="14" fontId="0" fillId="0" borderId="15" xfId="0" applyNumberFormat="1" applyBorder="1" applyAlignment="1">
      <alignment horizontal="center" wrapText="1"/>
    </xf>
    <xf numFmtId="49" fontId="0" fillId="0" borderId="14" xfId="0" applyNumberFormat="1" applyBorder="1" applyAlignment="1">
      <alignment horizontal="center" wrapText="1"/>
    </xf>
    <xf numFmtId="49" fontId="0" fillId="0" borderId="15" xfId="0" applyNumberFormat="1" applyBorder="1" applyAlignment="1">
      <alignment horizontal="center" wrapText="1"/>
    </xf>
    <xf numFmtId="49" fontId="0" fillId="0" borderId="13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4" borderId="0" xfId="0" applyFill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6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8">
    <cellStyle name="Excel Built-in Normal" xfId="3"/>
    <cellStyle name="Обычный" xfId="0" builtinId="0"/>
    <cellStyle name="Обычный 2" xfId="2"/>
    <cellStyle name="Обычный 2 2" xfId="5"/>
    <cellStyle name="Обычный 3" xfId="6"/>
    <cellStyle name="Обычный 4" xfId="4"/>
    <cellStyle name="Финансовый" xfId="1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J82"/>
  <sheetViews>
    <sheetView tabSelected="1" zoomScaleNormal="100" workbookViewId="0">
      <pane xSplit="2" topLeftCell="BE1" activePane="topRight" state="frozen"/>
      <selection pane="topRight" activeCell="BN2" sqref="BN2"/>
    </sheetView>
  </sheetViews>
  <sheetFormatPr defaultRowHeight="15"/>
  <cols>
    <col min="1" max="1" width="7.140625" customWidth="1"/>
    <col min="2" max="2" width="43.42578125" customWidth="1"/>
    <col min="3" max="3" width="3.28515625" customWidth="1"/>
    <col min="4" max="4" width="14.42578125" customWidth="1"/>
    <col min="5" max="5" width="11.7109375" customWidth="1"/>
    <col min="6" max="11" width="12.42578125" customWidth="1"/>
    <col min="12" max="12" width="11.7109375" customWidth="1"/>
    <col min="13" max="13" width="5.28515625" customWidth="1"/>
    <col min="14" max="14" width="13.42578125" customWidth="1"/>
    <col min="15" max="15" width="14" customWidth="1"/>
    <col min="16" max="16" width="14.5703125" customWidth="1"/>
    <col min="17" max="17" width="11.85546875" customWidth="1"/>
    <col min="18" max="18" width="11.28515625" customWidth="1"/>
    <col min="19" max="19" width="14.7109375" customWidth="1"/>
    <col min="20" max="20" width="14.5703125" customWidth="1"/>
    <col min="21" max="21" width="14.28515625" customWidth="1"/>
    <col min="22" max="24" width="10.85546875" customWidth="1"/>
    <col min="25" max="25" width="15.7109375" customWidth="1"/>
    <col min="26" max="26" width="37" customWidth="1"/>
    <col min="27" max="27" width="13.140625" customWidth="1"/>
    <col min="28" max="28" width="14.140625" customWidth="1"/>
    <col min="29" max="29" width="13" customWidth="1"/>
    <col min="30" max="30" width="14" customWidth="1"/>
    <col min="31" max="32" width="12.42578125" customWidth="1"/>
    <col min="33" max="33" width="11.85546875" customWidth="1"/>
    <col min="34" max="34" width="16.140625" customWidth="1"/>
    <col min="35" max="36" width="12.5703125" customWidth="1"/>
    <col min="37" max="37" width="14" customWidth="1"/>
    <col min="38" max="42" width="12.28515625" customWidth="1"/>
    <col min="43" max="43" width="16" customWidth="1"/>
    <col min="44" max="44" width="38" customWidth="1"/>
    <col min="45" max="45" width="13.42578125" customWidth="1"/>
    <col min="46" max="46" width="14.140625" customWidth="1"/>
    <col min="47" max="48" width="12.28515625" customWidth="1"/>
    <col min="49" max="55" width="12.42578125" customWidth="1"/>
    <col min="56" max="56" width="38" customWidth="1"/>
    <col min="57" max="57" width="16" customWidth="1"/>
    <col min="58" max="63" width="12.42578125" customWidth="1"/>
    <col min="64" max="65" width="9.140625" customWidth="1"/>
    <col min="66" max="66" width="13.85546875" customWidth="1"/>
    <col min="67" max="67" width="12.7109375" customWidth="1"/>
    <col min="68" max="69" width="13.140625" customWidth="1"/>
    <col min="70" max="70" width="9.28515625" customWidth="1"/>
    <col min="71" max="71" width="13.140625" customWidth="1"/>
    <col min="72" max="72" width="11.5703125" customWidth="1"/>
    <col min="73" max="73" width="10.28515625" customWidth="1"/>
    <col min="74" max="75" width="12.140625" customWidth="1"/>
    <col min="76" max="76" width="13.7109375" customWidth="1"/>
    <col min="77" max="77" width="11.42578125" customWidth="1"/>
    <col min="78" max="78" width="8.85546875" customWidth="1"/>
    <col min="79" max="79" width="9.5703125" customWidth="1"/>
    <col min="80" max="80" width="13" customWidth="1"/>
    <col min="81" max="82" width="12" customWidth="1"/>
    <col min="83" max="84" width="12" hidden="1" customWidth="1"/>
    <col min="85" max="92" width="12" customWidth="1"/>
    <col min="93" max="94" width="14.28515625" customWidth="1"/>
    <col min="95" max="95" width="10.28515625" customWidth="1"/>
    <col min="96" max="103" width="12" customWidth="1"/>
    <col min="104" max="104" width="12" hidden="1" customWidth="1"/>
    <col min="105" max="108" width="12" customWidth="1"/>
    <col min="109" max="109" width="16" customWidth="1"/>
    <col min="110" max="114" width="12" customWidth="1"/>
    <col min="115" max="115" width="14.5703125" customWidth="1"/>
    <col min="116" max="117" width="12" customWidth="1"/>
    <col min="118" max="169" width="12" hidden="1" customWidth="1"/>
    <col min="170" max="172" width="13.5703125" customWidth="1"/>
    <col min="173" max="173" width="12.28515625" customWidth="1"/>
    <col min="174" max="174" width="11.140625" customWidth="1"/>
    <col min="175" max="175" width="10.85546875" customWidth="1"/>
    <col min="176" max="176" width="15.5703125" customWidth="1"/>
    <col min="177" max="177" width="15.42578125" customWidth="1"/>
    <col min="178" max="179" width="11.7109375" customWidth="1"/>
    <col min="180" max="180" width="13.42578125" customWidth="1"/>
    <col min="181" max="181" width="13.7109375" customWidth="1"/>
    <col min="182" max="183" width="12.42578125" customWidth="1"/>
    <col min="184" max="184" width="16.140625" customWidth="1"/>
    <col min="185" max="185" width="16.140625" hidden="1" customWidth="1"/>
    <col min="186" max="187" width="16.140625" customWidth="1"/>
    <col min="188" max="188" width="38" customWidth="1"/>
    <col min="189" max="189" width="12.28515625" customWidth="1"/>
    <col min="193" max="193" width="9.5703125" bestFit="1" customWidth="1"/>
    <col min="194" max="194" width="12.5703125" customWidth="1"/>
    <col min="195" max="195" width="15.7109375" style="193" customWidth="1"/>
    <col min="196" max="196" width="18.140625" customWidth="1"/>
    <col min="197" max="197" width="14.42578125" customWidth="1"/>
    <col min="198" max="198" width="22.85546875" customWidth="1"/>
    <col min="199" max="199" width="13.42578125" style="164" customWidth="1"/>
    <col min="200" max="200" width="22.5703125" customWidth="1"/>
    <col min="201" max="201" width="14.85546875" customWidth="1"/>
    <col min="202" max="202" width="14.28515625" customWidth="1"/>
    <col min="203" max="203" width="13.5703125" customWidth="1"/>
    <col min="204" max="204" width="14.140625" customWidth="1"/>
    <col min="205" max="206" width="13.28515625" customWidth="1"/>
    <col min="207" max="207" width="12.85546875" customWidth="1"/>
    <col min="208" max="209" width="11.140625" customWidth="1"/>
    <col min="210" max="210" width="11.5703125" customWidth="1"/>
    <col min="211" max="212" width="14.28515625" customWidth="1"/>
    <col min="213" max="213" width="18" customWidth="1"/>
    <col min="214" max="214" width="36.42578125" customWidth="1"/>
    <col min="215" max="215" width="14.28515625" customWidth="1"/>
    <col min="216" max="216" width="15.85546875" customWidth="1"/>
    <col min="218" max="218" width="11.7109375" customWidth="1"/>
  </cols>
  <sheetData>
    <row r="1" spans="1:218" ht="60" customHeight="1">
      <c r="A1" s="297" t="s">
        <v>115</v>
      </c>
      <c r="B1" s="299" t="s">
        <v>158</v>
      </c>
      <c r="C1" s="17"/>
      <c r="D1" s="301" t="s">
        <v>322</v>
      </c>
      <c r="E1" s="302"/>
      <c r="F1" s="302"/>
      <c r="G1" s="302"/>
      <c r="H1" s="302"/>
      <c r="I1" s="302"/>
      <c r="J1" s="302"/>
      <c r="K1" s="302"/>
      <c r="L1" s="303"/>
      <c r="M1" s="56"/>
      <c r="N1" s="56"/>
      <c r="O1" s="112" t="s">
        <v>164</v>
      </c>
      <c r="P1" s="305" t="s">
        <v>363</v>
      </c>
      <c r="Q1" s="305"/>
      <c r="R1" s="305"/>
      <c r="S1" s="305" t="s">
        <v>118</v>
      </c>
      <c r="T1" s="305"/>
      <c r="U1" s="305"/>
      <c r="V1" s="315"/>
      <c r="W1" s="316"/>
      <c r="X1" s="317"/>
      <c r="Y1" s="307" t="s">
        <v>165</v>
      </c>
      <c r="Z1" s="18" t="s">
        <v>159</v>
      </c>
      <c r="AA1" s="306" t="s">
        <v>161</v>
      </c>
      <c r="AB1" s="306"/>
      <c r="AC1" s="313" t="s">
        <v>305</v>
      </c>
      <c r="AD1" s="314"/>
      <c r="AE1" s="314" t="s">
        <v>274</v>
      </c>
      <c r="AF1" s="324"/>
      <c r="AG1" s="59" t="s">
        <v>162</v>
      </c>
      <c r="AH1" s="102" t="s">
        <v>163</v>
      </c>
      <c r="AI1" s="310" t="s">
        <v>172</v>
      </c>
      <c r="AJ1" s="309" t="s">
        <v>256</v>
      </c>
      <c r="AK1" s="309"/>
      <c r="AL1" s="309"/>
      <c r="AM1" s="182" t="s">
        <v>294</v>
      </c>
      <c r="AN1" s="110" t="s">
        <v>168</v>
      </c>
      <c r="AO1" s="263" t="s">
        <v>374</v>
      </c>
      <c r="AP1" s="264"/>
      <c r="AQ1" s="311" t="s">
        <v>233</v>
      </c>
      <c r="AR1" s="96" t="s">
        <v>394</v>
      </c>
      <c r="AS1" s="295" t="s">
        <v>267</v>
      </c>
      <c r="AT1" s="295"/>
      <c r="AU1" s="295"/>
      <c r="AV1" s="295" t="s">
        <v>175</v>
      </c>
      <c r="AW1" s="295" t="s">
        <v>368</v>
      </c>
      <c r="AX1" s="295" t="s">
        <v>176</v>
      </c>
      <c r="AY1" s="295" t="s">
        <v>369</v>
      </c>
      <c r="AZ1" s="295" t="s">
        <v>370</v>
      </c>
      <c r="BA1" s="295" t="s">
        <v>306</v>
      </c>
      <c r="BB1" s="267"/>
      <c r="BC1" s="295" t="s">
        <v>307</v>
      </c>
      <c r="BD1" s="19" t="s">
        <v>160</v>
      </c>
      <c r="BE1" s="301" t="s">
        <v>340</v>
      </c>
      <c r="BF1" s="302"/>
      <c r="BG1" s="302"/>
      <c r="BH1" s="302"/>
      <c r="BI1" s="302"/>
      <c r="BJ1" s="302"/>
      <c r="BK1" s="302"/>
      <c r="BL1" s="303"/>
      <c r="BM1" s="56"/>
      <c r="BN1" s="56"/>
      <c r="BO1" s="60" t="s">
        <v>164</v>
      </c>
      <c r="BP1" s="318">
        <v>45693</v>
      </c>
      <c r="BQ1" s="319"/>
      <c r="BR1" s="319">
        <v>45723</v>
      </c>
      <c r="BS1" s="319"/>
      <c r="BT1" s="184"/>
      <c r="BU1" s="185"/>
      <c r="BV1" s="133">
        <v>45749</v>
      </c>
      <c r="BW1" s="133">
        <v>45749</v>
      </c>
      <c r="BX1" s="186">
        <v>45765</v>
      </c>
      <c r="BY1" s="152"/>
      <c r="BZ1" s="318">
        <v>45798</v>
      </c>
      <c r="CA1" s="319"/>
      <c r="CB1" s="319"/>
      <c r="CC1" s="320"/>
      <c r="CD1" s="153"/>
      <c r="CE1" s="321" t="s">
        <v>379</v>
      </c>
      <c r="CF1" s="322"/>
      <c r="CG1" s="321" t="s">
        <v>379</v>
      </c>
      <c r="CH1" s="322"/>
      <c r="CI1" s="323" t="s">
        <v>382</v>
      </c>
      <c r="CJ1" s="323"/>
      <c r="CK1" s="272" t="s">
        <v>383</v>
      </c>
      <c r="CL1" s="271"/>
      <c r="CM1" s="271"/>
      <c r="CN1" s="271"/>
      <c r="CO1" s="174" t="s">
        <v>384</v>
      </c>
      <c r="CP1" s="326" t="s">
        <v>387</v>
      </c>
      <c r="CQ1" s="326"/>
      <c r="CR1" s="277" t="s">
        <v>393</v>
      </c>
      <c r="CS1" s="234"/>
      <c r="CT1" s="188"/>
      <c r="CU1" s="174"/>
      <c r="CV1" s="171"/>
      <c r="CW1" s="174"/>
      <c r="CX1" s="326" t="s">
        <v>395</v>
      </c>
      <c r="CY1" s="326"/>
      <c r="CZ1" s="326"/>
      <c r="DA1" s="326"/>
      <c r="DB1" s="174"/>
      <c r="DC1" s="326" t="s">
        <v>346</v>
      </c>
      <c r="DD1" s="327"/>
      <c r="DE1" s="233" t="s">
        <v>347</v>
      </c>
      <c r="DF1" s="236" t="s">
        <v>348</v>
      </c>
      <c r="DG1" s="175"/>
      <c r="DH1" s="175"/>
      <c r="DI1" s="175" t="s">
        <v>349</v>
      </c>
      <c r="DJ1" s="235" t="s">
        <v>350</v>
      </c>
      <c r="DK1" s="237" t="s">
        <v>351</v>
      </c>
      <c r="DL1" s="175" t="s">
        <v>352</v>
      </c>
      <c r="DM1" s="175"/>
      <c r="DN1" s="239" t="s">
        <v>355</v>
      </c>
      <c r="DO1" s="328" t="s">
        <v>353</v>
      </c>
      <c r="DP1" s="328"/>
      <c r="DQ1" s="239" t="s">
        <v>355</v>
      </c>
      <c r="DR1" s="238" t="s">
        <v>354</v>
      </c>
      <c r="DS1" s="328" t="s">
        <v>355</v>
      </c>
      <c r="DT1" s="328"/>
      <c r="DU1" s="328"/>
      <c r="DV1" s="216"/>
      <c r="DW1" s="328" t="s">
        <v>357</v>
      </c>
      <c r="DX1" s="328"/>
      <c r="DY1" s="328"/>
      <c r="DZ1" s="328"/>
      <c r="EA1" s="328" t="s">
        <v>317</v>
      </c>
      <c r="EB1" s="328"/>
      <c r="EC1" s="175" t="s">
        <v>319</v>
      </c>
      <c r="ED1" s="175"/>
      <c r="EE1" s="328" t="s">
        <v>320</v>
      </c>
      <c r="EF1" s="328"/>
      <c r="EG1" s="328"/>
      <c r="EH1" s="328"/>
      <c r="EI1" s="217" t="s">
        <v>321</v>
      </c>
      <c r="EJ1" s="328"/>
      <c r="EK1" s="328"/>
      <c r="EL1" s="178"/>
      <c r="EM1" s="179"/>
      <c r="EN1" s="329" t="s">
        <v>358</v>
      </c>
      <c r="EO1" s="329"/>
      <c r="EP1" s="329"/>
      <c r="EQ1" s="329"/>
      <c r="ER1" s="329"/>
      <c r="ES1" s="329"/>
      <c r="ET1" s="329" t="s">
        <v>359</v>
      </c>
      <c r="EU1" s="329"/>
      <c r="EV1" s="240"/>
      <c r="EW1" s="218"/>
      <c r="EX1" s="328" t="s">
        <v>361</v>
      </c>
      <c r="EY1" s="328"/>
      <c r="EZ1" s="328"/>
      <c r="FA1" s="241"/>
      <c r="FB1" s="241"/>
      <c r="FC1" s="241"/>
      <c r="FD1" s="328" t="s">
        <v>362</v>
      </c>
      <c r="FE1" s="328"/>
      <c r="FF1" s="328"/>
      <c r="FG1" s="328"/>
      <c r="FH1" s="328"/>
      <c r="FI1" s="328"/>
      <c r="FJ1" s="328" t="s">
        <v>304</v>
      </c>
      <c r="FK1" s="328"/>
      <c r="FL1" s="328"/>
      <c r="FM1" s="328"/>
      <c r="FN1" s="20" t="s">
        <v>117</v>
      </c>
      <c r="FO1" s="325" t="s">
        <v>378</v>
      </c>
      <c r="FP1" s="325"/>
      <c r="FQ1" s="165">
        <v>45798</v>
      </c>
      <c r="FR1" s="177" t="s">
        <v>380</v>
      </c>
      <c r="FS1" s="292" t="s">
        <v>242</v>
      </c>
      <c r="FT1" s="19" t="s">
        <v>334</v>
      </c>
      <c r="FU1" s="208"/>
      <c r="FV1" s="201"/>
      <c r="FW1" s="296" t="s">
        <v>276</v>
      </c>
      <c r="FX1" s="296"/>
      <c r="FY1" s="296"/>
      <c r="FZ1" s="296"/>
      <c r="GA1" s="296"/>
      <c r="GB1" s="296"/>
      <c r="GC1" s="201" t="s">
        <v>311</v>
      </c>
      <c r="GD1" s="243">
        <v>2025</v>
      </c>
      <c r="GE1" s="278">
        <v>2026</v>
      </c>
      <c r="GF1" s="19"/>
      <c r="GG1" s="295" t="s">
        <v>116</v>
      </c>
      <c r="GH1" s="295"/>
      <c r="GL1" s="294" t="s">
        <v>332</v>
      </c>
      <c r="GM1" s="18" t="s">
        <v>330</v>
      </c>
      <c r="GN1" s="18" t="s">
        <v>331</v>
      </c>
      <c r="GO1" s="18"/>
      <c r="GP1" s="228" t="s">
        <v>343</v>
      </c>
      <c r="GQ1" s="25"/>
      <c r="GR1" s="144" t="s">
        <v>258</v>
      </c>
      <c r="GS1" s="133" t="s">
        <v>335</v>
      </c>
      <c r="GT1" s="201" t="s">
        <v>311</v>
      </c>
      <c r="GU1" s="144" t="s">
        <v>295</v>
      </c>
      <c r="GV1" s="22"/>
      <c r="GW1" s="287" t="s">
        <v>326</v>
      </c>
      <c r="GX1" s="288"/>
      <c r="GY1" s="289" t="s">
        <v>327</v>
      </c>
      <c r="GZ1" s="288"/>
      <c r="HA1" s="285" t="s">
        <v>356</v>
      </c>
      <c r="HB1" s="286"/>
      <c r="HC1" s="225" t="s">
        <v>338</v>
      </c>
      <c r="HD1" s="226" t="s">
        <v>339</v>
      </c>
      <c r="HE1" s="210">
        <v>2026</v>
      </c>
      <c r="HH1" s="21"/>
      <c r="HJ1" s="22"/>
    </row>
    <row r="2" spans="1:218" ht="75" customHeight="1" thickBot="1">
      <c r="A2" s="298"/>
      <c r="B2" s="300"/>
      <c r="C2" s="23"/>
      <c r="D2" s="18">
        <v>244</v>
      </c>
      <c r="E2" s="18">
        <v>112</v>
      </c>
      <c r="F2" s="18">
        <v>321</v>
      </c>
      <c r="G2" s="18">
        <v>111</v>
      </c>
      <c r="H2" s="18">
        <v>119</v>
      </c>
      <c r="I2" s="18">
        <v>831</v>
      </c>
      <c r="J2" s="18">
        <v>851</v>
      </c>
      <c r="K2" s="18">
        <v>852</v>
      </c>
      <c r="L2" s="18">
        <v>853</v>
      </c>
      <c r="M2" s="57">
        <v>243</v>
      </c>
      <c r="N2" s="57">
        <v>247</v>
      </c>
      <c r="O2" s="113"/>
      <c r="P2" s="24" t="s">
        <v>238</v>
      </c>
      <c r="Q2" s="24" t="s">
        <v>157</v>
      </c>
      <c r="R2" s="24" t="s">
        <v>169</v>
      </c>
      <c r="S2" s="24">
        <v>111</v>
      </c>
      <c r="T2" s="24">
        <v>119</v>
      </c>
      <c r="U2" s="24" t="s">
        <v>119</v>
      </c>
      <c r="V2" s="24">
        <v>111</v>
      </c>
      <c r="W2" s="24">
        <v>119</v>
      </c>
      <c r="X2" s="196" t="s">
        <v>119</v>
      </c>
      <c r="Y2" s="308"/>
      <c r="Z2" s="18"/>
      <c r="AA2" s="18" t="s">
        <v>160</v>
      </c>
      <c r="AB2" s="58" t="s">
        <v>199</v>
      </c>
      <c r="AC2" s="58">
        <v>111</v>
      </c>
      <c r="AD2" s="58">
        <v>119</v>
      </c>
      <c r="AE2" s="58" t="s">
        <v>275</v>
      </c>
      <c r="AF2" s="58" t="s">
        <v>160</v>
      </c>
      <c r="AG2" s="58" t="s">
        <v>300</v>
      </c>
      <c r="AH2" s="103" t="s">
        <v>159</v>
      </c>
      <c r="AI2" s="310"/>
      <c r="AJ2" s="24" t="s">
        <v>166</v>
      </c>
      <c r="AK2" s="24" t="s">
        <v>167</v>
      </c>
      <c r="AL2" s="108" t="s">
        <v>171</v>
      </c>
      <c r="AM2" s="266">
        <v>150</v>
      </c>
      <c r="AN2" s="106"/>
      <c r="AO2" s="261">
        <v>440</v>
      </c>
      <c r="AP2" s="265" t="s">
        <v>375</v>
      </c>
      <c r="AQ2" s="312"/>
      <c r="AS2" t="s">
        <v>268</v>
      </c>
      <c r="AT2" t="s">
        <v>173</v>
      </c>
      <c r="AU2" t="s">
        <v>174</v>
      </c>
      <c r="AV2" s="304"/>
      <c r="AW2" s="304"/>
      <c r="AX2" s="304"/>
      <c r="AY2" s="304"/>
      <c r="AZ2" s="304"/>
      <c r="BA2" s="304"/>
      <c r="BB2" s="268" t="s">
        <v>381</v>
      </c>
      <c r="BC2" s="304"/>
      <c r="BE2" s="18">
        <v>244</v>
      </c>
      <c r="BF2" s="18">
        <v>112</v>
      </c>
      <c r="BG2" s="18">
        <v>321</v>
      </c>
      <c r="BH2" s="18">
        <v>111</v>
      </c>
      <c r="BI2" s="18">
        <v>119</v>
      </c>
      <c r="BJ2" s="18">
        <v>851</v>
      </c>
      <c r="BK2" s="18">
        <v>852</v>
      </c>
      <c r="BL2" s="18">
        <v>853</v>
      </c>
      <c r="BM2" s="57">
        <v>243</v>
      </c>
      <c r="BN2" s="57">
        <v>247</v>
      </c>
      <c r="BO2" s="246"/>
      <c r="BP2" s="134">
        <v>244</v>
      </c>
      <c r="BQ2" s="134">
        <v>247</v>
      </c>
      <c r="BR2" s="134">
        <v>112</v>
      </c>
      <c r="BS2" s="18">
        <v>244</v>
      </c>
      <c r="BT2" s="18" t="s">
        <v>239</v>
      </c>
      <c r="BU2" s="18">
        <v>321</v>
      </c>
      <c r="BV2" s="18">
        <v>244</v>
      </c>
      <c r="BW2" s="18">
        <v>247</v>
      </c>
      <c r="BX2" s="18">
        <v>244</v>
      </c>
      <c r="BY2" s="132">
        <v>851</v>
      </c>
      <c r="BZ2" s="18">
        <v>852</v>
      </c>
      <c r="CA2" s="120">
        <v>853</v>
      </c>
      <c r="CB2" s="120">
        <v>244</v>
      </c>
      <c r="CC2" s="120">
        <v>247</v>
      </c>
      <c r="CD2" s="120">
        <v>112</v>
      </c>
      <c r="CE2" s="120">
        <v>244</v>
      </c>
      <c r="CF2" s="120">
        <v>852</v>
      </c>
      <c r="CG2" s="120">
        <v>247</v>
      </c>
      <c r="CH2" s="120">
        <v>244</v>
      </c>
      <c r="CI2" s="120">
        <v>852</v>
      </c>
      <c r="CJ2" s="120">
        <v>244</v>
      </c>
      <c r="CK2" s="120">
        <v>244</v>
      </c>
      <c r="CL2" s="120">
        <v>851</v>
      </c>
      <c r="CM2" s="120">
        <v>247</v>
      </c>
      <c r="CN2" s="120">
        <v>112</v>
      </c>
      <c r="CO2" s="120">
        <v>244</v>
      </c>
      <c r="CP2" s="120">
        <v>244</v>
      </c>
      <c r="CQ2" s="120">
        <v>247</v>
      </c>
      <c r="CR2" s="120">
        <v>244</v>
      </c>
      <c r="CS2" s="120" t="s">
        <v>299</v>
      </c>
      <c r="CT2" s="120">
        <v>119</v>
      </c>
      <c r="CU2" s="120" t="s">
        <v>243</v>
      </c>
      <c r="CV2" s="120" t="s">
        <v>244</v>
      </c>
      <c r="CW2" s="120" t="s">
        <v>245</v>
      </c>
      <c r="CX2" s="120">
        <v>244</v>
      </c>
      <c r="CY2" s="120" t="s">
        <v>245</v>
      </c>
      <c r="CZ2" s="120"/>
      <c r="DA2" s="120">
        <v>247</v>
      </c>
      <c r="DB2" s="120">
        <v>244</v>
      </c>
      <c r="DC2" s="120">
        <v>247</v>
      </c>
      <c r="DD2" s="120">
        <v>244</v>
      </c>
      <c r="DE2" s="58">
        <v>244</v>
      </c>
      <c r="DF2" s="58">
        <v>831</v>
      </c>
      <c r="DG2" s="58">
        <v>852</v>
      </c>
      <c r="DH2" s="58">
        <v>853</v>
      </c>
      <c r="DI2" s="58">
        <v>244</v>
      </c>
      <c r="DJ2" s="58">
        <v>244</v>
      </c>
      <c r="DK2" s="58">
        <v>244</v>
      </c>
      <c r="DL2" s="58">
        <v>244</v>
      </c>
      <c r="DM2" s="58">
        <v>112</v>
      </c>
      <c r="DN2" s="58" t="s">
        <v>245</v>
      </c>
      <c r="DO2" s="58">
        <v>244</v>
      </c>
      <c r="DP2" s="58">
        <v>247</v>
      </c>
      <c r="DQ2" s="209" t="s">
        <v>312</v>
      </c>
      <c r="DR2" s="58">
        <v>244</v>
      </c>
      <c r="DS2" s="58">
        <v>244</v>
      </c>
      <c r="DT2" s="213" t="s">
        <v>316</v>
      </c>
      <c r="DU2" s="58">
        <v>112</v>
      </c>
      <c r="DV2" s="58">
        <v>244</v>
      </c>
      <c r="DW2" s="58">
        <v>244</v>
      </c>
      <c r="DX2" s="58">
        <v>247</v>
      </c>
      <c r="DY2" s="58">
        <v>852</v>
      </c>
      <c r="DZ2" s="58">
        <v>853</v>
      </c>
      <c r="EA2" s="58">
        <v>244</v>
      </c>
      <c r="EB2" s="58">
        <v>247</v>
      </c>
      <c r="EC2" s="58">
        <v>244</v>
      </c>
      <c r="ED2" s="58">
        <v>112</v>
      </c>
      <c r="EE2" s="58">
        <v>244</v>
      </c>
      <c r="EF2" s="58">
        <v>112</v>
      </c>
      <c r="EG2" s="58">
        <v>853</v>
      </c>
      <c r="EH2" s="58">
        <v>851</v>
      </c>
      <c r="EI2" s="58">
        <v>244</v>
      </c>
      <c r="EJ2" s="58">
        <v>244</v>
      </c>
      <c r="EK2" s="194" t="s">
        <v>301</v>
      </c>
      <c r="EL2" s="58">
        <v>244</v>
      </c>
      <c r="EM2" s="58">
        <v>244</v>
      </c>
      <c r="EN2" s="195">
        <v>244</v>
      </c>
      <c r="EO2" s="195">
        <v>247</v>
      </c>
      <c r="EP2" s="195">
        <v>112</v>
      </c>
      <c r="EQ2" s="195">
        <v>851</v>
      </c>
      <c r="ER2" s="195">
        <v>852</v>
      </c>
      <c r="ES2" s="195">
        <v>853</v>
      </c>
      <c r="ET2" s="195">
        <v>247</v>
      </c>
      <c r="EU2" s="58">
        <v>244</v>
      </c>
      <c r="EV2" s="58">
        <v>852</v>
      </c>
      <c r="EW2" s="58">
        <v>247</v>
      </c>
      <c r="EX2" s="58">
        <v>247</v>
      </c>
      <c r="EY2" s="58">
        <v>244</v>
      </c>
      <c r="EZ2" s="58">
        <v>851</v>
      </c>
      <c r="FA2" s="58">
        <v>852</v>
      </c>
      <c r="FB2" s="58">
        <v>853</v>
      </c>
      <c r="FC2" s="58">
        <v>112</v>
      </c>
      <c r="FD2" s="18">
        <v>244</v>
      </c>
      <c r="FE2" s="18">
        <v>112</v>
      </c>
      <c r="FF2" s="18">
        <v>851</v>
      </c>
      <c r="FG2" s="18">
        <v>852</v>
      </c>
      <c r="FH2" s="18">
        <v>853</v>
      </c>
      <c r="FI2" s="18">
        <v>247</v>
      </c>
      <c r="FJ2" s="18">
        <v>244</v>
      </c>
      <c r="FK2" s="18">
        <v>247</v>
      </c>
      <c r="FL2" s="18">
        <v>852</v>
      </c>
      <c r="FM2" s="18">
        <v>112</v>
      </c>
      <c r="FN2" s="25" t="s">
        <v>119</v>
      </c>
      <c r="FO2" s="189">
        <v>111</v>
      </c>
      <c r="FP2" s="189">
        <v>119</v>
      </c>
      <c r="FQ2" s="26" t="s">
        <v>246</v>
      </c>
      <c r="FR2" s="80" t="s">
        <v>277</v>
      </c>
      <c r="FS2" s="293"/>
      <c r="FT2" s="147">
        <v>244</v>
      </c>
      <c r="FU2" s="207" t="s">
        <v>278</v>
      </c>
      <c r="FV2" s="242" t="s">
        <v>372</v>
      </c>
      <c r="FW2" s="242" t="s">
        <v>373</v>
      </c>
      <c r="FX2" s="58" t="s">
        <v>376</v>
      </c>
      <c r="FY2" s="58" t="s">
        <v>280</v>
      </c>
      <c r="FZ2" s="58" t="s">
        <v>279</v>
      </c>
      <c r="GA2" s="58" t="s">
        <v>345</v>
      </c>
      <c r="GB2" s="185" t="s">
        <v>360</v>
      </c>
      <c r="GC2" s="202" t="s">
        <v>310</v>
      </c>
      <c r="GD2" s="185" t="s">
        <v>385</v>
      </c>
      <c r="GE2" s="279"/>
      <c r="GI2" s="27" t="s">
        <v>121</v>
      </c>
      <c r="GJ2" s="27" t="s">
        <v>122</v>
      </c>
      <c r="GK2" s="27" t="s">
        <v>123</v>
      </c>
      <c r="GL2" s="294"/>
      <c r="GM2" s="199" t="s">
        <v>308</v>
      </c>
      <c r="GN2" s="221" t="s">
        <v>341</v>
      </c>
      <c r="GO2" s="221" t="s">
        <v>337</v>
      </c>
      <c r="GP2" s="229" t="s">
        <v>344</v>
      </c>
      <c r="GQ2" s="230" t="s">
        <v>333</v>
      </c>
      <c r="GR2" s="79" t="s">
        <v>259</v>
      </c>
      <c r="GS2" s="223" t="s">
        <v>336</v>
      </c>
      <c r="GT2" s="202" t="s">
        <v>310</v>
      </c>
      <c r="GU2" s="19" t="s">
        <v>342</v>
      </c>
      <c r="GV2" s="80"/>
      <c r="GW2" s="80" t="s">
        <v>328</v>
      </c>
      <c r="GX2" s="80" t="s">
        <v>329</v>
      </c>
      <c r="GY2" s="80" t="s">
        <v>328</v>
      </c>
      <c r="GZ2" s="80" t="s">
        <v>329</v>
      </c>
      <c r="HA2" s="80" t="s">
        <v>328</v>
      </c>
      <c r="HB2" s="80" t="s">
        <v>329</v>
      </c>
      <c r="HC2" s="290" t="s">
        <v>313</v>
      </c>
      <c r="HD2" s="290"/>
      <c r="HE2" s="291"/>
      <c r="HG2" s="28"/>
      <c r="HH2" s="29"/>
      <c r="HJ2" s="19"/>
    </row>
    <row r="3" spans="1:218" ht="27.75" customHeight="1">
      <c r="A3" s="30">
        <v>1</v>
      </c>
      <c r="B3" s="31" t="s">
        <v>124</v>
      </c>
      <c r="C3" s="97"/>
      <c r="D3" s="98">
        <f>BE3+FN3+BP3+BS3+BV3+BX3+CB3+CH3+CJ3+CK3+CE3+CO3+DB3+DE3+DI3+CX3+DJ3+DK3+DL3+DO3+DR3+DS3+EU3+EY3+CR3+DV3+DW3+EA3+EC3+EE3+EI3+EJ3+EL3+EM3+EN3+FD3+FJ3+CP3+DD3</f>
        <v>7012389.8600000003</v>
      </c>
      <c r="E3" s="98">
        <f t="shared" ref="E3:E36" si="0">BF3+BR3+DF3+ED3+EF3+CN3+DU3+EP3+FC3+DM3</f>
        <v>0</v>
      </c>
      <c r="F3" s="99"/>
      <c r="G3" s="99">
        <f>FO3</f>
        <v>0</v>
      </c>
      <c r="H3" s="99">
        <f>FP3</f>
        <v>0</v>
      </c>
      <c r="I3" s="99">
        <f>CS3</f>
        <v>0</v>
      </c>
      <c r="J3" s="99">
        <f>EQ3+BJ3+EZ3+DQ3+EH3+BY3</f>
        <v>0</v>
      </c>
      <c r="K3" s="99">
        <f>BK3+CI3+CW3+DG3+EK3+ER3+FA3+FG3+FL3+CL3+DN3+DY3+EV3+BZ3+CY3</f>
        <v>2412</v>
      </c>
      <c r="L3" s="135">
        <f>BL3+DH3+ES3+FH3+DT3+CU3+EG3+FB3+DZ3+CA3</f>
        <v>1768.88</v>
      </c>
      <c r="M3" s="135"/>
      <c r="N3" s="135">
        <f>BN3+EO3+FI3+FK3+CG3+CM3+DA3+DC3+DP3+DX3+EB3+ET3+EX3+EW3+BQ3+BW3+CC3+CQ3</f>
        <v>671602.76000000013</v>
      </c>
      <c r="O3" s="136">
        <f>SUM(D3:N3)</f>
        <v>7688173.5</v>
      </c>
      <c r="P3" s="18"/>
      <c r="Q3" s="135">
        <f>R3-P3</f>
        <v>837500</v>
      </c>
      <c r="R3" s="32">
        <v>837500</v>
      </c>
      <c r="S3" s="38">
        <v>28505144</v>
      </c>
      <c r="T3" s="38">
        <v>8608553</v>
      </c>
      <c r="U3" s="135">
        <f>SUM(S3:T3)</f>
        <v>37113697</v>
      </c>
      <c r="V3" s="46"/>
      <c r="W3" s="46"/>
      <c r="X3" s="46">
        <f>SUM(V3:W3)</f>
        <v>0</v>
      </c>
      <c r="Y3" s="183">
        <f>U3+R3+O3+X3</f>
        <v>45639370.5</v>
      </c>
      <c r="Z3" s="31" t="s">
        <v>124</v>
      </c>
      <c r="AA3" s="100">
        <f>FU3</f>
        <v>0</v>
      </c>
      <c r="AB3" s="101">
        <f>GL3</f>
        <v>2235997</v>
      </c>
      <c r="AC3" s="176">
        <f>GW3+GY3+HA3</f>
        <v>3009977.73</v>
      </c>
      <c r="AD3" s="176">
        <f>GX3+GZ3+HB3</f>
        <v>909013.27</v>
      </c>
      <c r="AE3" s="34">
        <f>GQ3</f>
        <v>0</v>
      </c>
      <c r="AF3">
        <f>FY3</f>
        <v>14727644.290000001</v>
      </c>
      <c r="AG3" s="46">
        <v>360000</v>
      </c>
      <c r="AH3" s="104">
        <f>SUM(AA3:AG3)</f>
        <v>21242632.289999999</v>
      </c>
      <c r="AI3" s="105"/>
      <c r="AJ3" s="37">
        <v>182000</v>
      </c>
      <c r="AK3" s="18"/>
      <c r="AL3" s="109">
        <f>AJ3+AK3</f>
        <v>182000</v>
      </c>
      <c r="AM3" s="143"/>
      <c r="AN3" s="107"/>
      <c r="AO3" s="107"/>
      <c r="AP3" s="107"/>
      <c r="AQ3" s="111">
        <f>AN3+AL3+AI3+AH3+Y3+AM3+AO3</f>
        <v>67064002.789999999</v>
      </c>
      <c r="AR3" s="31" t="s">
        <v>124</v>
      </c>
      <c r="AS3" s="88"/>
      <c r="AT3" s="31"/>
      <c r="AU3" s="31"/>
      <c r="AV3" s="31">
        <f>SUM(AS3:AU3)</f>
        <v>0</v>
      </c>
      <c r="AW3" s="252"/>
      <c r="AX3" s="31"/>
      <c r="AY3" s="252">
        <v>470773.28</v>
      </c>
      <c r="AZ3" s="255"/>
      <c r="BA3" s="198">
        <v>76799.37</v>
      </c>
      <c r="BB3" s="269"/>
      <c r="BC3" s="270">
        <f>SUM(AY3:BA3)</f>
        <v>547572.65</v>
      </c>
      <c r="BD3" s="31" t="s">
        <v>124</v>
      </c>
      <c r="BE3" s="211">
        <v>230212.12</v>
      </c>
      <c r="BF3" s="98">
        <v>0</v>
      </c>
      <c r="BG3" s="99"/>
      <c r="BH3" s="99"/>
      <c r="BI3" s="99"/>
      <c r="BJ3" s="46">
        <v>0</v>
      </c>
      <c r="BK3" s="46">
        <v>2412</v>
      </c>
      <c r="BL3" s="46">
        <v>1324</v>
      </c>
      <c r="BM3" s="55"/>
      <c r="BN3" s="46">
        <v>571602.76000000013</v>
      </c>
      <c r="BO3" s="247">
        <f>SUM(BE3:BN3)</f>
        <v>805550.88000000012</v>
      </c>
      <c r="BP3" s="99">
        <v>1350000</v>
      </c>
      <c r="BQ3" s="99">
        <v>0</v>
      </c>
      <c r="BR3" s="33"/>
      <c r="BS3" s="227">
        <v>51165</v>
      </c>
      <c r="BT3" s="31"/>
      <c r="BU3" s="31"/>
      <c r="BV3" s="227">
        <v>15900</v>
      </c>
      <c r="BW3" s="227">
        <v>0</v>
      </c>
      <c r="BX3" s="31"/>
      <c r="BY3" s="18">
        <v>0</v>
      </c>
      <c r="BZ3" s="31">
        <v>0</v>
      </c>
      <c r="CA3" s="31">
        <v>444.88</v>
      </c>
      <c r="CB3" s="31">
        <v>1115672.1300000001</v>
      </c>
      <c r="CC3" s="31">
        <v>100000</v>
      </c>
      <c r="CD3" s="31"/>
      <c r="CE3" s="18"/>
      <c r="CF3" s="18"/>
      <c r="CG3" s="18">
        <v>0</v>
      </c>
      <c r="CH3" s="176">
        <v>30000</v>
      </c>
      <c r="CI3" s="18">
        <v>0</v>
      </c>
      <c r="CJ3" s="176">
        <v>0</v>
      </c>
      <c r="CK3" s="18">
        <v>0</v>
      </c>
      <c r="CL3" s="18"/>
      <c r="CM3" s="18"/>
      <c r="CN3" s="18"/>
      <c r="CO3" s="33">
        <v>0</v>
      </c>
      <c r="CP3" s="33">
        <v>193466.44</v>
      </c>
      <c r="CQ3" s="31">
        <v>0</v>
      </c>
      <c r="CR3" s="31">
        <v>0</v>
      </c>
      <c r="CS3" s="31"/>
      <c r="CT3" s="31"/>
      <c r="CU3" s="18"/>
      <c r="CV3" s="18"/>
      <c r="CW3" s="18"/>
      <c r="CX3" s="18">
        <v>198264.37</v>
      </c>
      <c r="CY3" s="18">
        <v>0</v>
      </c>
      <c r="CZ3" s="18"/>
      <c r="DA3" s="18">
        <v>0</v>
      </c>
      <c r="DB3" s="231"/>
      <c r="DC3" s="33"/>
      <c r="DD3" s="18"/>
      <c r="DE3" s="18"/>
      <c r="DF3" s="18"/>
      <c r="DG3" s="18"/>
      <c r="DH3" s="18"/>
      <c r="DI3" s="18"/>
      <c r="DJ3" s="18"/>
      <c r="DK3" s="231"/>
      <c r="DL3" s="18"/>
      <c r="DM3" s="18"/>
      <c r="DN3" s="18"/>
      <c r="DO3" s="18"/>
      <c r="DP3" s="18"/>
      <c r="DQ3" s="211"/>
      <c r="DR3" s="231"/>
      <c r="DS3" s="18"/>
      <c r="DT3" s="18"/>
      <c r="DU3" s="18"/>
      <c r="DV3" s="211"/>
      <c r="DW3" s="18"/>
      <c r="DX3" s="18"/>
      <c r="DY3" s="18"/>
      <c r="DZ3" s="18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70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40">
        <f t="shared" ref="FN3:FN36" si="1">FQ3+FS3+FT3+FR3</f>
        <v>3827709.8000000003</v>
      </c>
      <c r="FO3" s="33"/>
      <c r="FP3" s="33"/>
      <c r="FQ3" s="37">
        <v>687846.6</v>
      </c>
      <c r="FR3" s="18">
        <v>332937.5</v>
      </c>
      <c r="FS3" s="33"/>
      <c r="FT3" s="33">
        <v>2806925.7</v>
      </c>
      <c r="FU3" s="248">
        <f>FW3+FX3+FV3</f>
        <v>0</v>
      </c>
      <c r="FV3" s="232"/>
      <c r="FW3" s="232"/>
      <c r="FX3" s="18"/>
      <c r="FY3" s="32">
        <f>FZ3+GA3+GB3+GD3</f>
        <v>14727644.290000001</v>
      </c>
      <c r="FZ3" s="273"/>
      <c r="GA3" s="18">
        <v>250000</v>
      </c>
      <c r="GB3" s="203">
        <f>14501418.48-23774.19</f>
        <v>14477644.290000001</v>
      </c>
      <c r="GC3" s="18"/>
      <c r="GD3" s="18"/>
      <c r="GE3" s="280"/>
      <c r="GF3" s="31" t="s">
        <v>124</v>
      </c>
      <c r="GG3" s="38">
        <f t="shared" ref="GG3:GG36" si="2">E3+AG3+AH3-AA3+GI3</f>
        <v>21602632.289999999</v>
      </c>
      <c r="GH3" s="38"/>
      <c r="GI3" s="37"/>
      <c r="GJ3" s="37"/>
      <c r="GK3" s="78"/>
      <c r="GL3" s="40">
        <f>GR3+GS3+GU3+GO3+GT3</f>
        <v>2235997</v>
      </c>
      <c r="GM3" s="98"/>
      <c r="GN3" s="98"/>
      <c r="GO3" s="98"/>
      <c r="GP3" s="98"/>
      <c r="GQ3" s="111">
        <f>SUM(GM3:GP3)</f>
        <v>0</v>
      </c>
      <c r="GR3" s="33">
        <v>1868497</v>
      </c>
      <c r="GS3" s="98"/>
      <c r="GT3" s="260">
        <v>367500</v>
      </c>
      <c r="GU3" s="98"/>
      <c r="GV3" s="42"/>
      <c r="GW3" s="220">
        <v>2760000</v>
      </c>
      <c r="GX3" s="220">
        <v>833520</v>
      </c>
      <c r="GY3" s="34">
        <v>189977.73</v>
      </c>
      <c r="GZ3" s="34">
        <v>57373.26999999999</v>
      </c>
      <c r="HA3" s="34">
        <v>60000</v>
      </c>
      <c r="HB3" s="203">
        <v>18120</v>
      </c>
      <c r="HC3" s="32"/>
      <c r="HD3" s="32"/>
      <c r="HE3" s="18"/>
      <c r="HF3" s="31" t="s">
        <v>124</v>
      </c>
      <c r="HG3" s="34">
        <f>D3+N3+Q3+AB3+AJ3</f>
        <v>10939489.620000001</v>
      </c>
      <c r="HH3" s="34">
        <f>AQ3</f>
        <v>67064002.789999999</v>
      </c>
    </row>
    <row r="4" spans="1:218" ht="12.75" customHeight="1">
      <c r="A4" s="18">
        <v>4</v>
      </c>
      <c r="B4" s="31" t="s">
        <v>125</v>
      </c>
      <c r="C4" s="97"/>
      <c r="D4" s="98">
        <f t="shared" ref="D4:D35" si="3">BE4+FN4+BP4+BS4+BV4+BX4+CB4+CH4+CJ4+CK4+CE4+CO4+DB4+DE4+DI4+CX4+DJ4+DK4+DL4+DO4+DR4+DS4+EU4+EY4+CR4+DV4+DW4+EA4+EC4+EE4+EI4+EJ4+EL4+EM4+EN4+FD4+FJ4+CP4+DD4</f>
        <v>4046164.14</v>
      </c>
      <c r="E4" s="98">
        <f t="shared" si="0"/>
        <v>0</v>
      </c>
      <c r="F4" s="99"/>
      <c r="G4" s="99">
        <f>FO4</f>
        <v>0</v>
      </c>
      <c r="H4" s="99">
        <f>FP4</f>
        <v>0</v>
      </c>
      <c r="I4" s="99">
        <f t="shared" ref="I4:I35" si="4">CS4</f>
        <v>0</v>
      </c>
      <c r="J4" s="99">
        <f t="shared" ref="J4:J36" si="5">EQ4+BJ4+EZ4+DQ4+EH4+BY4</f>
        <v>0</v>
      </c>
      <c r="K4" s="99">
        <f t="shared" ref="K4:K36" si="6">BK4+CI4+CW4+DG4+EK4+ER4+FA4+FG4+FL4+CL4+DN4+DY4+EV4+BZ4+CY4</f>
        <v>0</v>
      </c>
      <c r="L4" s="135">
        <f t="shared" ref="L4:L36" si="7">BL4+DH4+ES4+FH4+DT4+CU4+EG4+FB4+DZ4+CA4</f>
        <v>1714.51</v>
      </c>
      <c r="M4" s="135"/>
      <c r="N4" s="135">
        <f t="shared" ref="N4:N36" si="8">BN4+EO4+FI4+FK4+CG4+CM4+DA4+DC4+DP4+DX4+EB4+ET4+EX4+EW4+BQ4+BW4+CC4+CQ4</f>
        <v>325610.95000000007</v>
      </c>
      <c r="O4" s="136">
        <f t="shared" ref="O4:O35" si="9">SUM(D4:N4)</f>
        <v>4373489.5999999996</v>
      </c>
      <c r="P4" s="18"/>
      <c r="Q4" s="135">
        <f t="shared" ref="Q4:Q36" si="10">R4-P4</f>
        <v>520500</v>
      </c>
      <c r="R4" s="32">
        <v>520500</v>
      </c>
      <c r="S4" s="135">
        <v>17268415</v>
      </c>
      <c r="T4" s="135">
        <v>5215061</v>
      </c>
      <c r="U4" s="55">
        <f t="shared" ref="U4:U35" si="11">SUM(S4:T4)</f>
        <v>22483476</v>
      </c>
      <c r="V4" s="46"/>
      <c r="W4" s="46"/>
      <c r="X4" s="46">
        <f t="shared" ref="X4:X36" si="12">SUM(V4:W4)</f>
        <v>0</v>
      </c>
      <c r="Y4" s="183">
        <f t="shared" ref="Y4:Y36" si="13">U4+R4+O4+X4</f>
        <v>27377465.600000001</v>
      </c>
      <c r="Z4" s="31" t="s">
        <v>125</v>
      </c>
      <c r="AA4" s="100">
        <f t="shared" ref="AA4:AA37" si="14">FU4</f>
        <v>0</v>
      </c>
      <c r="AB4" s="101">
        <f t="shared" ref="AB4:AB35" si="15">GL4</f>
        <v>1596273</v>
      </c>
      <c r="AC4" s="176">
        <f t="shared" ref="AC4:AC35" si="16">GW4+GY4+HA4</f>
        <v>1569977.73</v>
      </c>
      <c r="AD4" s="176">
        <f t="shared" ref="AD4:AD35" si="17">GX4+GZ4+HB4</f>
        <v>474133.27</v>
      </c>
      <c r="AE4" s="34">
        <f t="shared" ref="AE4:AE36" si="18">GQ4</f>
        <v>0</v>
      </c>
      <c r="AF4">
        <f t="shared" ref="AF4:AF36" si="19">FY4</f>
        <v>26839561.219999999</v>
      </c>
      <c r="AG4" s="46">
        <v>189000</v>
      </c>
      <c r="AH4" s="104">
        <f t="shared" ref="AH4:AH35" si="20">SUM(AA4:AG4)</f>
        <v>30668945.219999999</v>
      </c>
      <c r="AI4" s="105"/>
      <c r="AJ4" s="37">
        <v>126000</v>
      </c>
      <c r="AK4" s="18"/>
      <c r="AL4" s="109">
        <f t="shared" ref="AL4:AL35" si="21">AJ4+AK4</f>
        <v>126000</v>
      </c>
      <c r="AM4" s="143"/>
      <c r="AN4" s="107"/>
      <c r="AO4" s="107"/>
      <c r="AP4" s="107"/>
      <c r="AQ4" s="111">
        <f t="shared" ref="AQ4:AQ35" si="22">AN4+AL4+AI4+AH4+Y4+AM4+AO4</f>
        <v>58172410.82</v>
      </c>
      <c r="AR4" s="43" t="s">
        <v>125</v>
      </c>
      <c r="AS4" s="88"/>
      <c r="AT4" s="43"/>
      <c r="AU4" s="43"/>
      <c r="AV4" s="31">
        <f t="shared" ref="AV4:AV35" si="23">SUM(AS4:AU4)</f>
        <v>0</v>
      </c>
      <c r="AW4" s="252"/>
      <c r="AX4" s="43"/>
      <c r="AY4" s="252">
        <v>361904.91</v>
      </c>
      <c r="AZ4" s="255">
        <v>380000</v>
      </c>
      <c r="BA4" s="198">
        <v>17326.72</v>
      </c>
      <c r="BB4" s="269">
        <f>130000+4286.11-4286.11</f>
        <v>129999.99999999999</v>
      </c>
      <c r="BC4" s="270">
        <f>SUM(AY4:BA4)</f>
        <v>759231.62999999989</v>
      </c>
      <c r="BD4" s="43" t="s">
        <v>125</v>
      </c>
      <c r="BE4" s="211">
        <v>197803.04</v>
      </c>
      <c r="BF4" s="98">
        <v>0</v>
      </c>
      <c r="BG4" s="99"/>
      <c r="BH4" s="99"/>
      <c r="BI4" s="99"/>
      <c r="BJ4" s="46">
        <v>0</v>
      </c>
      <c r="BK4" s="46">
        <v>0</v>
      </c>
      <c r="BL4" s="46">
        <v>1232</v>
      </c>
      <c r="BM4" s="55"/>
      <c r="BN4" s="46">
        <v>325610.95000000007</v>
      </c>
      <c r="BO4" s="247">
        <f t="shared" ref="BO4:BO36" si="24">SUM(BE4:BN4)</f>
        <v>524645.99000000011</v>
      </c>
      <c r="BP4" s="99">
        <v>794952</v>
      </c>
      <c r="BQ4" s="99">
        <v>0</v>
      </c>
      <c r="BR4" s="33"/>
      <c r="BS4" s="227">
        <v>0</v>
      </c>
      <c r="BT4" s="43"/>
      <c r="BU4" s="43"/>
      <c r="BV4" s="227">
        <v>0</v>
      </c>
      <c r="BW4" s="227">
        <v>0</v>
      </c>
      <c r="BX4" s="43"/>
      <c r="BY4" s="43">
        <v>0</v>
      </c>
      <c r="BZ4" s="43">
        <v>0</v>
      </c>
      <c r="CA4" s="43">
        <v>482.51</v>
      </c>
      <c r="CB4" s="43">
        <v>306323.25</v>
      </c>
      <c r="CC4" s="43">
        <v>0</v>
      </c>
      <c r="CD4" s="43"/>
      <c r="CE4" s="18"/>
      <c r="CF4" s="18"/>
      <c r="CG4" s="18">
        <v>0</v>
      </c>
      <c r="CH4" s="176">
        <v>166000</v>
      </c>
      <c r="CI4" s="18">
        <v>0</v>
      </c>
      <c r="CJ4" s="176">
        <v>0</v>
      </c>
      <c r="CK4" s="18">
        <v>0</v>
      </c>
      <c r="CL4" s="18"/>
      <c r="CM4" s="33"/>
      <c r="CN4" s="33"/>
      <c r="CO4" s="33">
        <v>0</v>
      </c>
      <c r="CP4" s="33">
        <v>24050.75</v>
      </c>
      <c r="CQ4" s="43">
        <v>0</v>
      </c>
      <c r="CR4" s="43">
        <v>5500</v>
      </c>
      <c r="CS4" s="43"/>
      <c r="CT4" s="43"/>
      <c r="CU4" s="18"/>
      <c r="CV4" s="18"/>
      <c r="CW4" s="18"/>
      <c r="CX4" s="18">
        <v>0</v>
      </c>
      <c r="CY4" s="18">
        <v>0</v>
      </c>
      <c r="CZ4" s="18"/>
      <c r="DA4" s="18">
        <v>0</v>
      </c>
      <c r="DB4" s="231"/>
      <c r="DC4" s="33"/>
      <c r="DD4" s="18"/>
      <c r="DE4" s="18"/>
      <c r="DF4" s="18"/>
      <c r="DG4" s="18"/>
      <c r="DH4" s="18"/>
      <c r="DI4" s="18"/>
      <c r="DJ4" s="18"/>
      <c r="DK4" s="231"/>
      <c r="DL4" s="18"/>
      <c r="DM4" s="18"/>
      <c r="DN4" s="18"/>
      <c r="DO4" s="18"/>
      <c r="DP4" s="18"/>
      <c r="DQ4" s="211"/>
      <c r="DR4" s="231"/>
      <c r="DS4" s="18"/>
      <c r="DT4" s="18"/>
      <c r="DU4" s="18"/>
      <c r="DV4" s="211"/>
      <c r="DW4" s="18"/>
      <c r="DX4" s="18"/>
      <c r="DY4" s="18"/>
      <c r="DZ4" s="18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70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40">
        <f t="shared" si="1"/>
        <v>2551535.1</v>
      </c>
      <c r="FO4" s="33"/>
      <c r="FP4" s="33"/>
      <c r="FQ4" s="37">
        <v>532526.4</v>
      </c>
      <c r="FR4" s="18">
        <v>536568</v>
      </c>
      <c r="FS4" s="33"/>
      <c r="FT4" s="33">
        <v>1482440.7</v>
      </c>
      <c r="FU4" s="207">
        <f t="shared" ref="FU4:FU36" si="25">FW4+FX4+FV4</f>
        <v>0</v>
      </c>
      <c r="FV4" s="232"/>
      <c r="FW4" s="232"/>
      <c r="FX4" s="18"/>
      <c r="FY4" s="32">
        <f t="shared" ref="FY4:FY36" si="26">FZ4+GA4+GB4+GD4</f>
        <v>26839561.219999999</v>
      </c>
      <c r="FZ4" s="273"/>
      <c r="GA4" s="18">
        <v>0</v>
      </c>
      <c r="GB4" s="203">
        <f>14603521.43+5948302+7071783.48-784045.69</f>
        <v>26839561.219999999</v>
      </c>
      <c r="GC4" s="18"/>
      <c r="GD4" s="18"/>
      <c r="GE4" s="280"/>
      <c r="GF4" s="43" t="s">
        <v>125</v>
      </c>
      <c r="GG4" s="38">
        <f t="shared" si="2"/>
        <v>30857945.219999999</v>
      </c>
      <c r="GH4" s="38"/>
      <c r="GI4" s="37"/>
      <c r="GJ4" s="37"/>
      <c r="GK4" s="78"/>
      <c r="GL4" s="40">
        <f t="shared" ref="GL4:GL36" si="27">GR4+GS4+GU4+GO4+GT4</f>
        <v>1596273</v>
      </c>
      <c r="GM4" s="98"/>
      <c r="GN4" s="98"/>
      <c r="GO4" s="98"/>
      <c r="GP4" s="98"/>
      <c r="GQ4" s="111">
        <f t="shared" ref="GQ4:GQ36" si="28">SUM(GM4:GP4)</f>
        <v>0</v>
      </c>
      <c r="GR4" s="33">
        <v>1216273</v>
      </c>
      <c r="GS4" s="98"/>
      <c r="GT4" s="260">
        <v>380000</v>
      </c>
      <c r="GU4" s="98"/>
      <c r="GV4" s="32"/>
      <c r="GW4" s="32">
        <v>1320000</v>
      </c>
      <c r="GX4" s="32">
        <v>398640</v>
      </c>
      <c r="GY4" s="32">
        <v>189977.73</v>
      </c>
      <c r="GZ4" s="32">
        <v>57373.26999999999</v>
      </c>
      <c r="HA4" s="32">
        <v>60000</v>
      </c>
      <c r="HB4" s="18">
        <v>18120</v>
      </c>
      <c r="HC4" s="32"/>
      <c r="HD4" s="32"/>
      <c r="HE4" s="18"/>
      <c r="HF4" s="43" t="s">
        <v>125</v>
      </c>
      <c r="HG4" s="34">
        <f t="shared" ref="HG4:HG35" si="29">D4+N4+Q4+AB4+AJ4</f>
        <v>6614548.0899999999</v>
      </c>
      <c r="HH4" s="34">
        <f t="shared" ref="HH4:HH35" si="30">AQ4</f>
        <v>58172410.82</v>
      </c>
    </row>
    <row r="5" spans="1:218" ht="13.5" customHeight="1">
      <c r="A5" s="18">
        <v>3</v>
      </c>
      <c r="B5" s="45" t="s">
        <v>126</v>
      </c>
      <c r="C5" s="97"/>
      <c r="D5" s="98">
        <f t="shared" si="3"/>
        <v>5923593.1000000006</v>
      </c>
      <c r="E5" s="98">
        <f t="shared" si="0"/>
        <v>0</v>
      </c>
      <c r="F5" s="99"/>
      <c r="G5" s="99">
        <f t="shared" ref="G5:G35" si="31">FO5</f>
        <v>0</v>
      </c>
      <c r="H5" s="99">
        <f t="shared" ref="H5:H35" si="32">FP5</f>
        <v>0</v>
      </c>
      <c r="I5" s="99">
        <f t="shared" si="4"/>
        <v>0</v>
      </c>
      <c r="J5" s="99">
        <f t="shared" si="5"/>
        <v>15580</v>
      </c>
      <c r="K5" s="99">
        <f t="shared" si="6"/>
        <v>13876</v>
      </c>
      <c r="L5" s="135">
        <f t="shared" si="7"/>
        <v>1000</v>
      </c>
      <c r="M5" s="135"/>
      <c r="N5" s="135">
        <f t="shared" si="8"/>
        <v>6050230.5699999994</v>
      </c>
      <c r="O5" s="136">
        <f t="shared" si="9"/>
        <v>12004279.67</v>
      </c>
      <c r="P5" s="18"/>
      <c r="Q5" s="135">
        <f t="shared" si="10"/>
        <v>1386125</v>
      </c>
      <c r="R5" s="32">
        <v>1386125</v>
      </c>
      <c r="S5" s="135">
        <v>36974492</v>
      </c>
      <c r="T5" s="135">
        <v>11166297</v>
      </c>
      <c r="U5" s="55">
        <f t="shared" si="11"/>
        <v>48140789</v>
      </c>
      <c r="V5" s="46"/>
      <c r="W5" s="46"/>
      <c r="X5" s="46">
        <f t="shared" si="12"/>
        <v>0</v>
      </c>
      <c r="Y5" s="183">
        <f t="shared" si="13"/>
        <v>61531193.670000002</v>
      </c>
      <c r="Z5" s="45" t="s">
        <v>126</v>
      </c>
      <c r="AA5" s="100">
        <f t="shared" si="14"/>
        <v>1199494.5</v>
      </c>
      <c r="AB5" s="101">
        <f t="shared" si="15"/>
        <v>2129700.02</v>
      </c>
      <c r="AC5" s="176">
        <f t="shared" si="16"/>
        <v>2769977.73</v>
      </c>
      <c r="AD5" s="176">
        <f t="shared" si="17"/>
        <v>836533.27</v>
      </c>
      <c r="AE5" s="34">
        <f t="shared" si="18"/>
        <v>0</v>
      </c>
      <c r="AF5">
        <f t="shared" si="19"/>
        <v>3486445.21</v>
      </c>
      <c r="AG5" s="46">
        <v>468000</v>
      </c>
      <c r="AH5" s="104">
        <f t="shared" si="20"/>
        <v>10890150.73</v>
      </c>
      <c r="AI5" s="105"/>
      <c r="AJ5" s="37">
        <v>4661280</v>
      </c>
      <c r="AK5" s="18"/>
      <c r="AL5" s="109">
        <f t="shared" si="21"/>
        <v>4661280</v>
      </c>
      <c r="AM5" s="143"/>
      <c r="AN5" s="107"/>
      <c r="AO5" s="107"/>
      <c r="AP5" s="107"/>
      <c r="AQ5" s="111">
        <f t="shared" si="22"/>
        <v>77082624.400000006</v>
      </c>
      <c r="AR5" s="44" t="s">
        <v>126</v>
      </c>
      <c r="AS5" s="88"/>
      <c r="AT5" s="44"/>
      <c r="AU5" s="44"/>
      <c r="AV5" s="31">
        <f t="shared" si="23"/>
        <v>0</v>
      </c>
      <c r="AW5" s="252"/>
      <c r="AX5" s="44"/>
      <c r="AY5" s="252"/>
      <c r="AZ5" s="255"/>
      <c r="BA5" s="198">
        <v>279136.83</v>
      </c>
      <c r="BB5" s="269"/>
      <c r="BC5" s="270">
        <f t="shared" ref="BC5:BC35" si="33">SUM(AY5:BA5)</f>
        <v>279136.83</v>
      </c>
      <c r="BD5" s="44" t="s">
        <v>126</v>
      </c>
      <c r="BE5" s="211">
        <v>421291.4800000001</v>
      </c>
      <c r="BF5" s="98">
        <v>0</v>
      </c>
      <c r="BG5" s="99"/>
      <c r="BH5" s="99"/>
      <c r="BI5" s="99"/>
      <c r="BJ5" s="46">
        <v>15580</v>
      </c>
      <c r="BK5" s="46">
        <v>13476</v>
      </c>
      <c r="BL5" s="46">
        <v>1000</v>
      </c>
      <c r="BM5" s="55"/>
      <c r="BN5" s="46">
        <v>4995230.5699999994</v>
      </c>
      <c r="BO5" s="247">
        <f t="shared" si="24"/>
        <v>5446578.0499999998</v>
      </c>
      <c r="BP5" s="99">
        <v>0</v>
      </c>
      <c r="BQ5" s="99">
        <v>0</v>
      </c>
      <c r="BR5" s="33"/>
      <c r="BS5" s="227">
        <v>173485</v>
      </c>
      <c r="BT5" s="44"/>
      <c r="BU5" s="44"/>
      <c r="BV5" s="227">
        <v>75000</v>
      </c>
      <c r="BW5" s="227">
        <v>0</v>
      </c>
      <c r="BX5" s="44"/>
      <c r="BY5" s="44">
        <v>0</v>
      </c>
      <c r="BZ5" s="44">
        <v>0</v>
      </c>
      <c r="CA5" s="44">
        <v>0</v>
      </c>
      <c r="CB5" s="44">
        <v>1991515.9400000002</v>
      </c>
      <c r="CC5" s="44">
        <v>1055000</v>
      </c>
      <c r="CD5" s="44"/>
      <c r="CE5" s="18"/>
      <c r="CF5" s="18"/>
      <c r="CG5" s="18">
        <v>0</v>
      </c>
      <c r="CH5" s="176">
        <v>30000</v>
      </c>
      <c r="CI5" s="18">
        <v>400</v>
      </c>
      <c r="CJ5" s="176">
        <v>4216.9000000000015</v>
      </c>
      <c r="CK5" s="18">
        <v>0</v>
      </c>
      <c r="CL5" s="18"/>
      <c r="CM5" s="33"/>
      <c r="CN5" s="33"/>
      <c r="CO5" s="33">
        <v>0</v>
      </c>
      <c r="CP5" s="33">
        <v>450074.7</v>
      </c>
      <c r="CQ5" s="44">
        <v>0</v>
      </c>
      <c r="CR5" s="44">
        <v>0</v>
      </c>
      <c r="CS5" s="44"/>
      <c r="CT5" s="44"/>
      <c r="CU5" s="18"/>
      <c r="CV5" s="18"/>
      <c r="CW5" s="18"/>
      <c r="CX5" s="18">
        <v>17900</v>
      </c>
      <c r="CY5" s="18">
        <v>0</v>
      </c>
      <c r="CZ5" s="18"/>
      <c r="DA5" s="18">
        <v>0</v>
      </c>
      <c r="DB5" s="231"/>
      <c r="DC5" s="33"/>
      <c r="DD5" s="18"/>
      <c r="DE5" s="18"/>
      <c r="DF5" s="18"/>
      <c r="DG5" s="18"/>
      <c r="DH5" s="18"/>
      <c r="DI5" s="18"/>
      <c r="DJ5" s="18"/>
      <c r="DK5" s="231"/>
      <c r="DL5" s="18"/>
      <c r="DM5" s="18"/>
      <c r="DN5" s="18"/>
      <c r="DO5" s="18"/>
      <c r="DP5" s="18"/>
      <c r="DQ5" s="211"/>
      <c r="DR5" s="231"/>
      <c r="DS5" s="18"/>
      <c r="DT5" s="18"/>
      <c r="DU5" s="18"/>
      <c r="DV5" s="211"/>
      <c r="DW5" s="18"/>
      <c r="DX5" s="18"/>
      <c r="DY5" s="18"/>
      <c r="DZ5" s="18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70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40">
        <f t="shared" si="1"/>
        <v>2760109.08</v>
      </c>
      <c r="FO5" s="33"/>
      <c r="FP5" s="33"/>
      <c r="FQ5" s="37"/>
      <c r="FR5" s="18">
        <v>192129</v>
      </c>
      <c r="FS5" s="33"/>
      <c r="FT5" s="33">
        <v>2567980.08</v>
      </c>
      <c r="FU5" s="207">
        <f t="shared" si="25"/>
        <v>1199494.5</v>
      </c>
      <c r="FV5" s="232"/>
      <c r="FW5" s="232"/>
      <c r="FX5" s="18">
        <v>1199494.5</v>
      </c>
      <c r="FY5" s="32">
        <f t="shared" si="26"/>
        <v>3486445.21</v>
      </c>
      <c r="FZ5" s="273"/>
      <c r="GA5" s="18">
        <v>0</v>
      </c>
      <c r="GB5" s="203">
        <f>3492401.98-5956.77</f>
        <v>3486445.21</v>
      </c>
      <c r="GC5" s="18"/>
      <c r="GD5" s="18"/>
      <c r="GE5" s="280"/>
      <c r="GF5" s="44" t="s">
        <v>126</v>
      </c>
      <c r="GG5" s="38">
        <f t="shared" si="2"/>
        <v>10158656.23</v>
      </c>
      <c r="GH5" s="38"/>
      <c r="GI5" s="37"/>
      <c r="GJ5" s="37"/>
      <c r="GK5" s="78"/>
      <c r="GL5" s="40">
        <f t="shared" si="27"/>
        <v>2129700.02</v>
      </c>
      <c r="GM5" s="98"/>
      <c r="GN5" s="98"/>
      <c r="GO5" s="98"/>
      <c r="GP5" s="98"/>
      <c r="GQ5" s="111">
        <f t="shared" si="28"/>
        <v>0</v>
      </c>
      <c r="GR5" s="33">
        <v>1745900</v>
      </c>
      <c r="GS5" s="98"/>
      <c r="GT5" s="260">
        <v>383800.02</v>
      </c>
      <c r="GU5" s="98"/>
      <c r="GV5" s="32"/>
      <c r="GW5" s="32">
        <v>2520000</v>
      </c>
      <c r="GX5" s="32">
        <v>761040</v>
      </c>
      <c r="GY5" s="32">
        <v>189977.73</v>
      </c>
      <c r="GZ5" s="32">
        <v>57373.26999999999</v>
      </c>
      <c r="HA5" s="32">
        <v>60000</v>
      </c>
      <c r="HB5" s="18">
        <v>18120</v>
      </c>
      <c r="HC5" s="32"/>
      <c r="HD5" s="32"/>
      <c r="HE5" s="18"/>
      <c r="HF5" s="44" t="s">
        <v>126</v>
      </c>
      <c r="HG5" s="34">
        <f t="shared" si="29"/>
        <v>20150928.689999998</v>
      </c>
      <c r="HH5" s="34">
        <f t="shared" si="30"/>
        <v>77082624.400000006</v>
      </c>
    </row>
    <row r="6" spans="1:218" ht="24" customHeight="1">
      <c r="A6" s="18">
        <v>4</v>
      </c>
      <c r="B6" s="45" t="s">
        <v>127</v>
      </c>
      <c r="C6" s="97"/>
      <c r="D6" s="98">
        <f t="shared" si="3"/>
        <v>3779843.5799999996</v>
      </c>
      <c r="E6" s="98">
        <f t="shared" si="0"/>
        <v>0</v>
      </c>
      <c r="F6" s="99"/>
      <c r="G6" s="99">
        <f t="shared" si="31"/>
        <v>0</v>
      </c>
      <c r="H6" s="99">
        <f t="shared" si="32"/>
        <v>0</v>
      </c>
      <c r="I6" s="99">
        <f t="shared" si="4"/>
        <v>0</v>
      </c>
      <c r="J6" s="99">
        <f t="shared" si="5"/>
        <v>0</v>
      </c>
      <c r="K6" s="99">
        <f t="shared" si="6"/>
        <v>6100</v>
      </c>
      <c r="L6" s="135">
        <f t="shared" si="7"/>
        <v>1000</v>
      </c>
      <c r="M6" s="135"/>
      <c r="N6" s="135">
        <f t="shared" si="8"/>
        <v>1623362.96</v>
      </c>
      <c r="O6" s="136">
        <f t="shared" si="9"/>
        <v>5410306.5399999991</v>
      </c>
      <c r="P6" s="18"/>
      <c r="Q6" s="135">
        <f t="shared" si="10"/>
        <v>634625</v>
      </c>
      <c r="R6" s="32">
        <v>634625</v>
      </c>
      <c r="S6" s="135">
        <v>18258067</v>
      </c>
      <c r="T6" s="135">
        <v>5513936</v>
      </c>
      <c r="U6" s="55">
        <f t="shared" si="11"/>
        <v>23772003</v>
      </c>
      <c r="V6" s="46"/>
      <c r="W6" s="46"/>
      <c r="X6" s="46">
        <f t="shared" si="12"/>
        <v>0</v>
      </c>
      <c r="Y6" s="183">
        <f t="shared" si="13"/>
        <v>29816934.539999999</v>
      </c>
      <c r="Z6" s="45" t="s">
        <v>127</v>
      </c>
      <c r="AA6" s="100">
        <f t="shared" si="14"/>
        <v>0</v>
      </c>
      <c r="AB6" s="101">
        <f t="shared" si="15"/>
        <v>1394162.6400000001</v>
      </c>
      <c r="AC6" s="176">
        <f t="shared" si="16"/>
        <v>1080000</v>
      </c>
      <c r="AD6" s="176">
        <f t="shared" si="17"/>
        <v>326160</v>
      </c>
      <c r="AE6" s="34">
        <f t="shared" si="18"/>
        <v>0</v>
      </c>
      <c r="AF6">
        <f t="shared" si="19"/>
        <v>0</v>
      </c>
      <c r="AG6" s="46">
        <v>225000</v>
      </c>
      <c r="AH6" s="104">
        <f t="shared" si="20"/>
        <v>3025322.64</v>
      </c>
      <c r="AI6" s="105"/>
      <c r="AJ6" s="37">
        <v>2079470</v>
      </c>
      <c r="AK6" s="18"/>
      <c r="AL6" s="109">
        <f t="shared" si="21"/>
        <v>2079470</v>
      </c>
      <c r="AM6" s="143"/>
      <c r="AN6" s="107"/>
      <c r="AO6" s="107"/>
      <c r="AP6" s="107"/>
      <c r="AQ6" s="111">
        <f t="shared" si="22"/>
        <v>34921727.18</v>
      </c>
      <c r="AR6" s="45" t="s">
        <v>127</v>
      </c>
      <c r="AS6" s="88"/>
      <c r="AT6" s="45"/>
      <c r="AU6" s="45"/>
      <c r="AV6" s="31">
        <f t="shared" si="23"/>
        <v>0</v>
      </c>
      <c r="AW6" s="252"/>
      <c r="AX6" s="45"/>
      <c r="AY6" s="252">
        <v>357731.02</v>
      </c>
      <c r="AZ6" s="255"/>
      <c r="BA6" s="198">
        <v>337997.49</v>
      </c>
      <c r="BB6" s="269"/>
      <c r="BC6" s="270">
        <f t="shared" si="33"/>
        <v>695728.51</v>
      </c>
      <c r="BD6" s="45" t="s">
        <v>127</v>
      </c>
      <c r="BE6" s="211">
        <v>250165.19999999995</v>
      </c>
      <c r="BF6" s="98">
        <v>0</v>
      </c>
      <c r="BG6" s="99"/>
      <c r="BH6" s="99"/>
      <c r="BI6" s="99"/>
      <c r="BJ6" s="46">
        <v>0</v>
      </c>
      <c r="BK6" s="46">
        <v>6100</v>
      </c>
      <c r="BL6" s="46">
        <v>1000</v>
      </c>
      <c r="BM6" s="55"/>
      <c r="BN6" s="46">
        <v>1338362.96</v>
      </c>
      <c r="BO6" s="247">
        <f t="shared" si="24"/>
        <v>1595628.16</v>
      </c>
      <c r="BP6" s="99">
        <v>166789</v>
      </c>
      <c r="BQ6" s="99">
        <v>0</v>
      </c>
      <c r="BR6" s="33"/>
      <c r="BS6" s="227">
        <v>424175</v>
      </c>
      <c r="BT6" s="45"/>
      <c r="BU6" s="45"/>
      <c r="BV6" s="227">
        <v>12300</v>
      </c>
      <c r="BW6" s="227">
        <v>0</v>
      </c>
      <c r="BX6" s="45"/>
      <c r="BY6" s="45">
        <v>0</v>
      </c>
      <c r="BZ6" s="45">
        <v>0</v>
      </c>
      <c r="CA6" s="45">
        <v>0</v>
      </c>
      <c r="CB6" s="45">
        <v>610566.77999999991</v>
      </c>
      <c r="CC6" s="45">
        <v>285000</v>
      </c>
      <c r="CD6" s="45"/>
      <c r="CE6" s="18"/>
      <c r="CF6" s="18"/>
      <c r="CG6" s="18">
        <v>0</v>
      </c>
      <c r="CH6" s="176">
        <v>30000</v>
      </c>
      <c r="CI6" s="18">
        <v>0</v>
      </c>
      <c r="CJ6" s="176">
        <v>0</v>
      </c>
      <c r="CK6" s="18">
        <v>0</v>
      </c>
      <c r="CL6" s="18"/>
      <c r="CM6" s="33"/>
      <c r="CN6" s="33"/>
      <c r="CO6" s="33">
        <v>0</v>
      </c>
      <c r="CP6" s="33">
        <v>254638.92</v>
      </c>
      <c r="CQ6" s="45">
        <v>0</v>
      </c>
      <c r="CR6" s="45">
        <v>0</v>
      </c>
      <c r="CS6" s="45"/>
      <c r="CT6" s="45"/>
      <c r="CU6" s="18"/>
      <c r="CV6" s="18"/>
      <c r="CW6" s="18"/>
      <c r="CX6" s="18">
        <v>34000</v>
      </c>
      <c r="CY6" s="18">
        <v>0</v>
      </c>
      <c r="CZ6" s="18"/>
      <c r="DA6" s="18">
        <v>0</v>
      </c>
      <c r="DB6" s="231"/>
      <c r="DC6" s="33"/>
      <c r="DD6" s="18"/>
      <c r="DE6" s="18"/>
      <c r="DF6" s="18"/>
      <c r="DG6" s="18"/>
      <c r="DH6" s="18"/>
      <c r="DI6" s="18"/>
      <c r="DJ6" s="18"/>
      <c r="DK6" s="231"/>
      <c r="DL6" s="18"/>
      <c r="DM6" s="18"/>
      <c r="DN6" s="18"/>
      <c r="DO6" s="18"/>
      <c r="DP6" s="18"/>
      <c r="DQ6" s="211"/>
      <c r="DR6" s="231"/>
      <c r="DS6" s="18"/>
      <c r="DT6" s="18"/>
      <c r="DU6" s="18"/>
      <c r="DV6" s="211"/>
      <c r="DW6" s="18"/>
      <c r="DX6" s="18"/>
      <c r="DY6" s="18"/>
      <c r="DZ6" s="18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70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40">
        <f t="shared" si="1"/>
        <v>1997208.6800000002</v>
      </c>
      <c r="FO6" s="33"/>
      <c r="FP6" s="33"/>
      <c r="FQ6" s="37">
        <v>458564.4</v>
      </c>
      <c r="FR6" s="18">
        <v>104312</v>
      </c>
      <c r="FS6" s="33"/>
      <c r="FT6" s="33">
        <v>1434332.2800000003</v>
      </c>
      <c r="FU6" s="207">
        <f t="shared" si="25"/>
        <v>0</v>
      </c>
      <c r="FV6" s="232"/>
      <c r="FW6" s="232"/>
      <c r="FX6" s="18"/>
      <c r="FY6" s="32">
        <f t="shared" si="26"/>
        <v>0</v>
      </c>
      <c r="FZ6" s="273"/>
      <c r="GA6" s="18">
        <v>0</v>
      </c>
      <c r="GB6" s="203">
        <v>0</v>
      </c>
      <c r="GC6" s="18"/>
      <c r="GD6" s="18"/>
      <c r="GE6" s="280"/>
      <c r="GF6" s="45" t="s">
        <v>127</v>
      </c>
      <c r="GG6" s="38">
        <f t="shared" si="2"/>
        <v>3250322.64</v>
      </c>
      <c r="GH6" s="38"/>
      <c r="GI6" s="37"/>
      <c r="GJ6" s="37"/>
      <c r="GK6" s="78"/>
      <c r="GL6" s="40">
        <f t="shared" si="27"/>
        <v>1394162.6400000001</v>
      </c>
      <c r="GM6" s="98"/>
      <c r="GN6" s="98"/>
      <c r="GO6" s="98"/>
      <c r="GP6" s="98"/>
      <c r="GQ6" s="111">
        <f t="shared" si="28"/>
        <v>0</v>
      </c>
      <c r="GR6" s="33">
        <v>1008796</v>
      </c>
      <c r="GS6" s="98"/>
      <c r="GT6" s="260">
        <v>385366.64</v>
      </c>
      <c r="GU6" s="98"/>
      <c r="GV6" s="32"/>
      <c r="GW6" s="32">
        <v>1080000</v>
      </c>
      <c r="GX6" s="32">
        <v>326160</v>
      </c>
      <c r="GY6" s="32">
        <v>0</v>
      </c>
      <c r="GZ6" s="32">
        <v>0</v>
      </c>
      <c r="HA6" s="32"/>
      <c r="HB6" s="33"/>
      <c r="HC6" s="32"/>
      <c r="HD6" s="32"/>
      <c r="HE6" s="18"/>
      <c r="HF6" s="45" t="s">
        <v>127</v>
      </c>
      <c r="HG6" s="34">
        <f t="shared" si="29"/>
        <v>9511464.1799999997</v>
      </c>
      <c r="HH6" s="34">
        <f t="shared" si="30"/>
        <v>34921727.18</v>
      </c>
    </row>
    <row r="7" spans="1:218" ht="19.5" customHeight="1">
      <c r="A7" s="18">
        <v>5</v>
      </c>
      <c r="B7" s="45" t="s">
        <v>128</v>
      </c>
      <c r="C7" s="97"/>
      <c r="D7" s="98">
        <f t="shared" si="3"/>
        <v>2815418.8200000003</v>
      </c>
      <c r="E7" s="98">
        <f t="shared" si="0"/>
        <v>0</v>
      </c>
      <c r="F7" s="99"/>
      <c r="G7" s="99">
        <f t="shared" si="31"/>
        <v>0</v>
      </c>
      <c r="H7" s="99">
        <f t="shared" si="32"/>
        <v>0</v>
      </c>
      <c r="I7" s="99">
        <f t="shared" si="4"/>
        <v>0</v>
      </c>
      <c r="J7" s="99">
        <f t="shared" si="5"/>
        <v>0</v>
      </c>
      <c r="K7" s="99">
        <f t="shared" si="6"/>
        <v>0</v>
      </c>
      <c r="L7" s="135">
        <f t="shared" si="7"/>
        <v>1000</v>
      </c>
      <c r="M7" s="135"/>
      <c r="N7" s="135">
        <f t="shared" si="8"/>
        <v>2829385.6999999997</v>
      </c>
      <c r="O7" s="136">
        <f t="shared" si="9"/>
        <v>5645804.5199999996</v>
      </c>
      <c r="P7" s="18"/>
      <c r="Q7" s="135">
        <f t="shared" si="10"/>
        <v>747375</v>
      </c>
      <c r="R7" s="32">
        <v>747375</v>
      </c>
      <c r="S7" s="135">
        <v>19830376</v>
      </c>
      <c r="T7" s="135">
        <v>5988773</v>
      </c>
      <c r="U7" s="55">
        <f t="shared" si="11"/>
        <v>25819149</v>
      </c>
      <c r="V7" s="46"/>
      <c r="W7" s="46"/>
      <c r="X7" s="46">
        <f t="shared" si="12"/>
        <v>0</v>
      </c>
      <c r="Y7" s="183">
        <f t="shared" si="13"/>
        <v>32212328.52</v>
      </c>
      <c r="Z7" s="45" t="s">
        <v>128</v>
      </c>
      <c r="AA7" s="100">
        <f t="shared" si="14"/>
        <v>0</v>
      </c>
      <c r="AB7" s="101">
        <f t="shared" si="15"/>
        <v>1135491</v>
      </c>
      <c r="AC7" s="176">
        <f t="shared" si="16"/>
        <v>1449977.73</v>
      </c>
      <c r="AD7" s="176">
        <f t="shared" si="17"/>
        <v>437893.27</v>
      </c>
      <c r="AE7" s="34">
        <f t="shared" si="18"/>
        <v>0</v>
      </c>
      <c r="AF7">
        <f t="shared" si="19"/>
        <v>10250690</v>
      </c>
      <c r="AG7" s="46">
        <v>279000</v>
      </c>
      <c r="AH7" s="104">
        <f t="shared" si="20"/>
        <v>13553052</v>
      </c>
      <c r="AI7" s="105"/>
      <c r="AJ7" s="37">
        <v>2772610</v>
      </c>
      <c r="AK7" s="18"/>
      <c r="AL7" s="109">
        <f t="shared" si="21"/>
        <v>2772610</v>
      </c>
      <c r="AM7" s="143"/>
      <c r="AN7" s="107"/>
      <c r="AO7" s="107"/>
      <c r="AP7" s="107"/>
      <c r="AQ7" s="111">
        <f t="shared" si="22"/>
        <v>48537990.519999996</v>
      </c>
      <c r="AR7" s="45" t="s">
        <v>128</v>
      </c>
      <c r="AS7" s="88"/>
      <c r="AT7" s="45"/>
      <c r="AU7" s="45"/>
      <c r="AV7" s="31">
        <f t="shared" si="23"/>
        <v>0</v>
      </c>
      <c r="AW7" s="252"/>
      <c r="AX7" s="45"/>
      <c r="AY7" s="252"/>
      <c r="AZ7" s="255"/>
      <c r="BA7" s="198">
        <v>269414.28000000003</v>
      </c>
      <c r="BB7" s="269"/>
      <c r="BC7" s="270">
        <f t="shared" si="33"/>
        <v>269414.28000000003</v>
      </c>
      <c r="BD7" s="45" t="s">
        <v>128</v>
      </c>
      <c r="BE7" s="211">
        <v>261922.08000000002</v>
      </c>
      <c r="BF7" s="98">
        <v>0</v>
      </c>
      <c r="BG7" s="99"/>
      <c r="BH7" s="99"/>
      <c r="BI7" s="99"/>
      <c r="BJ7" s="46">
        <v>0</v>
      </c>
      <c r="BK7" s="46">
        <v>0</v>
      </c>
      <c r="BL7" s="46">
        <v>1000</v>
      </c>
      <c r="BM7" s="55"/>
      <c r="BN7" s="46">
        <v>2234385.6999999997</v>
      </c>
      <c r="BO7" s="247">
        <f t="shared" si="24"/>
        <v>2497307.7799999998</v>
      </c>
      <c r="BP7" s="99">
        <v>0</v>
      </c>
      <c r="BQ7" s="99">
        <v>0</v>
      </c>
      <c r="BR7" s="33"/>
      <c r="BS7" s="227">
        <v>0</v>
      </c>
      <c r="BT7" s="45"/>
      <c r="BU7" s="45"/>
      <c r="BV7" s="227">
        <v>15800</v>
      </c>
      <c r="BW7" s="227">
        <v>0</v>
      </c>
      <c r="BX7" s="45"/>
      <c r="BY7" s="45">
        <v>0</v>
      </c>
      <c r="BZ7" s="45">
        <v>0</v>
      </c>
      <c r="CA7" s="45">
        <v>0</v>
      </c>
      <c r="CB7" s="45">
        <v>707169.14</v>
      </c>
      <c r="CC7" s="45">
        <v>595000</v>
      </c>
      <c r="CD7" s="45"/>
      <c r="CE7" s="18"/>
      <c r="CF7" s="18"/>
      <c r="CG7" s="18">
        <v>0</v>
      </c>
      <c r="CH7" s="176">
        <v>30000</v>
      </c>
      <c r="CI7" s="18">
        <v>0</v>
      </c>
      <c r="CJ7" s="176">
        <v>0</v>
      </c>
      <c r="CK7" s="18">
        <v>0</v>
      </c>
      <c r="CL7" s="18"/>
      <c r="CM7" s="33"/>
      <c r="CN7" s="33"/>
      <c r="CO7" s="33">
        <v>0</v>
      </c>
      <c r="CP7" s="33">
        <v>12115.95</v>
      </c>
      <c r="CQ7" s="45">
        <v>0</v>
      </c>
      <c r="CR7" s="45">
        <v>39000</v>
      </c>
      <c r="CS7" s="45"/>
      <c r="CT7" s="45"/>
      <c r="CU7" s="18"/>
      <c r="CV7" s="18"/>
      <c r="CW7" s="18"/>
      <c r="CX7" s="18">
        <v>0</v>
      </c>
      <c r="CY7" s="18">
        <v>0</v>
      </c>
      <c r="CZ7" s="18"/>
      <c r="DA7" s="18">
        <v>0</v>
      </c>
      <c r="DB7" s="231"/>
      <c r="DC7" s="33"/>
      <c r="DD7" s="18"/>
      <c r="DE7" s="18"/>
      <c r="DF7" s="18"/>
      <c r="DG7" s="18"/>
      <c r="DH7" s="18"/>
      <c r="DI7" s="18"/>
      <c r="DJ7" s="18"/>
      <c r="DK7" s="231"/>
      <c r="DL7" s="18"/>
      <c r="DM7" s="18"/>
      <c r="DN7" s="18"/>
      <c r="DO7" s="18"/>
      <c r="DP7" s="18"/>
      <c r="DQ7" s="211"/>
      <c r="DR7" s="231"/>
      <c r="DS7" s="18"/>
      <c r="DT7" s="18"/>
      <c r="DU7" s="18"/>
      <c r="DV7" s="211"/>
      <c r="DW7" s="18"/>
      <c r="DX7" s="18"/>
      <c r="DY7" s="18"/>
      <c r="DZ7" s="18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70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40">
        <f t="shared" si="1"/>
        <v>1749411.65</v>
      </c>
      <c r="FO7" s="33"/>
      <c r="FP7" s="33"/>
      <c r="FQ7" s="33">
        <v>384602.4</v>
      </c>
      <c r="FR7" s="100">
        <v>430578</v>
      </c>
      <c r="FS7" s="33"/>
      <c r="FT7" s="33">
        <v>934231.25</v>
      </c>
      <c r="FU7" s="207">
        <f t="shared" si="25"/>
        <v>0</v>
      </c>
      <c r="FV7" s="232"/>
      <c r="FW7" s="232"/>
      <c r="FX7" s="100"/>
      <c r="FY7" s="32">
        <f t="shared" si="26"/>
        <v>10250690</v>
      </c>
      <c r="FZ7" s="273"/>
      <c r="GA7" s="100">
        <v>0</v>
      </c>
      <c r="GB7" s="204">
        <v>10250690</v>
      </c>
      <c r="GC7" s="100"/>
      <c r="GD7" s="100"/>
      <c r="GE7" s="280"/>
      <c r="GF7" s="45" t="s">
        <v>128</v>
      </c>
      <c r="GG7" s="38">
        <f t="shared" si="2"/>
        <v>13832052</v>
      </c>
      <c r="GH7" s="38"/>
      <c r="GI7" s="37"/>
      <c r="GJ7" s="37"/>
      <c r="GK7" s="78"/>
      <c r="GL7" s="40">
        <f t="shared" si="27"/>
        <v>1135491</v>
      </c>
      <c r="GM7" s="98"/>
      <c r="GN7" s="98"/>
      <c r="GO7" s="98"/>
      <c r="GP7" s="98"/>
      <c r="GQ7" s="111">
        <f t="shared" si="28"/>
        <v>0</v>
      </c>
      <c r="GR7" s="33">
        <v>822491</v>
      </c>
      <c r="GS7" s="98"/>
      <c r="GT7" s="260">
        <v>313000</v>
      </c>
      <c r="GU7" s="98"/>
      <c r="GV7" s="32"/>
      <c r="GW7" s="32">
        <v>1200000</v>
      </c>
      <c r="GX7" s="32">
        <v>362400</v>
      </c>
      <c r="GY7" s="32">
        <v>189977.73</v>
      </c>
      <c r="GZ7" s="32">
        <v>57373.26999999999</v>
      </c>
      <c r="HA7" s="32">
        <v>60000</v>
      </c>
      <c r="HB7" s="33">
        <v>18120</v>
      </c>
      <c r="HC7" s="32"/>
      <c r="HD7" s="32"/>
      <c r="HE7" s="18"/>
      <c r="HF7" s="45" t="s">
        <v>128</v>
      </c>
      <c r="HG7" s="34">
        <f t="shared" si="29"/>
        <v>10300280.52</v>
      </c>
      <c r="HH7" s="34">
        <f t="shared" si="30"/>
        <v>48537990.519999996</v>
      </c>
    </row>
    <row r="8" spans="1:218" ht="16.5" customHeight="1">
      <c r="A8" s="18">
        <v>6</v>
      </c>
      <c r="B8" s="45" t="s">
        <v>129</v>
      </c>
      <c r="C8" s="97"/>
      <c r="D8" s="98">
        <f t="shared" si="3"/>
        <v>2517202.4699999997</v>
      </c>
      <c r="E8" s="98">
        <f t="shared" si="0"/>
        <v>26500</v>
      </c>
      <c r="F8" s="99"/>
      <c r="G8" s="99">
        <f t="shared" si="31"/>
        <v>30000</v>
      </c>
      <c r="H8" s="99">
        <f t="shared" si="32"/>
        <v>9060</v>
      </c>
      <c r="I8" s="99">
        <f t="shared" si="4"/>
        <v>0</v>
      </c>
      <c r="J8" s="99">
        <f t="shared" si="5"/>
        <v>10977</v>
      </c>
      <c r="K8" s="99">
        <f t="shared" si="6"/>
        <v>0</v>
      </c>
      <c r="L8" s="135">
        <f t="shared" si="7"/>
        <v>1000</v>
      </c>
      <c r="M8" s="135"/>
      <c r="N8" s="135">
        <f t="shared" si="8"/>
        <v>1467357.2</v>
      </c>
      <c r="O8" s="136">
        <f t="shared" si="9"/>
        <v>4062096.67</v>
      </c>
      <c r="P8" s="18"/>
      <c r="Q8" s="135">
        <f t="shared" si="10"/>
        <v>424500</v>
      </c>
      <c r="R8" s="32">
        <v>424500</v>
      </c>
      <c r="S8" s="135">
        <v>13686569</v>
      </c>
      <c r="T8" s="135">
        <v>4133344</v>
      </c>
      <c r="U8" s="55">
        <f t="shared" si="11"/>
        <v>17819913</v>
      </c>
      <c r="V8" s="46"/>
      <c r="W8" s="46"/>
      <c r="X8" s="46">
        <f t="shared" si="12"/>
        <v>0</v>
      </c>
      <c r="Y8" s="183">
        <f t="shared" si="13"/>
        <v>22306509.670000002</v>
      </c>
      <c r="Z8" s="45" t="s">
        <v>129</v>
      </c>
      <c r="AA8" s="100">
        <f t="shared" si="14"/>
        <v>0</v>
      </c>
      <c r="AB8" s="101">
        <f t="shared" si="15"/>
        <v>1226128</v>
      </c>
      <c r="AC8" s="176">
        <f t="shared" si="16"/>
        <v>1200000</v>
      </c>
      <c r="AD8" s="176">
        <f t="shared" si="17"/>
        <v>362400</v>
      </c>
      <c r="AE8" s="34">
        <f t="shared" si="18"/>
        <v>0</v>
      </c>
      <c r="AF8">
        <f t="shared" si="19"/>
        <v>24997666.57</v>
      </c>
      <c r="AG8" s="46">
        <v>117000</v>
      </c>
      <c r="AH8" s="104">
        <f t="shared" si="20"/>
        <v>27903194.57</v>
      </c>
      <c r="AI8" s="105"/>
      <c r="AJ8" s="37">
        <v>564000</v>
      </c>
      <c r="AK8" s="18"/>
      <c r="AL8" s="109">
        <f t="shared" si="21"/>
        <v>564000</v>
      </c>
      <c r="AM8" s="143"/>
      <c r="AN8" s="107"/>
      <c r="AO8" s="107"/>
      <c r="AP8" s="107"/>
      <c r="AQ8" s="111">
        <f t="shared" si="22"/>
        <v>50773704.240000002</v>
      </c>
      <c r="AR8" s="45" t="s">
        <v>129</v>
      </c>
      <c r="AS8" s="88"/>
      <c r="AT8" s="45"/>
      <c r="AU8" s="45"/>
      <c r="AV8" s="31">
        <f t="shared" si="23"/>
        <v>0</v>
      </c>
      <c r="AW8" s="252"/>
      <c r="AX8" s="45"/>
      <c r="AY8" s="252"/>
      <c r="AZ8" s="255"/>
      <c r="BA8" s="198">
        <v>39832.79</v>
      </c>
      <c r="BB8" s="269"/>
      <c r="BC8" s="270">
        <f t="shared" si="33"/>
        <v>39832.79</v>
      </c>
      <c r="BD8" s="45" t="s">
        <v>129</v>
      </c>
      <c r="BE8" s="211">
        <v>189903.04</v>
      </c>
      <c r="BF8" s="98">
        <v>26500</v>
      </c>
      <c r="BG8" s="99"/>
      <c r="BH8" s="99"/>
      <c r="BI8" s="99"/>
      <c r="BJ8" s="46">
        <v>10436</v>
      </c>
      <c r="BK8" s="46">
        <v>0</v>
      </c>
      <c r="BL8" s="46">
        <v>1000</v>
      </c>
      <c r="BM8" s="55"/>
      <c r="BN8" s="46">
        <v>1262357.2</v>
      </c>
      <c r="BO8" s="247">
        <f t="shared" si="24"/>
        <v>1490196.24</v>
      </c>
      <c r="BP8" s="99">
        <v>0</v>
      </c>
      <c r="BQ8" s="99">
        <v>0</v>
      </c>
      <c r="BR8" s="33"/>
      <c r="BS8" s="227">
        <v>0</v>
      </c>
      <c r="BT8" s="45"/>
      <c r="BU8" s="45"/>
      <c r="BV8" s="227">
        <v>14130</v>
      </c>
      <c r="BW8" s="227">
        <v>0</v>
      </c>
      <c r="BX8" s="45"/>
      <c r="BY8" s="45">
        <v>541</v>
      </c>
      <c r="BZ8" s="45">
        <v>0</v>
      </c>
      <c r="CA8" s="45">
        <v>0</v>
      </c>
      <c r="CB8" s="45">
        <v>976177.44</v>
      </c>
      <c r="CC8" s="45">
        <v>205000</v>
      </c>
      <c r="CD8" s="45"/>
      <c r="CE8" s="18"/>
      <c r="CF8" s="18"/>
      <c r="CG8" s="18">
        <v>0</v>
      </c>
      <c r="CH8" s="176">
        <v>30000</v>
      </c>
      <c r="CI8" s="18">
        <v>0</v>
      </c>
      <c r="CJ8" s="176">
        <v>0</v>
      </c>
      <c r="CK8" s="18">
        <v>0</v>
      </c>
      <c r="CL8" s="18"/>
      <c r="CM8" s="33"/>
      <c r="CN8" s="33"/>
      <c r="CO8" s="33">
        <v>29610</v>
      </c>
      <c r="CP8" s="33">
        <v>25693.040000000001</v>
      </c>
      <c r="CQ8" s="45">
        <v>0</v>
      </c>
      <c r="CR8" s="45">
        <v>0</v>
      </c>
      <c r="CS8" s="45"/>
      <c r="CT8" s="45"/>
      <c r="CU8" s="18"/>
      <c r="CV8" s="18"/>
      <c r="CW8" s="18"/>
      <c r="CX8" s="18">
        <v>0</v>
      </c>
      <c r="CY8" s="18">
        <v>0</v>
      </c>
      <c r="CZ8" s="18"/>
      <c r="DA8" s="18">
        <v>0</v>
      </c>
      <c r="DB8" s="231"/>
      <c r="DC8" s="33"/>
      <c r="DD8" s="18"/>
      <c r="DE8" s="18"/>
      <c r="DF8" s="18"/>
      <c r="DG8" s="18"/>
      <c r="DH8" s="18"/>
      <c r="DI8" s="18"/>
      <c r="DJ8" s="18"/>
      <c r="DK8" s="231"/>
      <c r="DL8" s="18"/>
      <c r="DM8" s="18"/>
      <c r="DN8" s="18"/>
      <c r="DO8" s="18"/>
      <c r="DP8" s="18"/>
      <c r="DQ8" s="211"/>
      <c r="DR8" s="231"/>
      <c r="DS8" s="18"/>
      <c r="DT8" s="18"/>
      <c r="DU8" s="18"/>
      <c r="DV8" s="211"/>
      <c r="DW8" s="18"/>
      <c r="DX8" s="18"/>
      <c r="DY8" s="18"/>
      <c r="DZ8" s="18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70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40">
        <f t="shared" si="1"/>
        <v>1251688.9499999997</v>
      </c>
      <c r="FO8" s="33">
        <v>30000</v>
      </c>
      <c r="FP8" s="33">
        <v>9060</v>
      </c>
      <c r="FQ8" s="37"/>
      <c r="FR8" s="100">
        <v>149568.5</v>
      </c>
      <c r="FS8" s="33"/>
      <c r="FT8" s="33">
        <v>1102120.4499999997</v>
      </c>
      <c r="FU8" s="207">
        <f t="shared" si="25"/>
        <v>0</v>
      </c>
      <c r="FV8" s="232"/>
      <c r="FW8" s="232"/>
      <c r="FX8" s="100"/>
      <c r="FY8" s="32">
        <f t="shared" si="26"/>
        <v>24997666.57</v>
      </c>
      <c r="FZ8" s="273">
        <v>1186034.24</v>
      </c>
      <c r="GA8" s="100">
        <v>250000</v>
      </c>
      <c r="GB8" s="204">
        <f>14621310.36-456813.79+8383170+1000000+13965.76</f>
        <v>23561632.330000002</v>
      </c>
      <c r="GC8" s="100"/>
      <c r="GD8" s="100"/>
      <c r="GE8" s="280"/>
      <c r="GF8" s="45" t="s">
        <v>129</v>
      </c>
      <c r="GG8" s="38">
        <f t="shared" si="2"/>
        <v>28046694.57</v>
      </c>
      <c r="GH8" s="38"/>
      <c r="GI8" s="37"/>
      <c r="GJ8" s="37"/>
      <c r="GK8" s="78"/>
      <c r="GL8" s="40">
        <f>GR8+GS8+GU8+GO8+GT8</f>
        <v>1226128</v>
      </c>
      <c r="GM8" s="98"/>
      <c r="GN8" s="98"/>
      <c r="GO8" s="98"/>
      <c r="GP8" s="98"/>
      <c r="GQ8" s="111">
        <f t="shared" si="28"/>
        <v>0</v>
      </c>
      <c r="GR8" s="33">
        <v>848735</v>
      </c>
      <c r="GS8" s="98"/>
      <c r="GT8" s="260">
        <v>377393</v>
      </c>
      <c r="GU8" s="98"/>
      <c r="GV8" s="32"/>
      <c r="GW8" s="32">
        <v>1200000</v>
      </c>
      <c r="GX8" s="32">
        <v>362400</v>
      </c>
      <c r="GY8" s="32"/>
      <c r="GZ8" s="32"/>
      <c r="HA8" s="32"/>
      <c r="HB8" s="33"/>
      <c r="HC8" s="32"/>
      <c r="HD8" s="32"/>
      <c r="HE8" s="18"/>
      <c r="HF8" s="45" t="s">
        <v>129</v>
      </c>
      <c r="HG8" s="34">
        <f t="shared" si="29"/>
        <v>6199187.6699999999</v>
      </c>
      <c r="HH8" s="34">
        <f t="shared" si="30"/>
        <v>50773704.240000002</v>
      </c>
    </row>
    <row r="9" spans="1:218" ht="13.5" customHeight="1">
      <c r="A9" s="18">
        <v>7</v>
      </c>
      <c r="B9" s="45" t="s">
        <v>130</v>
      </c>
      <c r="C9" s="97"/>
      <c r="D9" s="98">
        <f t="shared" si="3"/>
        <v>9042100.7100000009</v>
      </c>
      <c r="E9" s="98">
        <f t="shared" si="0"/>
        <v>0</v>
      </c>
      <c r="F9" s="99"/>
      <c r="G9" s="99">
        <f t="shared" si="31"/>
        <v>0</v>
      </c>
      <c r="H9" s="99">
        <f t="shared" si="32"/>
        <v>0</v>
      </c>
      <c r="I9" s="99">
        <f t="shared" si="4"/>
        <v>0</v>
      </c>
      <c r="J9" s="99">
        <f t="shared" si="5"/>
        <v>0</v>
      </c>
      <c r="K9" s="99">
        <f t="shared" si="6"/>
        <v>10184</v>
      </c>
      <c r="L9" s="135">
        <f t="shared" si="7"/>
        <v>1527.15</v>
      </c>
      <c r="M9" s="135"/>
      <c r="N9" s="135">
        <f t="shared" si="8"/>
        <v>356204.19999999995</v>
      </c>
      <c r="O9" s="136">
        <f t="shared" si="9"/>
        <v>9410016.0600000005</v>
      </c>
      <c r="P9" s="18"/>
      <c r="Q9" s="135">
        <f t="shared" si="10"/>
        <v>418125</v>
      </c>
      <c r="R9" s="32">
        <v>418125</v>
      </c>
      <c r="S9" s="135">
        <v>15634460</v>
      </c>
      <c r="T9" s="135">
        <v>4721607</v>
      </c>
      <c r="U9" s="55">
        <f t="shared" si="11"/>
        <v>20356067</v>
      </c>
      <c r="V9" s="46"/>
      <c r="W9" s="46"/>
      <c r="X9" s="46">
        <f t="shared" si="12"/>
        <v>0</v>
      </c>
      <c r="Y9" s="183">
        <f t="shared" si="13"/>
        <v>30184208.060000002</v>
      </c>
      <c r="Z9" s="45" t="s">
        <v>130</v>
      </c>
      <c r="AA9" s="100">
        <f t="shared" si="14"/>
        <v>0</v>
      </c>
      <c r="AB9" s="101">
        <f t="shared" si="15"/>
        <v>1433346</v>
      </c>
      <c r="AC9" s="176">
        <f t="shared" si="16"/>
        <v>1440000</v>
      </c>
      <c r="AD9" s="176">
        <f t="shared" si="17"/>
        <v>434880</v>
      </c>
      <c r="AE9" s="34">
        <f t="shared" si="18"/>
        <v>0</v>
      </c>
      <c r="AF9">
        <f t="shared" si="19"/>
        <v>7416191.2400000002</v>
      </c>
      <c r="AG9" s="46">
        <v>189000</v>
      </c>
      <c r="AH9" s="104">
        <f t="shared" si="20"/>
        <v>10913417.24</v>
      </c>
      <c r="AI9" s="105"/>
      <c r="AJ9" s="37">
        <v>152000</v>
      </c>
      <c r="AK9" s="18"/>
      <c r="AL9" s="109">
        <f t="shared" si="21"/>
        <v>152000</v>
      </c>
      <c r="AM9" s="143"/>
      <c r="AN9" s="107"/>
      <c r="AO9" s="107"/>
      <c r="AP9" s="107"/>
      <c r="AQ9" s="111">
        <f t="shared" si="22"/>
        <v>41249625.300000004</v>
      </c>
      <c r="AR9" s="45" t="s">
        <v>130</v>
      </c>
      <c r="AS9" s="88"/>
      <c r="AT9" s="45"/>
      <c r="AU9" s="45"/>
      <c r="AV9" s="31">
        <f t="shared" si="23"/>
        <v>0</v>
      </c>
      <c r="AW9" s="252"/>
      <c r="AX9" s="45"/>
      <c r="AY9" s="252"/>
      <c r="AZ9" s="255"/>
      <c r="BA9" s="198">
        <v>38347.51</v>
      </c>
      <c r="BB9" s="269"/>
      <c r="BC9" s="270">
        <f t="shared" si="33"/>
        <v>38347.51</v>
      </c>
      <c r="BD9" s="45" t="s">
        <v>130</v>
      </c>
      <c r="BE9" s="211">
        <v>287946.27999999997</v>
      </c>
      <c r="BF9" s="98">
        <v>0</v>
      </c>
      <c r="BG9" s="99"/>
      <c r="BH9" s="99"/>
      <c r="BI9" s="99"/>
      <c r="BJ9" s="46">
        <v>0</v>
      </c>
      <c r="BK9" s="46">
        <v>7184</v>
      </c>
      <c r="BL9" s="46">
        <v>1236</v>
      </c>
      <c r="BM9" s="55"/>
      <c r="BN9" s="46">
        <v>256204.19999999998</v>
      </c>
      <c r="BO9" s="247">
        <f t="shared" si="24"/>
        <v>552570.48</v>
      </c>
      <c r="BP9" s="99">
        <v>1694410.1400000001</v>
      </c>
      <c r="BQ9" s="99">
        <v>0</v>
      </c>
      <c r="BR9" s="33"/>
      <c r="BS9" s="227">
        <v>1546487.5</v>
      </c>
      <c r="BT9" s="45"/>
      <c r="BU9" s="45"/>
      <c r="BV9" s="227">
        <v>973145.15</v>
      </c>
      <c r="BW9" s="227">
        <v>0</v>
      </c>
      <c r="BX9" s="45">
        <v>1186271.83</v>
      </c>
      <c r="BY9" s="45">
        <v>0</v>
      </c>
      <c r="BZ9" s="45">
        <v>0</v>
      </c>
      <c r="CA9" s="45">
        <v>291.14999999999998</v>
      </c>
      <c r="CB9" s="45">
        <v>1108095.6300000001</v>
      </c>
      <c r="CC9" s="45">
        <v>100000</v>
      </c>
      <c r="CD9" s="45"/>
      <c r="CE9" s="18"/>
      <c r="CF9" s="18"/>
      <c r="CG9" s="18">
        <v>0</v>
      </c>
      <c r="CH9" s="176">
        <v>50000</v>
      </c>
      <c r="CI9" s="18">
        <v>0</v>
      </c>
      <c r="CJ9" s="176">
        <v>0</v>
      </c>
      <c r="CK9" s="18">
        <v>0</v>
      </c>
      <c r="CL9" s="18"/>
      <c r="CM9" s="33"/>
      <c r="CN9" s="33"/>
      <c r="CO9" s="33">
        <v>0</v>
      </c>
      <c r="CP9" s="33">
        <v>445128.4</v>
      </c>
      <c r="CQ9" s="45">
        <v>0</v>
      </c>
      <c r="CR9" s="45">
        <v>0</v>
      </c>
      <c r="CS9" s="45"/>
      <c r="CT9" s="45"/>
      <c r="CU9" s="18"/>
      <c r="CV9" s="18"/>
      <c r="CW9" s="18"/>
      <c r="CX9" s="18">
        <v>12428.44</v>
      </c>
      <c r="CY9" s="18">
        <v>3000</v>
      </c>
      <c r="CZ9" s="18"/>
      <c r="DA9" s="18">
        <v>0</v>
      </c>
      <c r="DB9" s="231"/>
      <c r="DC9" s="33"/>
      <c r="DD9" s="18"/>
      <c r="DE9" s="18"/>
      <c r="DF9" s="18"/>
      <c r="DG9" s="18"/>
      <c r="DH9" s="18"/>
      <c r="DI9" s="18"/>
      <c r="DJ9" s="18"/>
      <c r="DK9" s="231"/>
      <c r="DL9" s="18"/>
      <c r="DM9" s="18"/>
      <c r="DN9" s="18"/>
      <c r="DO9" s="18"/>
      <c r="DP9" s="18"/>
      <c r="DQ9" s="211"/>
      <c r="DR9" s="231"/>
      <c r="DS9" s="18"/>
      <c r="DT9" s="18"/>
      <c r="DU9" s="18"/>
      <c r="DV9" s="211"/>
      <c r="DW9" s="18"/>
      <c r="DX9" s="18"/>
      <c r="DY9" s="18"/>
      <c r="DZ9" s="18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70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40">
        <f t="shared" si="1"/>
        <v>1738187.3400000003</v>
      </c>
      <c r="FO9" s="46"/>
      <c r="FP9" s="46"/>
      <c r="FQ9" s="37"/>
      <c r="FR9" s="100">
        <v>241859.5</v>
      </c>
      <c r="FS9" s="33"/>
      <c r="FT9" s="33">
        <v>1496327.8400000003</v>
      </c>
      <c r="FU9" s="207">
        <f t="shared" si="25"/>
        <v>0</v>
      </c>
      <c r="FV9" s="232"/>
      <c r="FW9" s="232"/>
      <c r="FX9" s="100"/>
      <c r="FY9" s="32">
        <f t="shared" si="26"/>
        <v>7416191.2400000002</v>
      </c>
      <c r="FZ9" s="273"/>
      <c r="GA9" s="100">
        <v>1797000</v>
      </c>
      <c r="GB9" s="204">
        <v>5619191.2400000002</v>
      </c>
      <c r="GC9" s="100"/>
      <c r="GD9" s="100"/>
      <c r="GE9" s="280"/>
      <c r="GF9" s="45" t="s">
        <v>130</v>
      </c>
      <c r="GG9" s="38">
        <f t="shared" si="2"/>
        <v>11102417.24</v>
      </c>
      <c r="GH9" s="38"/>
      <c r="GI9" s="37"/>
      <c r="GJ9" s="37"/>
      <c r="GK9" s="78"/>
      <c r="GL9" s="40">
        <f t="shared" si="27"/>
        <v>1433346</v>
      </c>
      <c r="GM9" s="134"/>
      <c r="GN9" s="98"/>
      <c r="GO9" s="98"/>
      <c r="GP9" s="98"/>
      <c r="GQ9" s="111">
        <f t="shared" si="28"/>
        <v>0</v>
      </c>
      <c r="GR9" s="33">
        <v>1045246</v>
      </c>
      <c r="GS9" s="98"/>
      <c r="GT9" s="260">
        <v>388100</v>
      </c>
      <c r="GU9" s="98"/>
      <c r="GV9" s="32"/>
      <c r="GW9" s="32">
        <v>1440000</v>
      </c>
      <c r="GX9" s="32">
        <v>434880</v>
      </c>
      <c r="GY9" s="32">
        <v>0</v>
      </c>
      <c r="GZ9" s="32">
        <v>0</v>
      </c>
      <c r="HA9" s="32"/>
      <c r="HB9" s="33"/>
      <c r="HC9" s="32"/>
      <c r="HD9" s="32"/>
      <c r="HE9" s="18"/>
      <c r="HF9" s="45" t="s">
        <v>130</v>
      </c>
      <c r="HG9" s="34">
        <f t="shared" si="29"/>
        <v>11401775.91</v>
      </c>
      <c r="HH9" s="34">
        <f t="shared" si="30"/>
        <v>41249625.300000004</v>
      </c>
    </row>
    <row r="10" spans="1:218" ht="14.25" customHeight="1">
      <c r="A10" s="18">
        <v>8</v>
      </c>
      <c r="B10" s="45" t="s">
        <v>131</v>
      </c>
      <c r="C10" s="97"/>
      <c r="D10" s="98">
        <f t="shared" si="3"/>
        <v>2267525.86</v>
      </c>
      <c r="E10" s="98">
        <f t="shared" si="0"/>
        <v>0</v>
      </c>
      <c r="F10" s="99"/>
      <c r="G10" s="99">
        <f t="shared" si="31"/>
        <v>0</v>
      </c>
      <c r="H10" s="99">
        <f t="shared" si="32"/>
        <v>0</v>
      </c>
      <c r="I10" s="99">
        <f t="shared" si="4"/>
        <v>0</v>
      </c>
      <c r="J10" s="99">
        <f t="shared" si="5"/>
        <v>0</v>
      </c>
      <c r="K10" s="99">
        <f t="shared" si="6"/>
        <v>0</v>
      </c>
      <c r="L10" s="135">
        <f t="shared" si="7"/>
        <v>1000</v>
      </c>
      <c r="M10" s="135"/>
      <c r="N10" s="135">
        <f t="shared" si="8"/>
        <v>1820595.8599999999</v>
      </c>
      <c r="O10" s="136">
        <f t="shared" si="9"/>
        <v>4089121.7199999997</v>
      </c>
      <c r="P10" s="18"/>
      <c r="Q10" s="135">
        <f t="shared" si="10"/>
        <v>295750</v>
      </c>
      <c r="R10" s="32">
        <v>295750</v>
      </c>
      <c r="S10" s="135">
        <v>13159707</v>
      </c>
      <c r="T10" s="135">
        <v>3974232</v>
      </c>
      <c r="U10" s="55">
        <f t="shared" si="11"/>
        <v>17133939</v>
      </c>
      <c r="V10" s="46"/>
      <c r="W10" s="46"/>
      <c r="X10" s="46">
        <f t="shared" si="12"/>
        <v>0</v>
      </c>
      <c r="Y10" s="183">
        <f t="shared" si="13"/>
        <v>21518810.719999999</v>
      </c>
      <c r="Z10" s="45" t="s">
        <v>131</v>
      </c>
      <c r="AA10" s="100">
        <f t="shared" si="14"/>
        <v>0</v>
      </c>
      <c r="AB10" s="101">
        <f t="shared" si="15"/>
        <v>1015483</v>
      </c>
      <c r="AC10" s="176">
        <f t="shared" si="16"/>
        <v>1569977.73</v>
      </c>
      <c r="AD10" s="176">
        <f t="shared" si="17"/>
        <v>474133.27</v>
      </c>
      <c r="AE10" s="34">
        <f t="shared" si="18"/>
        <v>0</v>
      </c>
      <c r="AF10">
        <f t="shared" si="19"/>
        <v>2087461.92</v>
      </c>
      <c r="AG10" s="46">
        <v>144000</v>
      </c>
      <c r="AH10" s="104">
        <f t="shared" si="20"/>
        <v>5291055.92</v>
      </c>
      <c r="AI10" s="105"/>
      <c r="AJ10" s="37">
        <v>322000</v>
      </c>
      <c r="AK10" s="18"/>
      <c r="AL10" s="109">
        <f t="shared" si="21"/>
        <v>322000</v>
      </c>
      <c r="AM10" s="143"/>
      <c r="AN10" s="107"/>
      <c r="AO10" s="107"/>
      <c r="AP10" s="107"/>
      <c r="AQ10" s="111">
        <f t="shared" si="22"/>
        <v>27131866.640000001</v>
      </c>
      <c r="AR10" s="44" t="s">
        <v>131</v>
      </c>
      <c r="AS10" s="88"/>
      <c r="AT10" s="44"/>
      <c r="AU10" s="44"/>
      <c r="AV10" s="31">
        <f t="shared" si="23"/>
        <v>0</v>
      </c>
      <c r="AW10" s="252"/>
      <c r="AX10" s="44"/>
      <c r="AY10" s="252"/>
      <c r="AZ10" s="255"/>
      <c r="BA10" s="198">
        <v>40522.6</v>
      </c>
      <c r="BB10" s="269"/>
      <c r="BC10" s="270">
        <f t="shared" si="33"/>
        <v>40522.6</v>
      </c>
      <c r="BD10" s="44" t="s">
        <v>131</v>
      </c>
      <c r="BE10" s="211">
        <v>191403.04</v>
      </c>
      <c r="BF10" s="98">
        <v>0</v>
      </c>
      <c r="BG10" s="99"/>
      <c r="BH10" s="99"/>
      <c r="BI10" s="99"/>
      <c r="BJ10" s="46">
        <v>0</v>
      </c>
      <c r="BK10" s="46">
        <v>0</v>
      </c>
      <c r="BL10" s="46">
        <v>1000</v>
      </c>
      <c r="BM10" s="55"/>
      <c r="BN10" s="46">
        <v>1510595.8599999999</v>
      </c>
      <c r="BO10" s="247">
        <f t="shared" si="24"/>
        <v>1702998.9</v>
      </c>
      <c r="BP10" s="99">
        <v>0</v>
      </c>
      <c r="BQ10" s="99">
        <v>0</v>
      </c>
      <c r="BR10" s="33"/>
      <c r="BS10" s="227">
        <v>0</v>
      </c>
      <c r="BT10" s="44"/>
      <c r="BU10" s="44"/>
      <c r="BV10" s="227">
        <v>0</v>
      </c>
      <c r="BW10" s="227">
        <v>0</v>
      </c>
      <c r="BX10" s="44"/>
      <c r="BY10" s="44">
        <v>0</v>
      </c>
      <c r="BZ10" s="44">
        <v>0</v>
      </c>
      <c r="CA10" s="44">
        <v>0</v>
      </c>
      <c r="CB10" s="44">
        <v>480797.5</v>
      </c>
      <c r="CC10" s="44">
        <v>310000</v>
      </c>
      <c r="CD10" s="44"/>
      <c r="CE10" s="18"/>
      <c r="CF10" s="18"/>
      <c r="CG10" s="18">
        <v>0</v>
      </c>
      <c r="CH10" s="176">
        <v>30000</v>
      </c>
      <c r="CI10" s="18">
        <v>0</v>
      </c>
      <c r="CJ10" s="176">
        <v>0</v>
      </c>
      <c r="CK10" s="18">
        <v>74637</v>
      </c>
      <c r="CL10" s="18"/>
      <c r="CM10" s="33"/>
      <c r="CN10" s="33"/>
      <c r="CO10" s="33">
        <v>0</v>
      </c>
      <c r="CP10" s="33">
        <v>78051</v>
      </c>
      <c r="CQ10" s="44">
        <v>0</v>
      </c>
      <c r="CR10" s="44">
        <v>24615</v>
      </c>
      <c r="CS10" s="44"/>
      <c r="CT10" s="44"/>
      <c r="CU10" s="18"/>
      <c r="CV10" s="18"/>
      <c r="CW10" s="18"/>
      <c r="CX10" s="18">
        <v>0</v>
      </c>
      <c r="CY10" s="18">
        <v>0</v>
      </c>
      <c r="CZ10" s="18"/>
      <c r="DA10" s="18">
        <v>0</v>
      </c>
      <c r="DB10" s="231"/>
      <c r="DC10" s="33"/>
      <c r="DD10" s="18"/>
      <c r="DE10" s="18"/>
      <c r="DF10" s="18"/>
      <c r="DG10" s="18"/>
      <c r="DH10" s="18"/>
      <c r="DI10" s="18"/>
      <c r="DJ10" s="18"/>
      <c r="DK10" s="231"/>
      <c r="DL10" s="18"/>
      <c r="DM10" s="18"/>
      <c r="DN10" s="18"/>
      <c r="DO10" s="18"/>
      <c r="DP10" s="18"/>
      <c r="DQ10" s="211"/>
      <c r="DR10" s="231"/>
      <c r="DS10" s="18"/>
      <c r="DT10" s="18"/>
      <c r="DU10" s="18"/>
      <c r="DV10" s="211"/>
      <c r="DW10" s="18"/>
      <c r="DX10" s="18"/>
      <c r="DY10" s="18"/>
      <c r="DZ10" s="18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70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40">
        <f t="shared" si="1"/>
        <v>1388022.3199999998</v>
      </c>
      <c r="FO10" s="46"/>
      <c r="FP10" s="46"/>
      <c r="FQ10" s="37">
        <v>310640.40000000002</v>
      </c>
      <c r="FR10" s="100">
        <v>184675.5</v>
      </c>
      <c r="FS10" s="33"/>
      <c r="FT10" s="33">
        <v>892706.41999999993</v>
      </c>
      <c r="FU10" s="207">
        <f t="shared" si="25"/>
        <v>0</v>
      </c>
      <c r="FV10" s="232"/>
      <c r="FW10" s="232"/>
      <c r="FX10" s="100"/>
      <c r="FY10" s="32">
        <f t="shared" si="26"/>
        <v>2087461.92</v>
      </c>
      <c r="FZ10" s="273"/>
      <c r="GA10" s="100">
        <v>0</v>
      </c>
      <c r="GB10" s="204">
        <v>2087461.92</v>
      </c>
      <c r="GC10" s="100"/>
      <c r="GD10" s="100"/>
      <c r="GE10" s="280"/>
      <c r="GF10" s="44" t="s">
        <v>131</v>
      </c>
      <c r="GG10" s="38">
        <f t="shared" si="2"/>
        <v>5435055.9199999999</v>
      </c>
      <c r="GH10" s="38"/>
      <c r="GI10" s="37"/>
      <c r="GJ10" s="37"/>
      <c r="GK10" s="78"/>
      <c r="GL10" s="40">
        <f t="shared" si="27"/>
        <v>1015483</v>
      </c>
      <c r="GM10" s="98"/>
      <c r="GN10" s="98"/>
      <c r="GO10" s="98"/>
      <c r="GP10" s="98"/>
      <c r="GQ10" s="111">
        <f t="shared" si="28"/>
        <v>0</v>
      </c>
      <c r="GR10" s="33">
        <v>639483</v>
      </c>
      <c r="GS10" s="98"/>
      <c r="GT10" s="260">
        <v>376000</v>
      </c>
      <c r="GU10" s="98"/>
      <c r="GV10" s="32"/>
      <c r="GW10" s="32">
        <v>1320000</v>
      </c>
      <c r="GX10" s="32">
        <v>398640</v>
      </c>
      <c r="GY10" s="32">
        <v>189977.73</v>
      </c>
      <c r="GZ10" s="32">
        <v>57373.26999999999</v>
      </c>
      <c r="HA10" s="32">
        <v>60000</v>
      </c>
      <c r="HB10" s="33">
        <v>18120</v>
      </c>
      <c r="HC10" s="32"/>
      <c r="HD10" s="32"/>
      <c r="HE10" s="18"/>
      <c r="HF10" s="44" t="s">
        <v>131</v>
      </c>
      <c r="HG10" s="34">
        <f t="shared" si="29"/>
        <v>5721354.7199999997</v>
      </c>
      <c r="HH10" s="34">
        <f t="shared" si="30"/>
        <v>27131866.640000001</v>
      </c>
    </row>
    <row r="11" spans="1:218" ht="25.5" customHeight="1">
      <c r="A11" s="18">
        <v>9</v>
      </c>
      <c r="B11" s="45" t="s">
        <v>132</v>
      </c>
      <c r="C11" s="97"/>
      <c r="D11" s="98">
        <f t="shared" si="3"/>
        <v>7224340.5099999998</v>
      </c>
      <c r="E11" s="98">
        <f t="shared" si="0"/>
        <v>0</v>
      </c>
      <c r="F11" s="99"/>
      <c r="G11" s="99">
        <f t="shared" si="31"/>
        <v>0</v>
      </c>
      <c r="H11" s="99">
        <f t="shared" si="32"/>
        <v>0</v>
      </c>
      <c r="I11" s="99">
        <f t="shared" si="4"/>
        <v>0</v>
      </c>
      <c r="J11" s="99">
        <f t="shared" si="5"/>
        <v>3024399</v>
      </c>
      <c r="K11" s="99">
        <f t="shared" si="6"/>
        <v>10064</v>
      </c>
      <c r="L11" s="135">
        <f t="shared" si="7"/>
        <v>1000</v>
      </c>
      <c r="M11" s="135"/>
      <c r="N11" s="135">
        <f t="shared" si="8"/>
        <v>2893271.59</v>
      </c>
      <c r="O11" s="136">
        <f t="shared" si="9"/>
        <v>13153075.1</v>
      </c>
      <c r="P11" s="18"/>
      <c r="Q11" s="135">
        <f t="shared" si="10"/>
        <v>1119625</v>
      </c>
      <c r="R11" s="32">
        <v>1119625</v>
      </c>
      <c r="S11" s="135">
        <v>31872757</v>
      </c>
      <c r="T11" s="135">
        <v>9625572</v>
      </c>
      <c r="U11" s="55">
        <f t="shared" si="11"/>
        <v>41498329</v>
      </c>
      <c r="V11" s="46"/>
      <c r="W11" s="46"/>
      <c r="X11" s="46">
        <f t="shared" si="12"/>
        <v>0</v>
      </c>
      <c r="Y11" s="183">
        <f t="shared" si="13"/>
        <v>55771029.100000001</v>
      </c>
      <c r="Z11" s="45" t="s">
        <v>132</v>
      </c>
      <c r="AA11" s="100">
        <f t="shared" si="14"/>
        <v>0</v>
      </c>
      <c r="AB11" s="101">
        <f t="shared" si="15"/>
        <v>1815252</v>
      </c>
      <c r="AC11" s="176">
        <f t="shared" si="16"/>
        <v>2409977.73</v>
      </c>
      <c r="AD11" s="176">
        <f t="shared" si="17"/>
        <v>727813.27</v>
      </c>
      <c r="AE11" s="34">
        <f t="shared" si="18"/>
        <v>0</v>
      </c>
      <c r="AF11">
        <f t="shared" si="19"/>
        <v>8878507.2400000002</v>
      </c>
      <c r="AG11" s="46">
        <v>369000</v>
      </c>
      <c r="AH11" s="104">
        <f t="shared" si="20"/>
        <v>14200550.24</v>
      </c>
      <c r="AI11" s="105"/>
      <c r="AJ11" s="37">
        <v>3440120</v>
      </c>
      <c r="AK11" s="18"/>
      <c r="AL11" s="109">
        <f t="shared" si="21"/>
        <v>3440120</v>
      </c>
      <c r="AM11" s="143"/>
      <c r="AN11" s="107"/>
      <c r="AO11" s="107"/>
      <c r="AP11" s="107"/>
      <c r="AQ11" s="111">
        <f t="shared" si="22"/>
        <v>73411699.340000004</v>
      </c>
      <c r="AR11" s="44" t="s">
        <v>132</v>
      </c>
      <c r="AS11" s="88"/>
      <c r="AT11" s="44"/>
      <c r="AU11" s="44"/>
      <c r="AV11" s="31">
        <f t="shared" si="23"/>
        <v>0</v>
      </c>
      <c r="AW11" s="252"/>
      <c r="AX11" s="44"/>
      <c r="AY11" s="252"/>
      <c r="AZ11" s="255"/>
      <c r="BA11" s="198">
        <v>371426.22</v>
      </c>
      <c r="BB11" s="269"/>
      <c r="BC11" s="270">
        <f t="shared" si="33"/>
        <v>371426.22</v>
      </c>
      <c r="BD11" s="44" t="s">
        <v>132</v>
      </c>
      <c r="BE11" s="211">
        <v>727017.56000000017</v>
      </c>
      <c r="BF11" s="98">
        <v>0</v>
      </c>
      <c r="BG11" s="99"/>
      <c r="BH11" s="99"/>
      <c r="BI11" s="99"/>
      <c r="BJ11" s="46">
        <v>2646662.67</v>
      </c>
      <c r="BK11" s="46">
        <v>10064</v>
      </c>
      <c r="BL11" s="46">
        <v>1000</v>
      </c>
      <c r="BM11" s="55"/>
      <c r="BN11" s="46">
        <v>2238425.8199999998</v>
      </c>
      <c r="BO11" s="247">
        <f t="shared" si="24"/>
        <v>5623170.0499999998</v>
      </c>
      <c r="BP11" s="99">
        <v>41624.230000000003</v>
      </c>
      <c r="BQ11" s="99">
        <v>0</v>
      </c>
      <c r="BR11" s="33"/>
      <c r="BS11" s="227">
        <v>207320</v>
      </c>
      <c r="BT11" s="44"/>
      <c r="BU11" s="44"/>
      <c r="BV11" s="227">
        <v>60596.500000000007</v>
      </c>
      <c r="BW11" s="227">
        <v>17018.32</v>
      </c>
      <c r="BX11" s="44"/>
      <c r="BY11" s="44">
        <v>377736.33</v>
      </c>
      <c r="BZ11" s="44">
        <v>0</v>
      </c>
      <c r="CA11" s="44">
        <v>0</v>
      </c>
      <c r="CB11" s="44">
        <v>1491649.51</v>
      </c>
      <c r="CC11" s="44">
        <v>510000</v>
      </c>
      <c r="CD11" s="44"/>
      <c r="CE11" s="18"/>
      <c r="CF11" s="18"/>
      <c r="CG11" s="18">
        <v>0</v>
      </c>
      <c r="CH11" s="176">
        <v>30000</v>
      </c>
      <c r="CI11" s="18">
        <v>0</v>
      </c>
      <c r="CJ11" s="176">
        <v>-1450</v>
      </c>
      <c r="CK11" s="18">
        <v>0</v>
      </c>
      <c r="CL11" s="18"/>
      <c r="CM11" s="33"/>
      <c r="CN11" s="33"/>
      <c r="CO11" s="33">
        <v>117554.54</v>
      </c>
      <c r="CP11" s="33">
        <v>548867.55000000005</v>
      </c>
      <c r="CQ11" s="44">
        <v>0</v>
      </c>
      <c r="CR11" s="44">
        <v>50000</v>
      </c>
      <c r="CS11" s="44"/>
      <c r="CT11" s="44"/>
      <c r="CU11" s="18"/>
      <c r="CV11" s="18"/>
      <c r="CW11" s="18"/>
      <c r="CX11" s="18">
        <v>684000</v>
      </c>
      <c r="CY11" s="18">
        <v>0</v>
      </c>
      <c r="CZ11" s="18"/>
      <c r="DA11" s="18">
        <v>127827.45</v>
      </c>
      <c r="DB11" s="231"/>
      <c r="DC11" s="33"/>
      <c r="DD11" s="18"/>
      <c r="DE11" s="18"/>
      <c r="DF11" s="18"/>
      <c r="DG11" s="18"/>
      <c r="DH11" s="18"/>
      <c r="DI11" s="18"/>
      <c r="DJ11" s="18"/>
      <c r="DK11" s="231"/>
      <c r="DL11" s="18"/>
      <c r="DM11" s="18"/>
      <c r="DN11" s="18"/>
      <c r="DO11" s="18"/>
      <c r="DP11" s="18"/>
      <c r="DQ11" s="211"/>
      <c r="DR11" s="231"/>
      <c r="DS11" s="18"/>
      <c r="DT11" s="18"/>
      <c r="DU11" s="18"/>
      <c r="DV11" s="211"/>
      <c r="DW11" s="18"/>
      <c r="DX11" s="18"/>
      <c r="DY11" s="18"/>
      <c r="DZ11" s="18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70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40">
        <f t="shared" si="1"/>
        <v>3267160.62</v>
      </c>
      <c r="FO11" s="46"/>
      <c r="FP11" s="46"/>
      <c r="FQ11" s="37"/>
      <c r="FR11" s="100">
        <v>426846</v>
      </c>
      <c r="FS11" s="33"/>
      <c r="FT11" s="33">
        <v>2840314.62</v>
      </c>
      <c r="FU11" s="207">
        <f t="shared" si="25"/>
        <v>0</v>
      </c>
      <c r="FV11" s="232"/>
      <c r="FW11" s="232"/>
      <c r="FX11" s="100"/>
      <c r="FY11" s="32">
        <f t="shared" si="26"/>
        <v>8878507.2400000002</v>
      </c>
      <c r="FZ11" s="273"/>
      <c r="GA11" s="100">
        <v>0</v>
      </c>
      <c r="GB11" s="232">
        <v>8878507.2400000002</v>
      </c>
      <c r="GC11" s="100"/>
      <c r="GD11" s="100"/>
      <c r="GE11" s="280"/>
      <c r="GF11" s="44" t="s">
        <v>132</v>
      </c>
      <c r="GG11" s="38">
        <f t="shared" si="2"/>
        <v>14569550.24</v>
      </c>
      <c r="GH11" s="38"/>
      <c r="GI11" s="37"/>
      <c r="GJ11" s="37"/>
      <c r="GK11" s="78"/>
      <c r="GL11" s="40">
        <f t="shared" si="27"/>
        <v>1815252</v>
      </c>
      <c r="GM11" s="98"/>
      <c r="GN11" s="98"/>
      <c r="GO11" s="98"/>
      <c r="GP11" s="98"/>
      <c r="GQ11" s="111">
        <f t="shared" si="28"/>
        <v>0</v>
      </c>
      <c r="GR11" s="33">
        <v>1437252</v>
      </c>
      <c r="GS11" s="98"/>
      <c r="GT11" s="260">
        <v>378000</v>
      </c>
      <c r="GU11" s="98"/>
      <c r="GV11" s="32"/>
      <c r="GW11" s="32">
        <v>2160000</v>
      </c>
      <c r="GX11" s="32">
        <v>652320</v>
      </c>
      <c r="GY11" s="32">
        <v>189977.73</v>
      </c>
      <c r="GZ11" s="32">
        <v>57373.26999999999</v>
      </c>
      <c r="HA11" s="32">
        <v>60000</v>
      </c>
      <c r="HB11" s="33">
        <v>18120</v>
      </c>
      <c r="HC11" s="32"/>
      <c r="HD11" s="32"/>
      <c r="HE11" s="18"/>
      <c r="HF11" s="44" t="s">
        <v>132</v>
      </c>
      <c r="HG11" s="34">
        <f t="shared" si="29"/>
        <v>16492609.1</v>
      </c>
      <c r="HH11" s="34">
        <f t="shared" si="30"/>
        <v>73411699.340000004</v>
      </c>
    </row>
    <row r="12" spans="1:218" ht="28.5" customHeight="1">
      <c r="A12" s="18">
        <v>10</v>
      </c>
      <c r="B12" s="45" t="s">
        <v>133</v>
      </c>
      <c r="C12" s="97"/>
      <c r="D12" s="98">
        <f t="shared" si="3"/>
        <v>5754935.7599999998</v>
      </c>
      <c r="E12" s="98">
        <f t="shared" si="0"/>
        <v>0</v>
      </c>
      <c r="F12" s="99"/>
      <c r="G12" s="99">
        <f t="shared" si="31"/>
        <v>0</v>
      </c>
      <c r="H12" s="99">
        <f t="shared" si="32"/>
        <v>0</v>
      </c>
      <c r="I12" s="99">
        <f t="shared" si="4"/>
        <v>0</v>
      </c>
      <c r="J12" s="99">
        <f t="shared" si="5"/>
        <v>0</v>
      </c>
      <c r="K12" s="99">
        <f t="shared" si="6"/>
        <v>7677</v>
      </c>
      <c r="L12" s="135">
        <f t="shared" si="7"/>
        <v>1992.99</v>
      </c>
      <c r="M12" s="135"/>
      <c r="N12" s="135">
        <f t="shared" si="8"/>
        <v>489436.66999999993</v>
      </c>
      <c r="O12" s="136">
        <f t="shared" si="9"/>
        <v>6254042.4199999999</v>
      </c>
      <c r="P12" s="18"/>
      <c r="Q12" s="135">
        <f t="shared" si="10"/>
        <v>535375</v>
      </c>
      <c r="R12" s="32">
        <v>535375</v>
      </c>
      <c r="S12" s="135">
        <v>18105002</v>
      </c>
      <c r="T12" s="135">
        <v>5467711</v>
      </c>
      <c r="U12" s="55">
        <f t="shared" si="11"/>
        <v>23572713</v>
      </c>
      <c r="V12" s="46"/>
      <c r="W12" s="46"/>
      <c r="X12" s="46">
        <f t="shared" si="12"/>
        <v>0</v>
      </c>
      <c r="Y12" s="183">
        <f t="shared" si="13"/>
        <v>30362130.420000002</v>
      </c>
      <c r="Z12" s="45" t="s">
        <v>133</v>
      </c>
      <c r="AA12" s="100">
        <f t="shared" si="14"/>
        <v>0</v>
      </c>
      <c r="AB12" s="101">
        <f t="shared" si="15"/>
        <v>1086162</v>
      </c>
      <c r="AC12" s="176">
        <f t="shared" si="16"/>
        <v>1449977.73</v>
      </c>
      <c r="AD12" s="176">
        <f t="shared" si="17"/>
        <v>437893.27</v>
      </c>
      <c r="AE12" s="34">
        <f t="shared" si="18"/>
        <v>0</v>
      </c>
      <c r="AF12">
        <f t="shared" si="19"/>
        <v>34000000</v>
      </c>
      <c r="AG12" s="46">
        <v>216000</v>
      </c>
      <c r="AH12" s="104">
        <f t="shared" si="20"/>
        <v>37190033</v>
      </c>
      <c r="AI12" s="105"/>
      <c r="AJ12" s="37">
        <v>1680180</v>
      </c>
      <c r="AK12" s="18"/>
      <c r="AL12" s="109">
        <f t="shared" si="21"/>
        <v>1680180</v>
      </c>
      <c r="AM12" s="143"/>
      <c r="AN12" s="107"/>
      <c r="AO12" s="107"/>
      <c r="AP12" s="107"/>
      <c r="AQ12" s="111">
        <f t="shared" si="22"/>
        <v>69232343.420000002</v>
      </c>
      <c r="AR12" s="44" t="s">
        <v>133</v>
      </c>
      <c r="AS12" s="88"/>
      <c r="AT12" s="44"/>
      <c r="AU12" s="44"/>
      <c r="AV12" s="31">
        <f t="shared" si="23"/>
        <v>0</v>
      </c>
      <c r="AW12" s="252"/>
      <c r="AX12" s="44"/>
      <c r="AY12" s="252">
        <v>260423.67999999999</v>
      </c>
      <c r="AZ12" s="255"/>
      <c r="BA12" s="198">
        <v>20520.71</v>
      </c>
      <c r="BB12" s="269"/>
      <c r="BC12" s="270">
        <f t="shared" si="33"/>
        <v>280944.39</v>
      </c>
      <c r="BD12" s="44" t="s">
        <v>133</v>
      </c>
      <c r="BE12" s="211">
        <v>257965.19999999995</v>
      </c>
      <c r="BF12" s="98">
        <v>0</v>
      </c>
      <c r="BG12" s="99"/>
      <c r="BH12" s="99"/>
      <c r="BI12" s="99"/>
      <c r="BJ12" s="46">
        <v>0</v>
      </c>
      <c r="BK12" s="46">
        <v>4860</v>
      </c>
      <c r="BL12" s="46">
        <v>1380</v>
      </c>
      <c r="BM12" s="55"/>
      <c r="BN12" s="46">
        <v>478622.66999999993</v>
      </c>
      <c r="BO12" s="247">
        <f t="shared" si="24"/>
        <v>742827.86999999988</v>
      </c>
      <c r="BP12" s="99">
        <v>1294000</v>
      </c>
      <c r="BQ12" s="99">
        <v>0</v>
      </c>
      <c r="BR12" s="33"/>
      <c r="BS12" s="227">
        <v>261035</v>
      </c>
      <c r="BT12" s="44"/>
      <c r="BU12" s="44"/>
      <c r="BV12" s="227">
        <v>0</v>
      </c>
      <c r="BW12" s="227">
        <v>0</v>
      </c>
      <c r="BX12" s="44"/>
      <c r="BY12" s="44">
        <v>0</v>
      </c>
      <c r="BZ12" s="44">
        <v>2817</v>
      </c>
      <c r="CA12" s="44">
        <v>612.99</v>
      </c>
      <c r="CB12" s="44">
        <v>1146832.8400000001</v>
      </c>
      <c r="CC12" s="44">
        <v>0</v>
      </c>
      <c r="CD12" s="44"/>
      <c r="CE12" s="18"/>
      <c r="CF12" s="18"/>
      <c r="CG12" s="18">
        <v>0</v>
      </c>
      <c r="CH12" s="176">
        <v>30000</v>
      </c>
      <c r="CI12" s="18">
        <v>0</v>
      </c>
      <c r="CJ12" s="176">
        <v>18250</v>
      </c>
      <c r="CK12" s="18">
        <v>256809.41</v>
      </c>
      <c r="CL12" s="18"/>
      <c r="CM12" s="33"/>
      <c r="CN12" s="33"/>
      <c r="CO12" s="33">
        <v>0</v>
      </c>
      <c r="CP12" s="33">
        <v>417432.88</v>
      </c>
      <c r="CQ12" s="44">
        <v>0</v>
      </c>
      <c r="CR12" s="44">
        <v>0</v>
      </c>
      <c r="CS12" s="44"/>
      <c r="CT12" s="44"/>
      <c r="CU12" s="18"/>
      <c r="CV12" s="18"/>
      <c r="CW12" s="18"/>
      <c r="CX12" s="18">
        <v>289129.33</v>
      </c>
      <c r="CY12" s="18">
        <v>0</v>
      </c>
      <c r="CZ12" s="18"/>
      <c r="DA12" s="18">
        <v>10814</v>
      </c>
      <c r="DB12" s="231"/>
      <c r="DC12" s="33"/>
      <c r="DD12" s="18"/>
      <c r="DE12" s="18"/>
      <c r="DF12" s="18"/>
      <c r="DG12" s="18"/>
      <c r="DH12" s="18"/>
      <c r="DI12" s="18"/>
      <c r="DJ12" s="18"/>
      <c r="DK12" s="231"/>
      <c r="DL12" s="18"/>
      <c r="DM12" s="18"/>
      <c r="DN12" s="18"/>
      <c r="DO12" s="18"/>
      <c r="DP12" s="18"/>
      <c r="DQ12" s="211"/>
      <c r="DR12" s="231"/>
      <c r="DS12" s="18"/>
      <c r="DT12" s="18"/>
      <c r="DU12" s="18"/>
      <c r="DV12" s="211"/>
      <c r="DW12" s="18"/>
      <c r="DX12" s="18"/>
      <c r="DY12" s="18"/>
      <c r="DZ12" s="18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70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40">
        <f t="shared" si="1"/>
        <v>1783481.1</v>
      </c>
      <c r="FO12" s="46"/>
      <c r="FP12" s="46"/>
      <c r="FQ12" s="48">
        <v>310640.40000000002</v>
      </c>
      <c r="FR12" s="100">
        <v>137977.5</v>
      </c>
      <c r="FS12" s="33"/>
      <c r="FT12" s="33">
        <v>1334863.2</v>
      </c>
      <c r="FU12" s="207">
        <f t="shared" si="25"/>
        <v>0</v>
      </c>
      <c r="FV12" s="232"/>
      <c r="FW12" s="232"/>
      <c r="FX12" s="100"/>
      <c r="FY12" s="32">
        <f t="shared" si="26"/>
        <v>34000000</v>
      </c>
      <c r="FZ12" s="273"/>
      <c r="GA12" s="100">
        <v>0</v>
      </c>
      <c r="GB12" s="204">
        <f>39000000-5000000</f>
        <v>34000000</v>
      </c>
      <c r="GC12" s="100"/>
      <c r="GD12" s="100"/>
      <c r="GE12" s="280">
        <v>5000000</v>
      </c>
      <c r="GF12" s="44" t="s">
        <v>133</v>
      </c>
      <c r="GG12" s="38">
        <f t="shared" si="2"/>
        <v>37406033</v>
      </c>
      <c r="GH12" s="38"/>
      <c r="GI12" s="37"/>
      <c r="GJ12" s="37"/>
      <c r="GK12" s="78"/>
      <c r="GL12" s="40">
        <f t="shared" si="27"/>
        <v>1086162</v>
      </c>
      <c r="GM12" s="98"/>
      <c r="GN12" s="98"/>
      <c r="GO12" s="98"/>
      <c r="GP12" s="98"/>
      <c r="GQ12" s="111">
        <f t="shared" si="28"/>
        <v>0</v>
      </c>
      <c r="GR12" s="33">
        <v>701162</v>
      </c>
      <c r="GS12" s="98"/>
      <c r="GT12" s="260">
        <v>385000</v>
      </c>
      <c r="GU12" s="98"/>
      <c r="GV12" s="34"/>
      <c r="GW12" s="34">
        <v>1200000</v>
      </c>
      <c r="GX12" s="34">
        <v>362400</v>
      </c>
      <c r="GY12" s="34">
        <v>189977.73</v>
      </c>
      <c r="GZ12" s="34">
        <v>57373.26999999999</v>
      </c>
      <c r="HA12" s="34">
        <v>60000</v>
      </c>
      <c r="HB12" s="47">
        <v>18120</v>
      </c>
      <c r="HC12" s="32"/>
      <c r="HD12" s="32"/>
      <c r="HE12" s="18"/>
      <c r="HF12" s="44" t="s">
        <v>133</v>
      </c>
      <c r="HG12" s="34">
        <f t="shared" si="29"/>
        <v>9546089.4299999997</v>
      </c>
      <c r="HH12" s="34">
        <f t="shared" si="30"/>
        <v>69232343.420000002</v>
      </c>
    </row>
    <row r="13" spans="1:218" ht="15.75" customHeight="1">
      <c r="A13" s="18">
        <v>11</v>
      </c>
      <c r="B13" s="45" t="s">
        <v>216</v>
      </c>
      <c r="C13" s="97"/>
      <c r="D13" s="98">
        <f t="shared" si="3"/>
        <v>4831648.13</v>
      </c>
      <c r="E13" s="98">
        <f t="shared" si="0"/>
        <v>0</v>
      </c>
      <c r="F13" s="99"/>
      <c r="G13" s="99">
        <f t="shared" si="31"/>
        <v>0</v>
      </c>
      <c r="H13" s="99">
        <f t="shared" si="32"/>
        <v>0</v>
      </c>
      <c r="I13" s="99">
        <f t="shared" si="4"/>
        <v>0</v>
      </c>
      <c r="J13" s="99">
        <f t="shared" si="5"/>
        <v>0</v>
      </c>
      <c r="K13" s="99">
        <f t="shared" si="6"/>
        <v>7148</v>
      </c>
      <c r="L13" s="135">
        <f t="shared" si="7"/>
        <v>1097.04</v>
      </c>
      <c r="M13" s="135"/>
      <c r="N13" s="135">
        <f t="shared" si="8"/>
        <v>1151153.2399999998</v>
      </c>
      <c r="O13" s="136">
        <f t="shared" si="9"/>
        <v>5991046.4100000001</v>
      </c>
      <c r="P13" s="18"/>
      <c r="Q13" s="135">
        <f t="shared" si="10"/>
        <v>521000</v>
      </c>
      <c r="R13" s="32">
        <v>521000</v>
      </c>
      <c r="S13" s="135">
        <v>20259110</v>
      </c>
      <c r="T13" s="135">
        <v>6118251</v>
      </c>
      <c r="U13" s="55">
        <f t="shared" si="11"/>
        <v>26377361</v>
      </c>
      <c r="V13" s="46"/>
      <c r="W13" s="46"/>
      <c r="X13" s="46">
        <f t="shared" si="12"/>
        <v>0</v>
      </c>
      <c r="Y13" s="183">
        <f t="shared" si="13"/>
        <v>32889407.41</v>
      </c>
      <c r="Z13" s="45" t="s">
        <v>134</v>
      </c>
      <c r="AA13" s="100">
        <f t="shared" si="14"/>
        <v>0</v>
      </c>
      <c r="AB13" s="101">
        <f t="shared" si="15"/>
        <v>1593799</v>
      </c>
      <c r="AC13" s="176">
        <f t="shared" si="16"/>
        <v>1929977.73</v>
      </c>
      <c r="AD13" s="176">
        <f t="shared" si="17"/>
        <v>582853.27</v>
      </c>
      <c r="AE13" s="34">
        <f t="shared" si="18"/>
        <v>0</v>
      </c>
      <c r="AF13">
        <f t="shared" si="19"/>
        <v>0</v>
      </c>
      <c r="AG13" s="46">
        <v>234000</v>
      </c>
      <c r="AH13" s="104">
        <f t="shared" si="20"/>
        <v>4340630</v>
      </c>
      <c r="AI13" s="105"/>
      <c r="AJ13" s="37">
        <v>0</v>
      </c>
      <c r="AK13" s="18"/>
      <c r="AL13" s="109">
        <f t="shared" si="21"/>
        <v>0</v>
      </c>
      <c r="AM13" s="143"/>
      <c r="AN13" s="244"/>
      <c r="AO13" s="262"/>
      <c r="AP13" s="262"/>
      <c r="AQ13" s="111">
        <f t="shared" si="22"/>
        <v>37230037.409999996</v>
      </c>
      <c r="AR13" s="45" t="s">
        <v>134</v>
      </c>
      <c r="AS13" s="88"/>
      <c r="AT13" s="45"/>
      <c r="AU13" s="45"/>
      <c r="AV13" s="31">
        <f t="shared" si="23"/>
        <v>0</v>
      </c>
      <c r="AW13" s="252"/>
      <c r="AX13" s="45"/>
      <c r="AY13" s="252"/>
      <c r="AZ13" s="255"/>
      <c r="BA13" s="198">
        <v>280204.39</v>
      </c>
      <c r="BB13" s="269"/>
      <c r="BC13" s="270">
        <f t="shared" si="33"/>
        <v>280204.39</v>
      </c>
      <c r="BD13" s="45" t="s">
        <v>134</v>
      </c>
      <c r="BE13" s="211">
        <v>488372.55999999988</v>
      </c>
      <c r="BF13" s="98">
        <v>0</v>
      </c>
      <c r="BG13" s="99"/>
      <c r="BH13" s="99"/>
      <c r="BI13" s="99"/>
      <c r="BJ13" s="46">
        <v>0</v>
      </c>
      <c r="BK13" s="46">
        <v>7148</v>
      </c>
      <c r="BL13" s="46">
        <v>1076</v>
      </c>
      <c r="BM13" s="55"/>
      <c r="BN13" s="46">
        <v>1151153.2399999998</v>
      </c>
      <c r="BO13" s="247">
        <f t="shared" si="24"/>
        <v>1647749.7999999996</v>
      </c>
      <c r="BP13" s="99">
        <v>0</v>
      </c>
      <c r="BQ13" s="99">
        <v>0</v>
      </c>
      <c r="BR13" s="33"/>
      <c r="BS13" s="227">
        <v>134155</v>
      </c>
      <c r="BT13" s="45"/>
      <c r="BU13" s="45"/>
      <c r="BV13" s="227">
        <v>0</v>
      </c>
      <c r="BW13" s="227">
        <v>0</v>
      </c>
      <c r="BX13" s="45"/>
      <c r="BY13" s="45">
        <v>0</v>
      </c>
      <c r="BZ13" s="45">
        <v>0</v>
      </c>
      <c r="CA13" s="45">
        <v>21.04</v>
      </c>
      <c r="CB13" s="45">
        <v>1315749.1600000001</v>
      </c>
      <c r="CC13" s="45">
        <v>0</v>
      </c>
      <c r="CD13" s="45"/>
      <c r="CE13" s="18"/>
      <c r="CF13" s="18"/>
      <c r="CG13" s="18">
        <v>0</v>
      </c>
      <c r="CH13" s="176">
        <v>185000</v>
      </c>
      <c r="CI13" s="18">
        <v>0</v>
      </c>
      <c r="CJ13" s="176">
        <v>0</v>
      </c>
      <c r="CK13" s="18">
        <v>0</v>
      </c>
      <c r="CL13" s="18"/>
      <c r="CM13" s="33"/>
      <c r="CN13" s="33"/>
      <c r="CO13" s="33">
        <v>0</v>
      </c>
      <c r="CP13" s="33">
        <v>209755.6</v>
      </c>
      <c r="CQ13" s="45">
        <v>0</v>
      </c>
      <c r="CR13" s="45">
        <v>89967.06</v>
      </c>
      <c r="CS13" s="18"/>
      <c r="CT13" s="45"/>
      <c r="CU13" s="18"/>
      <c r="CV13" s="18"/>
      <c r="CW13" s="18"/>
      <c r="CX13" s="18">
        <v>30400</v>
      </c>
      <c r="CY13" s="18">
        <v>0</v>
      </c>
      <c r="CZ13" s="18"/>
      <c r="DA13" s="18">
        <v>0</v>
      </c>
      <c r="DB13" s="231"/>
      <c r="DC13" s="33"/>
      <c r="DD13" s="18"/>
      <c r="DE13" s="18"/>
      <c r="DF13" s="18"/>
      <c r="DG13" s="18"/>
      <c r="DH13" s="18"/>
      <c r="DI13" s="18"/>
      <c r="DJ13" s="18"/>
      <c r="DK13" s="231"/>
      <c r="DL13" s="18"/>
      <c r="DM13" s="18"/>
      <c r="DN13" s="18"/>
      <c r="DO13" s="18"/>
      <c r="DP13" s="18"/>
      <c r="DQ13" s="211"/>
      <c r="DR13" s="231"/>
      <c r="DS13" s="18"/>
      <c r="DT13" s="18"/>
      <c r="DU13" s="18"/>
      <c r="DV13" s="211"/>
      <c r="DW13" s="18"/>
      <c r="DX13" s="18"/>
      <c r="DY13" s="18"/>
      <c r="DZ13" s="18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70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40">
        <f t="shared" si="1"/>
        <v>2378248.75</v>
      </c>
      <c r="FO13" s="46"/>
      <c r="FP13" s="46"/>
      <c r="FQ13" s="33">
        <v>606488.4</v>
      </c>
      <c r="FR13" s="100">
        <v>211774.5</v>
      </c>
      <c r="FS13" s="33"/>
      <c r="FT13" s="33">
        <v>1559985.85</v>
      </c>
      <c r="FU13" s="207">
        <f t="shared" si="25"/>
        <v>0</v>
      </c>
      <c r="FV13" s="231"/>
      <c r="FW13" s="231"/>
      <c r="FX13" s="100"/>
      <c r="FY13" s="32">
        <f t="shared" si="26"/>
        <v>0</v>
      </c>
      <c r="FZ13" s="273"/>
      <c r="GA13" s="100">
        <v>0</v>
      </c>
      <c r="GB13" s="204">
        <v>0</v>
      </c>
      <c r="GC13" s="100"/>
      <c r="GD13" s="100"/>
      <c r="GE13" s="280"/>
      <c r="GF13" s="45" t="s">
        <v>134</v>
      </c>
      <c r="GG13" s="38">
        <f t="shared" si="2"/>
        <v>4574630</v>
      </c>
      <c r="GH13" s="38"/>
      <c r="GI13" s="37"/>
      <c r="GJ13" s="37"/>
      <c r="GK13" s="78"/>
      <c r="GL13" s="40">
        <f t="shared" si="27"/>
        <v>1593799</v>
      </c>
      <c r="GM13" s="98"/>
      <c r="GN13" s="98"/>
      <c r="GO13" s="98"/>
      <c r="GP13" s="98"/>
      <c r="GQ13" s="111">
        <f t="shared" si="28"/>
        <v>0</v>
      </c>
      <c r="GR13" s="33">
        <v>1204799</v>
      </c>
      <c r="GS13" s="98"/>
      <c r="GT13" s="260">
        <v>389000</v>
      </c>
      <c r="GU13" s="98"/>
      <c r="GV13" s="32"/>
      <c r="GW13" s="32">
        <v>1680000</v>
      </c>
      <c r="GX13" s="32">
        <v>507360</v>
      </c>
      <c r="GY13" s="32">
        <v>189977.73</v>
      </c>
      <c r="GZ13" s="32">
        <v>57373.26999999999</v>
      </c>
      <c r="HA13" s="32">
        <v>60000</v>
      </c>
      <c r="HB13" s="33">
        <v>18120</v>
      </c>
      <c r="HC13" s="32"/>
      <c r="HD13" s="32"/>
      <c r="HE13" s="18"/>
      <c r="HF13" s="45" t="s">
        <v>134</v>
      </c>
      <c r="HG13" s="34">
        <f t="shared" si="29"/>
        <v>8097600.3699999992</v>
      </c>
      <c r="HH13" s="34">
        <f t="shared" si="30"/>
        <v>37230037.409999996</v>
      </c>
    </row>
    <row r="14" spans="1:218" ht="26.25" customHeight="1">
      <c r="A14" s="18">
        <v>12</v>
      </c>
      <c r="B14" s="45" t="s">
        <v>135</v>
      </c>
      <c r="C14" s="97"/>
      <c r="D14" s="98">
        <f t="shared" si="3"/>
        <v>8924168.8099999987</v>
      </c>
      <c r="E14" s="98">
        <f t="shared" si="0"/>
        <v>0</v>
      </c>
      <c r="F14" s="99"/>
      <c r="G14" s="99">
        <f t="shared" si="31"/>
        <v>0</v>
      </c>
      <c r="H14" s="99">
        <f t="shared" si="32"/>
        <v>0</v>
      </c>
      <c r="I14" s="99">
        <f t="shared" si="4"/>
        <v>0</v>
      </c>
      <c r="J14" s="99">
        <f t="shared" si="5"/>
        <v>0</v>
      </c>
      <c r="K14" s="99">
        <f t="shared" si="6"/>
        <v>7456</v>
      </c>
      <c r="L14" s="135">
        <f t="shared" si="7"/>
        <v>1347.8600000000001</v>
      </c>
      <c r="M14" s="135"/>
      <c r="N14" s="135">
        <f t="shared" si="8"/>
        <v>299576.36000000004</v>
      </c>
      <c r="O14" s="136">
        <f t="shared" si="9"/>
        <v>9232549.0299999975</v>
      </c>
      <c r="P14" s="18"/>
      <c r="Q14" s="135">
        <f t="shared" si="10"/>
        <v>630125</v>
      </c>
      <c r="R14" s="32">
        <v>630125</v>
      </c>
      <c r="S14" s="135">
        <v>21513920</v>
      </c>
      <c r="T14" s="135">
        <v>6497204</v>
      </c>
      <c r="U14" s="55">
        <f t="shared" si="11"/>
        <v>28011124</v>
      </c>
      <c r="V14" s="46"/>
      <c r="W14" s="46"/>
      <c r="X14" s="46">
        <f t="shared" si="12"/>
        <v>0</v>
      </c>
      <c r="Y14" s="183">
        <f t="shared" si="13"/>
        <v>37873798.030000001</v>
      </c>
      <c r="Z14" s="45" t="s">
        <v>135</v>
      </c>
      <c r="AA14" s="100">
        <f t="shared" si="14"/>
        <v>0</v>
      </c>
      <c r="AB14" s="101">
        <f t="shared" si="15"/>
        <v>28613893.780000001</v>
      </c>
      <c r="AC14" s="176">
        <f t="shared" si="16"/>
        <v>2280000</v>
      </c>
      <c r="AD14" s="176">
        <f t="shared" si="17"/>
        <v>688560</v>
      </c>
      <c r="AE14" s="34">
        <f t="shared" si="18"/>
        <v>0</v>
      </c>
      <c r="AF14">
        <f t="shared" si="19"/>
        <v>0</v>
      </c>
      <c r="AG14" s="46">
        <v>288000</v>
      </c>
      <c r="AH14" s="104">
        <f t="shared" si="20"/>
        <v>31870453.780000001</v>
      </c>
      <c r="AI14" s="105"/>
      <c r="AJ14" s="37">
        <v>0</v>
      </c>
      <c r="AK14" s="18"/>
      <c r="AL14" s="109">
        <f t="shared" si="21"/>
        <v>0</v>
      </c>
      <c r="AM14" s="143"/>
      <c r="AN14" s="107"/>
      <c r="AO14" s="107"/>
      <c r="AP14" s="107"/>
      <c r="AQ14" s="111">
        <f t="shared" si="22"/>
        <v>69744251.810000002</v>
      </c>
      <c r="AR14" s="45" t="s">
        <v>135</v>
      </c>
      <c r="AS14" s="88"/>
      <c r="AT14" s="45"/>
      <c r="AU14" s="45"/>
      <c r="AV14" s="31">
        <f t="shared" si="23"/>
        <v>0</v>
      </c>
      <c r="AW14" s="252"/>
      <c r="AX14" s="45"/>
      <c r="AY14" s="252">
        <v>284071.12</v>
      </c>
      <c r="AZ14" s="255"/>
      <c r="BA14" s="198">
        <v>5215.8900000000003</v>
      </c>
      <c r="BB14" s="269"/>
      <c r="BC14" s="270">
        <f t="shared" si="33"/>
        <v>289287.01</v>
      </c>
      <c r="BD14" s="45" t="s">
        <v>135</v>
      </c>
      <c r="BE14" s="211">
        <v>285946.27999999997</v>
      </c>
      <c r="BF14" s="98">
        <v>0</v>
      </c>
      <c r="BG14" s="99"/>
      <c r="BH14" s="99"/>
      <c r="BI14" s="99"/>
      <c r="BJ14" s="46">
        <v>0</v>
      </c>
      <c r="BK14" s="46">
        <v>7456</v>
      </c>
      <c r="BL14" s="46">
        <v>1124</v>
      </c>
      <c r="BM14" s="55"/>
      <c r="BN14" s="46">
        <v>299576.36000000004</v>
      </c>
      <c r="BO14" s="247">
        <f t="shared" si="24"/>
        <v>594102.64</v>
      </c>
      <c r="BP14" s="99">
        <v>905160</v>
      </c>
      <c r="BQ14" s="99">
        <v>0</v>
      </c>
      <c r="BR14" s="33"/>
      <c r="BS14" s="227">
        <v>165430</v>
      </c>
      <c r="BT14" s="45"/>
      <c r="BU14" s="45"/>
      <c r="BV14" s="227">
        <v>0</v>
      </c>
      <c r="BW14" s="227">
        <v>0</v>
      </c>
      <c r="BX14" s="45"/>
      <c r="BY14" s="45">
        <v>0</v>
      </c>
      <c r="BZ14" s="45">
        <v>0</v>
      </c>
      <c r="CA14" s="45">
        <v>223.86</v>
      </c>
      <c r="CB14" s="45">
        <v>510651.43</v>
      </c>
      <c r="CC14" s="45">
        <v>0</v>
      </c>
      <c r="CD14" s="45"/>
      <c r="CE14" s="18"/>
      <c r="CF14" s="18"/>
      <c r="CG14" s="18">
        <v>0</v>
      </c>
      <c r="CH14" s="176">
        <v>-33000</v>
      </c>
      <c r="CI14" s="18">
        <v>0</v>
      </c>
      <c r="CJ14" s="176">
        <v>0</v>
      </c>
      <c r="CK14" s="18">
        <v>33260</v>
      </c>
      <c r="CL14" s="18"/>
      <c r="CM14" s="33"/>
      <c r="CN14" s="33"/>
      <c r="CO14" s="33">
        <v>0</v>
      </c>
      <c r="CP14" s="33">
        <v>3380199.2800000003</v>
      </c>
      <c r="CQ14" s="45">
        <v>0</v>
      </c>
      <c r="CR14" s="45">
        <v>490081.08</v>
      </c>
      <c r="CS14" s="45"/>
      <c r="CT14" s="45"/>
      <c r="CU14" s="18"/>
      <c r="CV14" s="18"/>
      <c r="CW14" s="18"/>
      <c r="CX14" s="18">
        <v>0</v>
      </c>
      <c r="CY14" s="18">
        <v>0</v>
      </c>
      <c r="CZ14" s="18"/>
      <c r="DA14" s="18">
        <v>0</v>
      </c>
      <c r="DB14" s="231"/>
      <c r="DC14" s="33"/>
      <c r="DD14" s="18"/>
      <c r="DE14" s="18"/>
      <c r="DF14" s="18"/>
      <c r="DG14" s="18"/>
      <c r="DH14" s="18"/>
      <c r="DI14" s="18"/>
      <c r="DJ14" s="18"/>
      <c r="DK14" s="231"/>
      <c r="DL14" s="18"/>
      <c r="DM14" s="18"/>
      <c r="DN14" s="18"/>
      <c r="DO14" s="18"/>
      <c r="DP14" s="18"/>
      <c r="DQ14" s="211"/>
      <c r="DR14" s="231"/>
      <c r="DS14" s="18"/>
      <c r="DT14" s="18"/>
      <c r="DU14" s="18"/>
      <c r="DV14" s="211"/>
      <c r="DW14" s="18"/>
      <c r="DX14" s="18"/>
      <c r="DY14" s="18"/>
      <c r="DZ14" s="18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70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40">
        <f t="shared" si="1"/>
        <v>3186440.74</v>
      </c>
      <c r="FO14" s="46"/>
      <c r="FP14" s="46"/>
      <c r="FQ14" s="33"/>
      <c r="FR14" s="100">
        <v>129936</v>
      </c>
      <c r="FS14" s="33"/>
      <c r="FT14" s="33">
        <v>3056504.74</v>
      </c>
      <c r="FU14" s="207">
        <f t="shared" si="25"/>
        <v>0</v>
      </c>
      <c r="FV14" s="232"/>
      <c r="FW14" s="232"/>
      <c r="FX14" s="100"/>
      <c r="FY14" s="32">
        <f t="shared" si="26"/>
        <v>0</v>
      </c>
      <c r="FZ14" s="273"/>
      <c r="GA14" s="100">
        <v>0</v>
      </c>
      <c r="GB14" s="204">
        <v>0</v>
      </c>
      <c r="GC14" s="100"/>
      <c r="GD14" s="100"/>
      <c r="GE14" s="280"/>
      <c r="GF14" s="45" t="s">
        <v>135</v>
      </c>
      <c r="GG14" s="38">
        <f t="shared" si="2"/>
        <v>32158453.780000001</v>
      </c>
      <c r="GH14" s="38"/>
      <c r="GI14" s="37"/>
      <c r="GJ14" s="37"/>
      <c r="GK14" s="78"/>
      <c r="GL14" s="40">
        <f t="shared" si="27"/>
        <v>28613893.780000001</v>
      </c>
      <c r="GM14" s="98"/>
      <c r="GN14" s="98"/>
      <c r="GO14" s="98"/>
      <c r="GP14" s="98"/>
      <c r="GQ14" s="111">
        <f t="shared" si="28"/>
        <v>0</v>
      </c>
      <c r="GR14" s="33">
        <v>1402578</v>
      </c>
      <c r="GS14" s="98"/>
      <c r="GT14" s="260">
        <v>374000</v>
      </c>
      <c r="GU14" s="98">
        <v>26837315.780000001</v>
      </c>
      <c r="GV14" s="32"/>
      <c r="GW14" s="32">
        <v>2280000</v>
      </c>
      <c r="GX14" s="32">
        <v>688560</v>
      </c>
      <c r="GY14" s="32">
        <v>0</v>
      </c>
      <c r="GZ14" s="32">
        <v>0</v>
      </c>
      <c r="HA14" s="32"/>
      <c r="HB14" s="33"/>
      <c r="HC14" s="32"/>
      <c r="HD14" s="32"/>
      <c r="HE14" s="18"/>
      <c r="HF14" s="45" t="s">
        <v>135</v>
      </c>
      <c r="HG14" s="34">
        <f t="shared" si="29"/>
        <v>38467763.950000003</v>
      </c>
      <c r="HH14" s="34">
        <f t="shared" si="30"/>
        <v>69744251.810000002</v>
      </c>
    </row>
    <row r="15" spans="1:218" ht="15.75" customHeight="1">
      <c r="A15" s="18">
        <v>13</v>
      </c>
      <c r="B15" s="45" t="s">
        <v>136</v>
      </c>
      <c r="C15" s="97"/>
      <c r="D15" s="98">
        <f t="shared" si="3"/>
        <v>8984649.0800000001</v>
      </c>
      <c r="E15" s="98">
        <f t="shared" si="0"/>
        <v>0</v>
      </c>
      <c r="F15" s="99"/>
      <c r="G15" s="99">
        <f t="shared" si="31"/>
        <v>30000</v>
      </c>
      <c r="H15" s="99">
        <f t="shared" si="32"/>
        <v>9060</v>
      </c>
      <c r="I15" s="99">
        <f t="shared" si="4"/>
        <v>0</v>
      </c>
      <c r="J15" s="99">
        <f t="shared" si="5"/>
        <v>9960</v>
      </c>
      <c r="K15" s="99">
        <f t="shared" si="6"/>
        <v>7148</v>
      </c>
      <c r="L15" s="135">
        <f t="shared" si="7"/>
        <v>1000</v>
      </c>
      <c r="M15" s="135"/>
      <c r="N15" s="135">
        <f t="shared" si="8"/>
        <v>3016002.36</v>
      </c>
      <c r="O15" s="136">
        <f t="shared" si="9"/>
        <v>12057819.439999999</v>
      </c>
      <c r="P15" s="18"/>
      <c r="Q15" s="135">
        <f t="shared" si="10"/>
        <v>1157750</v>
      </c>
      <c r="R15" s="32">
        <f>1018750+139000</f>
        <v>1157750</v>
      </c>
      <c r="S15" s="135">
        <f>22121359+4162830</f>
        <v>26284189</v>
      </c>
      <c r="T15" s="135">
        <f>6680651+1257170</f>
        <v>7937821</v>
      </c>
      <c r="U15" s="55">
        <f t="shared" si="11"/>
        <v>34222010</v>
      </c>
      <c r="V15" s="46"/>
      <c r="W15" s="46"/>
      <c r="X15" s="46">
        <f t="shared" si="12"/>
        <v>0</v>
      </c>
      <c r="Y15" s="183">
        <f t="shared" si="13"/>
        <v>47437579.439999998</v>
      </c>
      <c r="Z15" s="45" t="s">
        <v>136</v>
      </c>
      <c r="AA15" s="100">
        <f t="shared" si="14"/>
        <v>0</v>
      </c>
      <c r="AB15" s="101">
        <f t="shared" si="15"/>
        <v>1704884.6400000001</v>
      </c>
      <c r="AC15" s="176">
        <f t="shared" si="16"/>
        <v>2169977.73</v>
      </c>
      <c r="AD15" s="176">
        <f t="shared" si="17"/>
        <v>655333.27</v>
      </c>
      <c r="AE15" s="34">
        <f t="shared" si="18"/>
        <v>0</v>
      </c>
      <c r="AF15">
        <f t="shared" si="19"/>
        <v>15909063.48</v>
      </c>
      <c r="AG15" s="46">
        <v>252000</v>
      </c>
      <c r="AH15" s="104">
        <f t="shared" si="20"/>
        <v>20691259.120000001</v>
      </c>
      <c r="AI15" s="105"/>
      <c r="AJ15" s="37">
        <v>3458700</v>
      </c>
      <c r="AK15" s="18"/>
      <c r="AL15" s="109">
        <f t="shared" si="21"/>
        <v>3458700</v>
      </c>
      <c r="AM15" s="143"/>
      <c r="AN15" s="107"/>
      <c r="AO15" s="107"/>
      <c r="AP15" s="107"/>
      <c r="AQ15" s="111">
        <f t="shared" si="22"/>
        <v>71587538.560000002</v>
      </c>
      <c r="AR15" s="45" t="s">
        <v>136</v>
      </c>
      <c r="AS15" s="88"/>
      <c r="AT15" s="45"/>
      <c r="AU15" s="45"/>
      <c r="AV15" s="31">
        <f t="shared" si="23"/>
        <v>0</v>
      </c>
      <c r="AW15" s="252"/>
      <c r="AX15" s="45"/>
      <c r="AY15" s="252"/>
      <c r="AZ15" s="255">
        <f>380000</f>
        <v>380000</v>
      </c>
      <c r="BA15" s="198">
        <v>275082.26</v>
      </c>
      <c r="BB15" s="269">
        <v>80000</v>
      </c>
      <c r="BC15" s="270">
        <f t="shared" si="33"/>
        <v>655082.26</v>
      </c>
      <c r="BD15" s="45" t="s">
        <v>136</v>
      </c>
      <c r="BE15" s="211">
        <v>309601.19999999995</v>
      </c>
      <c r="BF15" s="98">
        <v>0</v>
      </c>
      <c r="BG15" s="99"/>
      <c r="BH15" s="99"/>
      <c r="BI15" s="99"/>
      <c r="BJ15" s="46">
        <v>9960</v>
      </c>
      <c r="BK15" s="46">
        <v>7148</v>
      </c>
      <c r="BL15" s="46">
        <v>1000</v>
      </c>
      <c r="BM15" s="55"/>
      <c r="BN15" s="46">
        <v>2482342.36</v>
      </c>
      <c r="BO15" s="247">
        <f t="shared" si="24"/>
        <v>2810051.5599999996</v>
      </c>
      <c r="BP15" s="99">
        <v>675000</v>
      </c>
      <c r="BQ15" s="99">
        <v>0</v>
      </c>
      <c r="BR15" s="46"/>
      <c r="BS15" s="227">
        <v>90825</v>
      </c>
      <c r="BT15" s="45"/>
      <c r="BU15" s="45"/>
      <c r="BV15" s="227">
        <v>12950</v>
      </c>
      <c r="BW15" s="227">
        <v>0</v>
      </c>
      <c r="BX15" s="45"/>
      <c r="BY15" s="45">
        <v>0</v>
      </c>
      <c r="BZ15" s="45">
        <v>0</v>
      </c>
      <c r="CA15" s="45">
        <v>0</v>
      </c>
      <c r="CB15" s="45">
        <v>1768773.63</v>
      </c>
      <c r="CC15" s="45">
        <v>544474</v>
      </c>
      <c r="CD15" s="45"/>
      <c r="CE15" s="100"/>
      <c r="CF15" s="100"/>
      <c r="CG15" s="100">
        <v>0</v>
      </c>
      <c r="CH15" s="176">
        <v>103128</v>
      </c>
      <c r="CI15" s="100">
        <v>0</v>
      </c>
      <c r="CJ15" s="176">
        <v>-22340.15</v>
      </c>
      <c r="CK15" s="100">
        <v>0</v>
      </c>
      <c r="CL15" s="100"/>
      <c r="CM15" s="46"/>
      <c r="CN15" s="46"/>
      <c r="CO15" s="46">
        <v>0</v>
      </c>
      <c r="CP15" s="46">
        <v>418030.52</v>
      </c>
      <c r="CQ15" s="45">
        <v>0</v>
      </c>
      <c r="CR15" s="45">
        <v>585057.52</v>
      </c>
      <c r="CS15" s="45"/>
      <c r="CT15" s="45"/>
      <c r="CU15" s="100"/>
      <c r="CV15" s="100"/>
      <c r="CW15" s="100"/>
      <c r="CX15" s="100">
        <v>1800000</v>
      </c>
      <c r="CY15" s="100">
        <v>0</v>
      </c>
      <c r="CZ15" s="100"/>
      <c r="DA15" s="100">
        <v>-10814</v>
      </c>
      <c r="DB15" s="231"/>
      <c r="DC15" s="46"/>
      <c r="DD15" s="100"/>
      <c r="DE15" s="100"/>
      <c r="DF15" s="100"/>
      <c r="DG15" s="100"/>
      <c r="DH15" s="100"/>
      <c r="DI15" s="100"/>
      <c r="DJ15" s="100"/>
      <c r="DK15" s="231"/>
      <c r="DL15" s="100"/>
      <c r="DM15" s="100"/>
      <c r="DN15" s="100"/>
      <c r="DO15" s="100"/>
      <c r="DP15" s="100"/>
      <c r="DQ15" s="211"/>
      <c r="DR15" s="231"/>
      <c r="DS15" s="100"/>
      <c r="DT15" s="100"/>
      <c r="DU15" s="100"/>
      <c r="DV15" s="211"/>
      <c r="DW15" s="100"/>
      <c r="DX15" s="100"/>
      <c r="DY15" s="100"/>
      <c r="DZ15" s="100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89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40">
        <f t="shared" si="1"/>
        <v>3243623.3600000003</v>
      </c>
      <c r="FO15" s="46">
        <v>30000</v>
      </c>
      <c r="FP15" s="46">
        <v>9060</v>
      </c>
      <c r="FQ15" s="33"/>
      <c r="FR15" s="100">
        <f>636322.5+14200</f>
        <v>650522.5</v>
      </c>
      <c r="FS15" s="33"/>
      <c r="FT15" s="33">
        <v>2593100.8600000003</v>
      </c>
      <c r="FU15" s="207">
        <f t="shared" si="25"/>
        <v>0</v>
      </c>
      <c r="FV15" s="232"/>
      <c r="FW15" s="232"/>
      <c r="FX15" s="100"/>
      <c r="FY15" s="32">
        <f t="shared" si="26"/>
        <v>15909063.48</v>
      </c>
      <c r="FZ15" s="273"/>
      <c r="GA15" s="100">
        <v>0</v>
      </c>
      <c r="GB15" s="204">
        <f>15762857.57+146504.24-298.33</f>
        <v>15909063.48</v>
      </c>
      <c r="GC15" s="100"/>
      <c r="GD15" s="100"/>
      <c r="GE15" s="280"/>
      <c r="GF15" s="45" t="s">
        <v>136</v>
      </c>
      <c r="GG15" s="38">
        <f t="shared" si="2"/>
        <v>20943259.120000001</v>
      </c>
      <c r="GH15" s="38"/>
      <c r="GI15" s="37"/>
      <c r="GJ15" s="37"/>
      <c r="GK15" s="78"/>
      <c r="GL15" s="40">
        <f t="shared" si="27"/>
        <v>1704884.6400000001</v>
      </c>
      <c r="GM15" s="98"/>
      <c r="GN15" s="98"/>
      <c r="GO15" s="98"/>
      <c r="GP15" s="98"/>
      <c r="GQ15" s="111">
        <f t="shared" si="28"/>
        <v>0</v>
      </c>
      <c r="GR15" s="33">
        <v>1326382</v>
      </c>
      <c r="GS15" s="98"/>
      <c r="GT15" s="260">
        <v>378502.64</v>
      </c>
      <c r="GU15" s="98"/>
      <c r="GV15" s="32"/>
      <c r="GW15" s="32">
        <v>1920000</v>
      </c>
      <c r="GX15" s="32">
        <v>579840</v>
      </c>
      <c r="GY15" s="32">
        <v>189977.73</v>
      </c>
      <c r="GZ15" s="32">
        <v>57373.26999999999</v>
      </c>
      <c r="HA15" s="32">
        <v>60000</v>
      </c>
      <c r="HB15" s="33">
        <v>18120</v>
      </c>
      <c r="HC15" s="32"/>
      <c r="HD15" s="32"/>
      <c r="HE15" s="18"/>
      <c r="HF15" s="45" t="s">
        <v>136</v>
      </c>
      <c r="HG15" s="34">
        <f t="shared" si="29"/>
        <v>18321986.079999998</v>
      </c>
      <c r="HH15" s="34">
        <f t="shared" si="30"/>
        <v>71587538.560000002</v>
      </c>
    </row>
    <row r="16" spans="1:218" ht="14.25" customHeight="1">
      <c r="A16" s="18">
        <v>14</v>
      </c>
      <c r="B16" s="45" t="s">
        <v>137</v>
      </c>
      <c r="C16" s="97"/>
      <c r="D16" s="98">
        <f t="shared" si="3"/>
        <v>5341982.8999999994</v>
      </c>
      <c r="E16" s="98">
        <f t="shared" si="0"/>
        <v>0</v>
      </c>
      <c r="F16" s="99"/>
      <c r="G16" s="99">
        <f t="shared" si="31"/>
        <v>0</v>
      </c>
      <c r="H16" s="99">
        <f t="shared" si="32"/>
        <v>0</v>
      </c>
      <c r="I16" s="99">
        <f t="shared" si="4"/>
        <v>0</v>
      </c>
      <c r="J16" s="99">
        <f t="shared" si="5"/>
        <v>0</v>
      </c>
      <c r="K16" s="99">
        <f t="shared" si="6"/>
        <v>10304</v>
      </c>
      <c r="L16" s="135">
        <f t="shared" si="7"/>
        <v>1000</v>
      </c>
      <c r="M16" s="135"/>
      <c r="N16" s="135">
        <f t="shared" si="8"/>
        <v>1535870.4100000001</v>
      </c>
      <c r="O16" s="136">
        <f t="shared" si="9"/>
        <v>6889157.3099999996</v>
      </c>
      <c r="P16" s="18"/>
      <c r="Q16" s="135">
        <f t="shared" si="10"/>
        <v>483250</v>
      </c>
      <c r="R16" s="32">
        <v>483250</v>
      </c>
      <c r="S16" s="135">
        <v>17255603</v>
      </c>
      <c r="T16" s="135">
        <v>5211192</v>
      </c>
      <c r="U16" s="55">
        <f t="shared" si="11"/>
        <v>22466795</v>
      </c>
      <c r="V16" s="46"/>
      <c r="W16" s="46"/>
      <c r="X16" s="46">
        <f t="shared" si="12"/>
        <v>0</v>
      </c>
      <c r="Y16" s="183">
        <f t="shared" si="13"/>
        <v>29839202.309999999</v>
      </c>
      <c r="Z16" s="45" t="s">
        <v>137</v>
      </c>
      <c r="AA16" s="100">
        <f t="shared" si="14"/>
        <v>0</v>
      </c>
      <c r="AB16" s="101">
        <f t="shared" si="15"/>
        <v>1618014</v>
      </c>
      <c r="AC16" s="176">
        <f t="shared" si="16"/>
        <v>1449977.73</v>
      </c>
      <c r="AD16" s="176">
        <f t="shared" si="17"/>
        <v>437893.27</v>
      </c>
      <c r="AE16" s="34">
        <f t="shared" si="18"/>
        <v>8688613.1999999993</v>
      </c>
      <c r="AF16">
        <f t="shared" si="19"/>
        <v>0</v>
      </c>
      <c r="AG16" s="46">
        <v>189000</v>
      </c>
      <c r="AH16" s="104">
        <f t="shared" si="20"/>
        <v>12383498.199999999</v>
      </c>
      <c r="AI16" s="105"/>
      <c r="AJ16" s="37">
        <v>170000</v>
      </c>
      <c r="AK16" s="18"/>
      <c r="AL16" s="109">
        <f t="shared" si="21"/>
        <v>170000</v>
      </c>
      <c r="AM16" s="143"/>
      <c r="AN16" s="107"/>
      <c r="AO16" s="107"/>
      <c r="AP16" s="107"/>
      <c r="AQ16" s="111">
        <f t="shared" si="22"/>
        <v>42392700.509999998</v>
      </c>
      <c r="AR16" s="45" t="s">
        <v>137</v>
      </c>
      <c r="AS16" s="149"/>
      <c r="AT16" s="45"/>
      <c r="AU16" s="45"/>
      <c r="AV16" s="31">
        <f t="shared" si="23"/>
        <v>0</v>
      </c>
      <c r="AW16" s="252"/>
      <c r="AX16" s="45"/>
      <c r="AY16" s="252"/>
      <c r="AZ16" s="255"/>
      <c r="BA16" s="198">
        <v>316809.39</v>
      </c>
      <c r="BB16" s="269"/>
      <c r="BC16" s="270">
        <f t="shared" si="33"/>
        <v>316809.39</v>
      </c>
      <c r="BD16" s="45" t="s">
        <v>137</v>
      </c>
      <c r="BE16" s="211">
        <v>252265.19999999995</v>
      </c>
      <c r="BF16" s="98">
        <v>0</v>
      </c>
      <c r="BG16" s="99"/>
      <c r="BH16" s="99"/>
      <c r="BI16" s="99"/>
      <c r="BJ16" s="46">
        <v>0</v>
      </c>
      <c r="BK16" s="46">
        <v>7304</v>
      </c>
      <c r="BL16" s="46">
        <v>1000</v>
      </c>
      <c r="BM16" s="55"/>
      <c r="BN16" s="46">
        <v>1045870.41</v>
      </c>
      <c r="BO16" s="247">
        <f t="shared" si="24"/>
        <v>1306439.6099999999</v>
      </c>
      <c r="BP16" s="99">
        <v>30500</v>
      </c>
      <c r="BQ16" s="99">
        <v>0</v>
      </c>
      <c r="BR16" s="46"/>
      <c r="BS16" s="227">
        <v>151375</v>
      </c>
      <c r="BT16" s="45"/>
      <c r="BU16" s="45"/>
      <c r="BV16" s="227">
        <v>15800</v>
      </c>
      <c r="BW16" s="227">
        <v>0</v>
      </c>
      <c r="BX16" s="45"/>
      <c r="BY16" s="45">
        <v>0</v>
      </c>
      <c r="BZ16" s="45">
        <v>0</v>
      </c>
      <c r="CA16" s="45">
        <v>0</v>
      </c>
      <c r="CB16" s="45">
        <v>431740.45999999996</v>
      </c>
      <c r="CC16" s="45">
        <v>490000</v>
      </c>
      <c r="CD16" s="45"/>
      <c r="CE16" s="100"/>
      <c r="CF16" s="100"/>
      <c r="CG16" s="100">
        <v>0</v>
      </c>
      <c r="CH16" s="176">
        <v>115100</v>
      </c>
      <c r="CI16" s="100">
        <v>0</v>
      </c>
      <c r="CJ16" s="176">
        <v>0</v>
      </c>
      <c r="CK16" s="100">
        <v>0</v>
      </c>
      <c r="CL16" s="100"/>
      <c r="CM16" s="46"/>
      <c r="CN16" s="46"/>
      <c r="CO16" s="46">
        <v>0</v>
      </c>
      <c r="CP16" s="46">
        <v>2372763.0099999998</v>
      </c>
      <c r="CQ16" s="45">
        <v>0</v>
      </c>
      <c r="CR16" s="45">
        <v>0</v>
      </c>
      <c r="CS16" s="45"/>
      <c r="CT16" s="45"/>
      <c r="CU16" s="100"/>
      <c r="CV16" s="100"/>
      <c r="CW16" s="100"/>
      <c r="CX16" s="100">
        <v>48680.38</v>
      </c>
      <c r="CY16" s="100">
        <v>3000</v>
      </c>
      <c r="CZ16" s="100"/>
      <c r="DA16" s="100">
        <v>0</v>
      </c>
      <c r="DB16" s="231"/>
      <c r="DC16" s="46"/>
      <c r="DD16" s="100"/>
      <c r="DE16" s="100"/>
      <c r="DF16" s="100"/>
      <c r="DG16" s="100"/>
      <c r="DH16" s="100"/>
      <c r="DI16" s="100"/>
      <c r="DJ16" s="100"/>
      <c r="DK16" s="231"/>
      <c r="DL16" s="100"/>
      <c r="DM16" s="100"/>
      <c r="DN16" s="100"/>
      <c r="DO16" s="100"/>
      <c r="DP16" s="100"/>
      <c r="DQ16" s="211"/>
      <c r="DR16" s="231"/>
      <c r="DS16" s="100"/>
      <c r="DT16" s="100"/>
      <c r="DU16" s="100"/>
      <c r="DV16" s="211"/>
      <c r="DW16" s="100"/>
      <c r="DX16" s="100"/>
      <c r="DY16" s="100"/>
      <c r="DZ16" s="100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89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40">
        <f t="shared" si="1"/>
        <v>1923758.85</v>
      </c>
      <c r="FO16" s="46"/>
      <c r="FP16" s="46"/>
      <c r="FQ16" s="137"/>
      <c r="FR16" s="172">
        <v>248522</v>
      </c>
      <c r="FS16" s="33"/>
      <c r="FT16" s="33">
        <v>1675236.85</v>
      </c>
      <c r="FU16" s="207">
        <f t="shared" si="25"/>
        <v>0</v>
      </c>
      <c r="FV16" s="232"/>
      <c r="FW16" s="232"/>
      <c r="FX16" s="172"/>
      <c r="FY16" s="32">
        <f t="shared" si="26"/>
        <v>0</v>
      </c>
      <c r="FZ16" s="273"/>
      <c r="GA16" s="172">
        <v>0</v>
      </c>
      <c r="GB16" s="205">
        <v>0</v>
      </c>
      <c r="GC16" s="172"/>
      <c r="GD16" s="172"/>
      <c r="GE16" s="281"/>
      <c r="GF16" s="45" t="s">
        <v>137</v>
      </c>
      <c r="GG16" s="38">
        <f t="shared" si="2"/>
        <v>12572498.199999999</v>
      </c>
      <c r="GH16" s="38"/>
      <c r="GI16" s="37"/>
      <c r="GJ16" s="37"/>
      <c r="GK16" s="78"/>
      <c r="GL16" s="40">
        <f t="shared" si="27"/>
        <v>1618014</v>
      </c>
      <c r="GM16" s="98">
        <v>8688613.1999999993</v>
      </c>
      <c r="GN16" s="98"/>
      <c r="GO16" s="98"/>
      <c r="GP16" s="98"/>
      <c r="GQ16" s="111">
        <f t="shared" si="28"/>
        <v>8688613.1999999993</v>
      </c>
      <c r="GR16" s="33">
        <v>1229014</v>
      </c>
      <c r="GS16" s="98"/>
      <c r="GT16" s="260">
        <v>389000</v>
      </c>
      <c r="GU16" s="98"/>
      <c r="GV16" s="32"/>
      <c r="GW16" s="32">
        <v>1200000</v>
      </c>
      <c r="GX16" s="32">
        <v>362400</v>
      </c>
      <c r="GY16" s="32">
        <v>189977.73</v>
      </c>
      <c r="GZ16" s="32">
        <v>57373.26999999999</v>
      </c>
      <c r="HA16" s="32">
        <v>60000</v>
      </c>
      <c r="HB16" s="33">
        <v>18120</v>
      </c>
      <c r="HC16" s="32"/>
      <c r="HD16" s="32"/>
      <c r="HE16" s="18"/>
      <c r="HF16" s="45" t="s">
        <v>137</v>
      </c>
      <c r="HG16" s="34">
        <f t="shared" si="29"/>
        <v>9149117.3099999987</v>
      </c>
      <c r="HH16" s="34">
        <f t="shared" si="30"/>
        <v>42392700.509999998</v>
      </c>
    </row>
    <row r="17" spans="1:216" ht="15" customHeight="1">
      <c r="A17" s="18">
        <v>15</v>
      </c>
      <c r="B17" s="45" t="s">
        <v>138</v>
      </c>
      <c r="C17" s="97"/>
      <c r="D17" s="98">
        <f t="shared" si="3"/>
        <v>6396774.1099999994</v>
      </c>
      <c r="E17" s="98">
        <f t="shared" si="0"/>
        <v>0</v>
      </c>
      <c r="F17" s="99"/>
      <c r="G17" s="99">
        <f t="shared" si="31"/>
        <v>0</v>
      </c>
      <c r="H17" s="99">
        <f t="shared" si="32"/>
        <v>0</v>
      </c>
      <c r="I17" s="99">
        <f t="shared" si="4"/>
        <v>0</v>
      </c>
      <c r="J17" s="99">
        <f t="shared" si="5"/>
        <v>0</v>
      </c>
      <c r="K17" s="99">
        <f t="shared" si="6"/>
        <v>11243</v>
      </c>
      <c r="L17" s="135">
        <f t="shared" si="7"/>
        <v>1000</v>
      </c>
      <c r="M17" s="135"/>
      <c r="N17" s="135">
        <f t="shared" si="8"/>
        <v>1611201.3199999998</v>
      </c>
      <c r="O17" s="136">
        <f t="shared" si="9"/>
        <v>8020218.4299999997</v>
      </c>
      <c r="P17" s="18"/>
      <c r="Q17" s="135">
        <f t="shared" si="10"/>
        <v>618750</v>
      </c>
      <c r="R17" s="32">
        <v>618750</v>
      </c>
      <c r="S17" s="135">
        <v>22605194</v>
      </c>
      <c r="T17" s="135">
        <v>6826769</v>
      </c>
      <c r="U17" s="55">
        <f t="shared" si="11"/>
        <v>29431963</v>
      </c>
      <c r="V17" s="46"/>
      <c r="W17" s="46"/>
      <c r="X17" s="46">
        <f t="shared" si="12"/>
        <v>0</v>
      </c>
      <c r="Y17" s="183">
        <f t="shared" si="13"/>
        <v>38070931.43</v>
      </c>
      <c r="Z17" s="45" t="s">
        <v>138</v>
      </c>
      <c r="AA17" s="100">
        <f t="shared" si="14"/>
        <v>0</v>
      </c>
      <c r="AB17" s="101">
        <f t="shared" si="15"/>
        <v>1567327</v>
      </c>
      <c r="AC17" s="176">
        <f t="shared" si="16"/>
        <v>2649977.73</v>
      </c>
      <c r="AD17" s="176">
        <f t="shared" si="17"/>
        <v>800293.27</v>
      </c>
      <c r="AE17" s="34">
        <f t="shared" si="18"/>
        <v>3452810</v>
      </c>
      <c r="AF17">
        <f t="shared" si="19"/>
        <v>7845856.3200000003</v>
      </c>
      <c r="AG17" s="46">
        <v>306000</v>
      </c>
      <c r="AH17" s="104">
        <f t="shared" si="20"/>
        <v>16622264.32</v>
      </c>
      <c r="AI17" s="105"/>
      <c r="AJ17" s="37">
        <v>79000</v>
      </c>
      <c r="AK17" s="18"/>
      <c r="AL17" s="109">
        <f t="shared" si="21"/>
        <v>79000</v>
      </c>
      <c r="AM17" s="143"/>
      <c r="AN17" s="107"/>
      <c r="AO17" s="107"/>
      <c r="AP17" s="107"/>
      <c r="AQ17" s="111">
        <f t="shared" si="22"/>
        <v>54772195.75</v>
      </c>
      <c r="AR17" s="44" t="s">
        <v>138</v>
      </c>
      <c r="AS17" s="150"/>
      <c r="AT17" s="44"/>
      <c r="AU17" s="44"/>
      <c r="AV17" s="31">
        <f t="shared" si="23"/>
        <v>0</v>
      </c>
      <c r="AW17" s="252"/>
      <c r="AX17" s="44"/>
      <c r="AY17" s="252"/>
      <c r="AZ17" s="255"/>
      <c r="BA17" s="198">
        <v>277152.26</v>
      </c>
      <c r="BB17" s="269"/>
      <c r="BC17" s="270">
        <f t="shared" si="33"/>
        <v>277152.26</v>
      </c>
      <c r="BD17" s="44" t="s">
        <v>138</v>
      </c>
      <c r="BE17" s="211">
        <v>280146.27999999997</v>
      </c>
      <c r="BF17" s="98">
        <v>0</v>
      </c>
      <c r="BG17" s="99"/>
      <c r="BH17" s="99"/>
      <c r="BI17" s="99"/>
      <c r="BJ17" s="46">
        <v>0</v>
      </c>
      <c r="BK17" s="46">
        <v>8428</v>
      </c>
      <c r="BL17" s="46">
        <v>1000</v>
      </c>
      <c r="BM17" s="55"/>
      <c r="BN17" s="46">
        <v>1501201.3199999998</v>
      </c>
      <c r="BO17" s="247">
        <f t="shared" si="24"/>
        <v>1790775.5999999999</v>
      </c>
      <c r="BP17" s="99">
        <v>19000</v>
      </c>
      <c r="BQ17" s="99">
        <v>0</v>
      </c>
      <c r="BR17" s="46"/>
      <c r="BS17" s="227">
        <v>502740.72</v>
      </c>
      <c r="BT17" s="45"/>
      <c r="BU17" s="45"/>
      <c r="BV17" s="227">
        <v>47550</v>
      </c>
      <c r="BW17" s="227">
        <v>0</v>
      </c>
      <c r="BX17" s="45"/>
      <c r="BY17" s="45">
        <v>0</v>
      </c>
      <c r="BZ17" s="45">
        <v>2815</v>
      </c>
      <c r="CA17" s="45">
        <v>0</v>
      </c>
      <c r="CB17" s="45">
        <v>1344083.59</v>
      </c>
      <c r="CC17" s="45">
        <v>110000</v>
      </c>
      <c r="CD17" s="45"/>
      <c r="CE17" s="100"/>
      <c r="CF17" s="100"/>
      <c r="CG17" s="100">
        <v>0</v>
      </c>
      <c r="CH17" s="176">
        <v>48300</v>
      </c>
      <c r="CI17" s="100">
        <v>0</v>
      </c>
      <c r="CJ17" s="176">
        <v>696009</v>
      </c>
      <c r="CK17" s="100">
        <v>0</v>
      </c>
      <c r="CL17" s="100"/>
      <c r="CM17" s="46"/>
      <c r="CN17" s="46"/>
      <c r="CO17" s="46">
        <v>0</v>
      </c>
      <c r="CP17" s="46">
        <v>500360.8</v>
      </c>
      <c r="CQ17" s="45">
        <v>0</v>
      </c>
      <c r="CR17" s="45">
        <v>0</v>
      </c>
      <c r="CS17" s="45"/>
      <c r="CT17" s="45"/>
      <c r="CU17" s="100"/>
      <c r="CV17" s="100"/>
      <c r="CW17" s="100"/>
      <c r="CX17" s="100">
        <v>0</v>
      </c>
      <c r="CY17" s="100">
        <v>0</v>
      </c>
      <c r="CZ17" s="100"/>
      <c r="DA17" s="100">
        <v>0</v>
      </c>
      <c r="DB17" s="231"/>
      <c r="DC17" s="46"/>
      <c r="DD17" s="100"/>
      <c r="DE17" s="100"/>
      <c r="DF17" s="100"/>
      <c r="DG17" s="100"/>
      <c r="DH17" s="100"/>
      <c r="DI17" s="100"/>
      <c r="DJ17" s="100"/>
      <c r="DK17" s="231"/>
      <c r="DL17" s="100"/>
      <c r="DM17" s="100"/>
      <c r="DN17" s="100"/>
      <c r="DO17" s="100"/>
      <c r="DP17" s="100"/>
      <c r="DQ17" s="211"/>
      <c r="DR17" s="231"/>
      <c r="DS17" s="100"/>
      <c r="DT17" s="100"/>
      <c r="DU17" s="100"/>
      <c r="DV17" s="211"/>
      <c r="DW17" s="100"/>
      <c r="DX17" s="100"/>
      <c r="DY17" s="100"/>
      <c r="DZ17" s="100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89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40">
        <f t="shared" si="1"/>
        <v>2958583.7199999997</v>
      </c>
      <c r="FO17" s="46"/>
      <c r="FP17" s="46"/>
      <c r="FQ17" s="33"/>
      <c r="FR17" s="172">
        <v>228541.5</v>
      </c>
      <c r="FS17" s="33"/>
      <c r="FT17" s="33">
        <v>2730042.2199999997</v>
      </c>
      <c r="FU17" s="207">
        <f t="shared" si="25"/>
        <v>0</v>
      </c>
      <c r="FV17" s="232"/>
      <c r="FW17" s="232"/>
      <c r="FX17" s="172"/>
      <c r="FY17" s="32">
        <f t="shared" si="26"/>
        <v>7845856.3200000003</v>
      </c>
      <c r="FZ17" s="273"/>
      <c r="GA17" s="172">
        <v>250000</v>
      </c>
      <c r="GB17" s="205">
        <v>7595856.3200000003</v>
      </c>
      <c r="GC17" s="172"/>
      <c r="GD17" s="172"/>
      <c r="GE17" s="281"/>
      <c r="GF17" s="44" t="s">
        <v>138</v>
      </c>
      <c r="GG17" s="38">
        <f t="shared" si="2"/>
        <v>16928264.32</v>
      </c>
      <c r="GH17" s="38"/>
      <c r="GI17" s="39"/>
      <c r="GJ17" s="39"/>
      <c r="GK17" s="78"/>
      <c r="GL17" s="40">
        <f t="shared" si="27"/>
        <v>1567327</v>
      </c>
      <c r="GM17" s="98">
        <v>3452810</v>
      </c>
      <c r="GN17" s="98"/>
      <c r="GO17" s="98"/>
      <c r="GP17" s="98"/>
      <c r="GQ17" s="111">
        <f t="shared" si="28"/>
        <v>3452810</v>
      </c>
      <c r="GR17" s="33">
        <v>1239727</v>
      </c>
      <c r="GS17" s="98"/>
      <c r="GT17" s="260">
        <v>327600</v>
      </c>
      <c r="GU17" s="98"/>
      <c r="GV17" s="32"/>
      <c r="GW17" s="32">
        <v>2400000</v>
      </c>
      <c r="GX17" s="32">
        <v>724800</v>
      </c>
      <c r="GY17" s="32">
        <v>189977.73</v>
      </c>
      <c r="GZ17" s="32">
        <v>57373.26999999999</v>
      </c>
      <c r="HA17" s="32">
        <v>60000</v>
      </c>
      <c r="HB17" s="33">
        <v>18120</v>
      </c>
      <c r="HC17" s="32"/>
      <c r="HD17" s="32"/>
      <c r="HE17" s="18"/>
      <c r="HF17" s="44" t="s">
        <v>138</v>
      </c>
      <c r="HG17" s="34">
        <f t="shared" si="29"/>
        <v>10273052.43</v>
      </c>
      <c r="HH17" s="34">
        <f t="shared" si="30"/>
        <v>54772195.75</v>
      </c>
    </row>
    <row r="18" spans="1:216" ht="15" customHeight="1">
      <c r="A18" s="18">
        <v>17</v>
      </c>
      <c r="B18" s="45" t="s">
        <v>139</v>
      </c>
      <c r="C18" s="97"/>
      <c r="D18" s="98">
        <f t="shared" si="3"/>
        <v>6107795.0800000001</v>
      </c>
      <c r="E18" s="98">
        <f t="shared" si="0"/>
        <v>0</v>
      </c>
      <c r="F18" s="99"/>
      <c r="G18" s="99">
        <f t="shared" si="31"/>
        <v>0</v>
      </c>
      <c r="H18" s="99">
        <f t="shared" si="32"/>
        <v>0</v>
      </c>
      <c r="I18" s="99">
        <f t="shared" si="4"/>
        <v>0</v>
      </c>
      <c r="J18" s="99">
        <f t="shared" si="5"/>
        <v>1368</v>
      </c>
      <c r="K18" s="99">
        <f t="shared" si="6"/>
        <v>7736</v>
      </c>
      <c r="L18" s="135">
        <f t="shared" si="7"/>
        <v>1480.99</v>
      </c>
      <c r="M18" s="135"/>
      <c r="N18" s="135">
        <f t="shared" si="8"/>
        <v>392203.32</v>
      </c>
      <c r="O18" s="136">
        <f t="shared" si="9"/>
        <v>6510583.3900000006</v>
      </c>
      <c r="P18" s="18"/>
      <c r="Q18" s="135">
        <f t="shared" si="10"/>
        <v>396875</v>
      </c>
      <c r="R18" s="32">
        <v>396875</v>
      </c>
      <c r="S18" s="135">
        <v>16092865</v>
      </c>
      <c r="T18" s="135">
        <v>4860045</v>
      </c>
      <c r="U18" s="55">
        <f t="shared" si="11"/>
        <v>20952910</v>
      </c>
      <c r="V18" s="46"/>
      <c r="W18" s="46"/>
      <c r="X18" s="46">
        <f t="shared" si="12"/>
        <v>0</v>
      </c>
      <c r="Y18" s="183">
        <f t="shared" si="13"/>
        <v>27860368.390000001</v>
      </c>
      <c r="Z18" s="45" t="s">
        <v>139</v>
      </c>
      <c r="AA18" s="100">
        <f t="shared" si="14"/>
        <v>0</v>
      </c>
      <c r="AB18" s="101">
        <f t="shared" si="15"/>
        <v>1349634.4</v>
      </c>
      <c r="AC18" s="176">
        <f t="shared" si="16"/>
        <v>1569977.73</v>
      </c>
      <c r="AD18" s="176">
        <f t="shared" si="17"/>
        <v>474133.27</v>
      </c>
      <c r="AE18" s="34">
        <f t="shared" si="18"/>
        <v>6099882.8999999994</v>
      </c>
      <c r="AF18">
        <f t="shared" si="19"/>
        <v>18494828.18</v>
      </c>
      <c r="AG18" s="46">
        <v>180000</v>
      </c>
      <c r="AH18" s="104">
        <f t="shared" si="20"/>
        <v>28168456.479999997</v>
      </c>
      <c r="AI18" s="105"/>
      <c r="AJ18" s="37">
        <v>206000</v>
      </c>
      <c r="AK18" s="18"/>
      <c r="AL18" s="109">
        <f t="shared" si="21"/>
        <v>206000</v>
      </c>
      <c r="AM18" s="143"/>
      <c r="AN18" s="107"/>
      <c r="AO18" s="107"/>
      <c r="AP18" s="107"/>
      <c r="AQ18" s="111">
        <f t="shared" si="22"/>
        <v>56234824.869999997</v>
      </c>
      <c r="AR18" s="67" t="s">
        <v>139</v>
      </c>
      <c r="AS18" s="32"/>
      <c r="AT18" s="67"/>
      <c r="AU18" s="67"/>
      <c r="AV18" s="31">
        <f t="shared" si="23"/>
        <v>0</v>
      </c>
      <c r="AW18" s="252"/>
      <c r="AX18" s="67"/>
      <c r="AY18" s="252"/>
      <c r="AZ18" s="252">
        <v>380000</v>
      </c>
      <c r="BA18" s="198">
        <v>9080.9599999999991</v>
      </c>
      <c r="BB18" s="269">
        <v>380000</v>
      </c>
      <c r="BC18" s="270">
        <f t="shared" si="33"/>
        <v>389080.96</v>
      </c>
      <c r="BD18" s="67" t="s">
        <v>139</v>
      </c>
      <c r="BE18" s="211">
        <v>258165.19999999995</v>
      </c>
      <c r="BF18" s="98">
        <v>0</v>
      </c>
      <c r="BG18" s="99"/>
      <c r="BH18" s="99"/>
      <c r="BI18" s="99"/>
      <c r="BJ18" s="46">
        <v>1368</v>
      </c>
      <c r="BK18" s="46">
        <v>4736</v>
      </c>
      <c r="BL18" s="46">
        <v>1180</v>
      </c>
      <c r="BM18" s="55"/>
      <c r="BN18" s="46">
        <v>327203.32</v>
      </c>
      <c r="BO18" s="247">
        <f t="shared" si="24"/>
        <v>592652.52</v>
      </c>
      <c r="BP18" s="99">
        <v>900000</v>
      </c>
      <c r="BQ18" s="99">
        <v>0</v>
      </c>
      <c r="BR18" s="46"/>
      <c r="BS18" s="227">
        <v>172045</v>
      </c>
      <c r="BT18" s="45"/>
      <c r="BU18" s="45"/>
      <c r="BV18" s="227">
        <v>0</v>
      </c>
      <c r="BW18" s="227">
        <v>0</v>
      </c>
      <c r="BX18" s="45"/>
      <c r="BY18" s="45">
        <v>0</v>
      </c>
      <c r="BZ18" s="45">
        <v>0</v>
      </c>
      <c r="CA18" s="45">
        <v>300.99</v>
      </c>
      <c r="CB18" s="45">
        <v>400702.33999999997</v>
      </c>
      <c r="CC18" s="45">
        <v>65000</v>
      </c>
      <c r="CD18" s="45"/>
      <c r="CE18" s="100"/>
      <c r="CF18" s="100"/>
      <c r="CG18" s="100">
        <v>0</v>
      </c>
      <c r="CH18" s="176">
        <v>30000</v>
      </c>
      <c r="CI18" s="100">
        <v>0</v>
      </c>
      <c r="CJ18" s="176">
        <v>0</v>
      </c>
      <c r="CK18" s="100">
        <v>39000</v>
      </c>
      <c r="CL18" s="100"/>
      <c r="CM18" s="46"/>
      <c r="CN18" s="46"/>
      <c r="CO18" s="46">
        <v>0</v>
      </c>
      <c r="CP18" s="46">
        <v>323939</v>
      </c>
      <c r="CQ18" s="67">
        <v>0</v>
      </c>
      <c r="CR18" s="67">
        <v>0</v>
      </c>
      <c r="CS18" s="67"/>
      <c r="CT18" s="67"/>
      <c r="CU18" s="100"/>
      <c r="CV18" s="100"/>
      <c r="CW18" s="100"/>
      <c r="CX18" s="100">
        <v>1627680.35</v>
      </c>
      <c r="CY18" s="100">
        <v>3000</v>
      </c>
      <c r="CZ18" s="100"/>
      <c r="DA18" s="100">
        <v>0</v>
      </c>
      <c r="DB18" s="231"/>
      <c r="DC18" s="46"/>
      <c r="DD18" s="100"/>
      <c r="DE18" s="100"/>
      <c r="DF18" s="100"/>
      <c r="DG18" s="100"/>
      <c r="DH18" s="100"/>
      <c r="DI18" s="100"/>
      <c r="DJ18" s="100"/>
      <c r="DK18" s="231"/>
      <c r="DL18" s="100"/>
      <c r="DM18" s="100"/>
      <c r="DN18" s="100"/>
      <c r="DO18" s="100"/>
      <c r="DP18" s="100"/>
      <c r="DQ18" s="211"/>
      <c r="DR18" s="231"/>
      <c r="DS18" s="100"/>
      <c r="DT18" s="100"/>
      <c r="DU18" s="100"/>
      <c r="DV18" s="211"/>
      <c r="DW18" s="100"/>
      <c r="DX18" s="100"/>
      <c r="DY18" s="100"/>
      <c r="DZ18" s="100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89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40">
        <f t="shared" si="1"/>
        <v>2356263.19</v>
      </c>
      <c r="FO18" s="46"/>
      <c r="FP18" s="46"/>
      <c r="FQ18" s="33"/>
      <c r="FR18" s="172">
        <v>509370</v>
      </c>
      <c r="FS18" s="33"/>
      <c r="FT18" s="33">
        <v>1846893.19</v>
      </c>
      <c r="FU18" s="207">
        <f t="shared" si="25"/>
        <v>0</v>
      </c>
      <c r="FV18" s="232"/>
      <c r="FW18" s="232"/>
      <c r="FX18" s="172"/>
      <c r="FY18" s="32">
        <f t="shared" si="26"/>
        <v>18494828.18</v>
      </c>
      <c r="FZ18" s="273"/>
      <c r="GA18" s="172">
        <v>0</v>
      </c>
      <c r="GB18" s="205">
        <f>10031128.18+7523890.75+939809.25</f>
        <v>18494828.18</v>
      </c>
      <c r="GC18" s="172"/>
      <c r="GD18" s="172"/>
      <c r="GE18" s="281"/>
      <c r="GF18" s="44" t="s">
        <v>139</v>
      </c>
      <c r="GG18" s="38">
        <f t="shared" si="2"/>
        <v>28348456.479999997</v>
      </c>
      <c r="GH18" s="38"/>
      <c r="GI18" s="37"/>
      <c r="GJ18" s="37"/>
      <c r="GK18" s="78"/>
      <c r="GL18" s="40">
        <f t="shared" si="27"/>
        <v>1349634.4</v>
      </c>
      <c r="GM18" s="98">
        <v>6099882.8999999994</v>
      </c>
      <c r="GN18" s="98"/>
      <c r="GO18" s="98"/>
      <c r="GP18" s="98"/>
      <c r="GQ18" s="111">
        <f t="shared" si="28"/>
        <v>6099882.8999999994</v>
      </c>
      <c r="GR18" s="33">
        <v>970571</v>
      </c>
      <c r="GS18" s="98"/>
      <c r="GT18" s="260">
        <v>379063.4</v>
      </c>
      <c r="GU18" s="98"/>
      <c r="GV18" s="98"/>
      <c r="GW18" s="98">
        <v>1320000</v>
      </c>
      <c r="GX18" s="98">
        <v>398640</v>
      </c>
      <c r="GY18" s="98">
        <v>189977.73</v>
      </c>
      <c r="GZ18" s="98">
        <v>57373.26999999999</v>
      </c>
      <c r="HA18" s="98">
        <v>60000</v>
      </c>
      <c r="HB18" s="46">
        <v>18120</v>
      </c>
      <c r="HC18" s="32"/>
      <c r="HD18" s="32"/>
      <c r="HE18" s="18"/>
      <c r="HF18" s="67" t="s">
        <v>139</v>
      </c>
      <c r="HG18" s="34">
        <f t="shared" si="29"/>
        <v>8452507.8000000007</v>
      </c>
      <c r="HH18" s="34">
        <f t="shared" si="30"/>
        <v>56234824.869999997</v>
      </c>
    </row>
    <row r="19" spans="1:216" s="164" customFormat="1" ht="15" customHeight="1">
      <c r="A19" s="25">
        <v>18</v>
      </c>
      <c r="B19" s="49" t="s">
        <v>140</v>
      </c>
      <c r="C19" s="154"/>
      <c r="D19" s="98">
        <f t="shared" si="3"/>
        <v>6298773.5299999993</v>
      </c>
      <c r="E19" s="98">
        <f t="shared" si="0"/>
        <v>21000</v>
      </c>
      <c r="F19" s="99"/>
      <c r="G19" s="99">
        <f t="shared" si="31"/>
        <v>0</v>
      </c>
      <c r="H19" s="99">
        <f t="shared" si="32"/>
        <v>0</v>
      </c>
      <c r="I19" s="99">
        <f t="shared" si="4"/>
        <v>0</v>
      </c>
      <c r="J19" s="99">
        <f t="shared" si="5"/>
        <v>5071</v>
      </c>
      <c r="K19" s="99">
        <f t="shared" si="6"/>
        <v>7913</v>
      </c>
      <c r="L19" s="135">
        <f t="shared" si="7"/>
        <v>1000</v>
      </c>
      <c r="M19" s="135"/>
      <c r="N19" s="135">
        <f t="shared" si="8"/>
        <v>1561482.0899999999</v>
      </c>
      <c r="O19" s="136">
        <f t="shared" si="9"/>
        <v>7895239.6199999992</v>
      </c>
      <c r="P19" s="25"/>
      <c r="Q19" s="135">
        <f t="shared" si="10"/>
        <v>610125</v>
      </c>
      <c r="R19" s="32">
        <v>610125</v>
      </c>
      <c r="S19" s="156">
        <v>20598258</v>
      </c>
      <c r="T19" s="156">
        <v>6220674</v>
      </c>
      <c r="U19" s="155">
        <f t="shared" si="11"/>
        <v>26818932</v>
      </c>
      <c r="V19" s="40"/>
      <c r="W19" s="40"/>
      <c r="X19" s="46">
        <f t="shared" si="12"/>
        <v>0</v>
      </c>
      <c r="Y19" s="183">
        <f t="shared" si="13"/>
        <v>35324296.619999997</v>
      </c>
      <c r="Z19" s="49" t="s">
        <v>140</v>
      </c>
      <c r="AA19" s="100">
        <f t="shared" si="14"/>
        <v>0</v>
      </c>
      <c r="AB19" s="157">
        <f t="shared" si="15"/>
        <v>2088436</v>
      </c>
      <c r="AC19" s="176">
        <f t="shared" si="16"/>
        <v>2160000</v>
      </c>
      <c r="AD19" s="176">
        <f t="shared" si="17"/>
        <v>652320</v>
      </c>
      <c r="AE19" s="34">
        <f t="shared" si="18"/>
        <v>0</v>
      </c>
      <c r="AF19">
        <f t="shared" si="19"/>
        <v>0</v>
      </c>
      <c r="AG19" s="46">
        <v>252000</v>
      </c>
      <c r="AH19" s="158">
        <f t="shared" si="20"/>
        <v>5152756</v>
      </c>
      <c r="AI19" s="40"/>
      <c r="AJ19" s="37">
        <v>150000</v>
      </c>
      <c r="AK19" s="18"/>
      <c r="AL19" s="111">
        <f t="shared" si="21"/>
        <v>150000</v>
      </c>
      <c r="AM19" s="111"/>
      <c r="AN19" s="111"/>
      <c r="AO19" s="111"/>
      <c r="AP19" s="111"/>
      <c r="AQ19" s="111">
        <f t="shared" si="22"/>
        <v>40627052.619999997</v>
      </c>
      <c r="AR19" s="159" t="s">
        <v>140</v>
      </c>
      <c r="AS19" s="40"/>
      <c r="AT19" s="159"/>
      <c r="AU19" s="159"/>
      <c r="AV19" s="160">
        <f t="shared" si="23"/>
        <v>0</v>
      </c>
      <c r="AW19" s="252"/>
      <c r="AX19" s="159"/>
      <c r="AY19" s="252"/>
      <c r="AZ19" s="255"/>
      <c r="BA19" s="198">
        <v>13880.84</v>
      </c>
      <c r="BB19" s="269"/>
      <c r="BC19" s="270">
        <f t="shared" si="33"/>
        <v>13880.84</v>
      </c>
      <c r="BD19" s="159" t="s">
        <v>140</v>
      </c>
      <c r="BE19" s="211">
        <v>249765.19999999995</v>
      </c>
      <c r="BF19" s="98">
        <v>21000</v>
      </c>
      <c r="BG19" s="99"/>
      <c r="BH19" s="99"/>
      <c r="BI19" s="99"/>
      <c r="BJ19" s="46">
        <v>4924</v>
      </c>
      <c r="BK19" s="46">
        <v>7913</v>
      </c>
      <c r="BL19" s="46">
        <v>1000</v>
      </c>
      <c r="BM19" s="55"/>
      <c r="BN19" s="46">
        <v>1296482.0899999999</v>
      </c>
      <c r="BO19" s="247">
        <f t="shared" si="24"/>
        <v>1581084.2899999998</v>
      </c>
      <c r="BP19" s="99">
        <v>36000</v>
      </c>
      <c r="BQ19" s="99">
        <v>0</v>
      </c>
      <c r="BR19" s="46"/>
      <c r="BS19" s="227">
        <v>183540</v>
      </c>
      <c r="BT19" s="45"/>
      <c r="BU19" s="45"/>
      <c r="BV19" s="227">
        <v>0</v>
      </c>
      <c r="BW19" s="227">
        <v>0</v>
      </c>
      <c r="BX19" s="45"/>
      <c r="BY19" s="45">
        <v>147</v>
      </c>
      <c r="BZ19" s="45">
        <v>0</v>
      </c>
      <c r="CA19" s="45">
        <v>0</v>
      </c>
      <c r="CB19" s="45">
        <v>602856.70000000007</v>
      </c>
      <c r="CC19" s="45">
        <v>265000</v>
      </c>
      <c r="CD19" s="45"/>
      <c r="CE19" s="100"/>
      <c r="CF19" s="100"/>
      <c r="CG19" s="100">
        <v>0</v>
      </c>
      <c r="CH19" s="176">
        <v>30000</v>
      </c>
      <c r="CI19" s="100">
        <v>0</v>
      </c>
      <c r="CJ19" s="176">
        <v>0</v>
      </c>
      <c r="CK19" s="100">
        <v>0</v>
      </c>
      <c r="CL19" s="100"/>
      <c r="CM19" s="46"/>
      <c r="CN19" s="46"/>
      <c r="CO19" s="46">
        <v>0</v>
      </c>
      <c r="CP19" s="46">
        <v>2168379.48</v>
      </c>
      <c r="CQ19" s="67">
        <v>0</v>
      </c>
      <c r="CR19" s="67">
        <v>0</v>
      </c>
      <c r="CS19" s="67"/>
      <c r="CT19" s="67"/>
      <c r="CU19" s="100"/>
      <c r="CV19" s="100"/>
      <c r="CW19" s="100"/>
      <c r="CX19" s="100">
        <v>0</v>
      </c>
      <c r="CY19" s="100">
        <v>0</v>
      </c>
      <c r="CZ19" s="100"/>
      <c r="DA19" s="100">
        <v>0</v>
      </c>
      <c r="DB19" s="231"/>
      <c r="DC19" s="46"/>
      <c r="DD19" s="100"/>
      <c r="DE19" s="100"/>
      <c r="DF19" s="100"/>
      <c r="DG19" s="100"/>
      <c r="DH19" s="100"/>
      <c r="DI19" s="100"/>
      <c r="DJ19" s="100"/>
      <c r="DK19" s="231"/>
      <c r="DL19" s="100"/>
      <c r="DM19" s="100"/>
      <c r="DN19" s="100"/>
      <c r="DO19" s="100"/>
      <c r="DP19" s="100"/>
      <c r="DQ19" s="211"/>
      <c r="DR19" s="231"/>
      <c r="DS19" s="100"/>
      <c r="DT19" s="100"/>
      <c r="DU19" s="100"/>
      <c r="DV19" s="211"/>
      <c r="DW19" s="100"/>
      <c r="DX19" s="100"/>
      <c r="DY19" s="100"/>
      <c r="DZ19" s="100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89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40">
        <f t="shared" si="1"/>
        <v>3028232.15</v>
      </c>
      <c r="FO19" s="46"/>
      <c r="FP19" s="46"/>
      <c r="FQ19" s="33">
        <v>606488.4</v>
      </c>
      <c r="FR19" s="173">
        <v>174665.5</v>
      </c>
      <c r="FS19" s="40"/>
      <c r="FT19" s="33">
        <v>2247078.25</v>
      </c>
      <c r="FU19" s="207">
        <f t="shared" si="25"/>
        <v>0</v>
      </c>
      <c r="FV19" s="232"/>
      <c r="FW19" s="232"/>
      <c r="FX19" s="173"/>
      <c r="FY19" s="32">
        <f t="shared" si="26"/>
        <v>0</v>
      </c>
      <c r="FZ19" s="273"/>
      <c r="GA19" s="173">
        <v>0</v>
      </c>
      <c r="GB19" s="206">
        <v>0</v>
      </c>
      <c r="GC19" s="173"/>
      <c r="GD19" s="173"/>
      <c r="GE19" s="281"/>
      <c r="GF19" s="49" t="s">
        <v>140</v>
      </c>
      <c r="GG19" s="38">
        <f t="shared" si="2"/>
        <v>5425756</v>
      </c>
      <c r="GH19" s="161"/>
      <c r="GI19" s="162"/>
      <c r="GJ19" s="162"/>
      <c r="GK19" s="163"/>
      <c r="GL19" s="40">
        <f t="shared" si="27"/>
        <v>2088436</v>
      </c>
      <c r="GM19" s="98"/>
      <c r="GN19" s="98"/>
      <c r="GO19" s="98"/>
      <c r="GP19" s="98"/>
      <c r="GQ19" s="111">
        <f t="shared" si="28"/>
        <v>0</v>
      </c>
      <c r="GR19" s="33">
        <v>1708436</v>
      </c>
      <c r="GS19" s="98"/>
      <c r="GT19" s="260">
        <v>380000</v>
      </c>
      <c r="GU19" s="98"/>
      <c r="GV19" s="98"/>
      <c r="GW19" s="98">
        <v>2160000</v>
      </c>
      <c r="GX19" s="98">
        <v>652320</v>
      </c>
      <c r="GY19" s="98">
        <v>0</v>
      </c>
      <c r="GZ19" s="98">
        <v>0</v>
      </c>
      <c r="HA19" s="98"/>
      <c r="HB19" s="46"/>
      <c r="HC19" s="32"/>
      <c r="HD19" s="32"/>
      <c r="HE19" s="18"/>
      <c r="HF19" s="159" t="s">
        <v>140</v>
      </c>
      <c r="HG19" s="34">
        <f t="shared" si="29"/>
        <v>10708816.619999999</v>
      </c>
      <c r="HH19" s="34">
        <f t="shared" si="30"/>
        <v>40627052.619999997</v>
      </c>
    </row>
    <row r="20" spans="1:216" ht="15" customHeight="1">
      <c r="A20" s="18">
        <v>20</v>
      </c>
      <c r="B20" s="45" t="s">
        <v>141</v>
      </c>
      <c r="C20" s="97"/>
      <c r="D20" s="98">
        <f t="shared" si="3"/>
        <v>5047063.1600000011</v>
      </c>
      <c r="E20" s="98">
        <f t="shared" si="0"/>
        <v>0</v>
      </c>
      <c r="F20" s="99"/>
      <c r="G20" s="99">
        <f t="shared" si="31"/>
        <v>0</v>
      </c>
      <c r="H20" s="99">
        <f t="shared" si="32"/>
        <v>0</v>
      </c>
      <c r="I20" s="99">
        <f t="shared" si="4"/>
        <v>0</v>
      </c>
      <c r="J20" s="99">
        <f t="shared" si="5"/>
        <v>3608</v>
      </c>
      <c r="K20" s="99">
        <f t="shared" si="6"/>
        <v>2241</v>
      </c>
      <c r="L20" s="135">
        <f t="shared" si="7"/>
        <v>1350.29</v>
      </c>
      <c r="M20" s="135"/>
      <c r="N20" s="135">
        <f t="shared" si="8"/>
        <v>85409.60000000002</v>
      </c>
      <c r="O20" s="136">
        <f t="shared" si="9"/>
        <v>5139672.0500000007</v>
      </c>
      <c r="P20" s="18"/>
      <c r="Q20" s="135">
        <f t="shared" si="10"/>
        <v>211875</v>
      </c>
      <c r="R20" s="32">
        <v>211875</v>
      </c>
      <c r="S20" s="135">
        <v>11435164</v>
      </c>
      <c r="T20" s="135">
        <v>3453419</v>
      </c>
      <c r="U20" s="55">
        <f t="shared" si="11"/>
        <v>14888583</v>
      </c>
      <c r="V20" s="46"/>
      <c r="W20" s="46"/>
      <c r="X20" s="46">
        <f t="shared" si="12"/>
        <v>0</v>
      </c>
      <c r="Y20" s="183">
        <f t="shared" si="13"/>
        <v>20240130.050000001</v>
      </c>
      <c r="Z20" s="45" t="s">
        <v>141</v>
      </c>
      <c r="AA20" s="100">
        <f t="shared" si="14"/>
        <v>0</v>
      </c>
      <c r="AB20" s="101">
        <f t="shared" si="15"/>
        <v>947132.23</v>
      </c>
      <c r="AC20" s="176">
        <f t="shared" si="16"/>
        <v>1080000</v>
      </c>
      <c r="AD20" s="176">
        <f t="shared" si="17"/>
        <v>326160</v>
      </c>
      <c r="AE20" s="34">
        <f t="shared" si="18"/>
        <v>0</v>
      </c>
      <c r="AF20">
        <f t="shared" si="19"/>
        <v>0</v>
      </c>
      <c r="AG20" s="46">
        <v>81000</v>
      </c>
      <c r="AH20" s="104">
        <f t="shared" si="20"/>
        <v>2434292.23</v>
      </c>
      <c r="AI20" s="105"/>
      <c r="AJ20" s="37">
        <v>258000</v>
      </c>
      <c r="AK20" s="18"/>
      <c r="AL20" s="109">
        <f t="shared" si="21"/>
        <v>258000</v>
      </c>
      <c r="AM20" s="143"/>
      <c r="AN20" s="107"/>
      <c r="AO20" s="107"/>
      <c r="AP20" s="107"/>
      <c r="AQ20" s="111">
        <f t="shared" si="22"/>
        <v>22932422.280000001</v>
      </c>
      <c r="AR20" s="67" t="s">
        <v>141</v>
      </c>
      <c r="AS20" s="100"/>
      <c r="AT20" s="67"/>
      <c r="AU20" s="67"/>
      <c r="AV20" s="31">
        <f t="shared" si="23"/>
        <v>0</v>
      </c>
      <c r="AW20" s="253"/>
      <c r="AX20" s="67"/>
      <c r="AY20" s="253"/>
      <c r="AZ20" s="256"/>
      <c r="BA20" s="198">
        <v>17954.29</v>
      </c>
      <c r="BB20" s="269"/>
      <c r="BC20" s="270">
        <f t="shared" si="33"/>
        <v>17954.29</v>
      </c>
      <c r="BD20" s="67" t="s">
        <v>141</v>
      </c>
      <c r="BE20" s="211">
        <v>1201761.2</v>
      </c>
      <c r="BF20" s="98">
        <v>0</v>
      </c>
      <c r="BG20" s="99"/>
      <c r="BH20" s="99"/>
      <c r="BI20" s="99"/>
      <c r="BJ20" s="46">
        <v>3608</v>
      </c>
      <c r="BK20" s="46">
        <v>405</v>
      </c>
      <c r="BL20" s="46">
        <v>1156</v>
      </c>
      <c r="BM20" s="55"/>
      <c r="BN20" s="46">
        <v>85409.60000000002</v>
      </c>
      <c r="BO20" s="247">
        <f t="shared" si="24"/>
        <v>1292339.8</v>
      </c>
      <c r="BP20" s="99">
        <v>906542</v>
      </c>
      <c r="BQ20" s="99">
        <v>0</v>
      </c>
      <c r="BR20" s="46"/>
      <c r="BS20" s="227">
        <v>18815.199999999997</v>
      </c>
      <c r="BT20" s="45"/>
      <c r="BU20" s="45"/>
      <c r="BV20" s="227">
        <v>0</v>
      </c>
      <c r="BW20" s="227">
        <v>0</v>
      </c>
      <c r="BX20" s="45"/>
      <c r="BY20" s="45">
        <v>0</v>
      </c>
      <c r="BZ20" s="45">
        <v>1836</v>
      </c>
      <c r="CA20" s="45">
        <v>194.29</v>
      </c>
      <c r="CB20" s="45">
        <v>349029.62</v>
      </c>
      <c r="CC20" s="45">
        <v>0</v>
      </c>
      <c r="CD20" s="45"/>
      <c r="CE20" s="100"/>
      <c r="CF20" s="100"/>
      <c r="CG20" s="100">
        <v>0</v>
      </c>
      <c r="CH20" s="176">
        <v>30000</v>
      </c>
      <c r="CI20" s="100">
        <v>0</v>
      </c>
      <c r="CJ20" s="176">
        <v>98472.92</v>
      </c>
      <c r="CK20" s="100">
        <v>0</v>
      </c>
      <c r="CL20" s="100"/>
      <c r="CM20" s="46"/>
      <c r="CN20" s="46"/>
      <c r="CO20" s="46">
        <v>65115</v>
      </c>
      <c r="CP20" s="46">
        <v>781069.28</v>
      </c>
      <c r="CQ20" s="67">
        <v>0</v>
      </c>
      <c r="CR20" s="67">
        <v>357685.24</v>
      </c>
      <c r="CS20" s="67"/>
      <c r="CT20" s="67"/>
      <c r="CU20" s="100"/>
      <c r="CV20" s="100"/>
      <c r="CW20" s="100"/>
      <c r="CX20" s="100">
        <v>454274.58</v>
      </c>
      <c r="CY20" s="100">
        <v>0</v>
      </c>
      <c r="CZ20" s="100"/>
      <c r="DA20" s="100">
        <v>0</v>
      </c>
      <c r="DB20" s="231"/>
      <c r="DC20" s="46"/>
      <c r="DD20" s="100"/>
      <c r="DE20" s="100"/>
      <c r="DF20" s="100"/>
      <c r="DG20" s="100"/>
      <c r="DH20" s="100"/>
      <c r="DI20" s="100"/>
      <c r="DJ20" s="100"/>
      <c r="DK20" s="231"/>
      <c r="DL20" s="100"/>
      <c r="DM20" s="100"/>
      <c r="DN20" s="100"/>
      <c r="DO20" s="100"/>
      <c r="DP20" s="100"/>
      <c r="DQ20" s="211"/>
      <c r="DR20" s="231"/>
      <c r="DS20" s="100"/>
      <c r="DT20" s="100"/>
      <c r="DU20" s="100"/>
      <c r="DV20" s="211"/>
      <c r="DW20" s="100"/>
      <c r="DX20" s="100"/>
      <c r="DY20" s="100"/>
      <c r="DZ20" s="100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89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40">
        <f t="shared" si="1"/>
        <v>784298.12000000011</v>
      </c>
      <c r="FO20" s="46"/>
      <c r="FP20" s="46"/>
      <c r="FQ20" s="33"/>
      <c r="FR20" s="173">
        <v>21831.25</v>
      </c>
      <c r="FS20" s="33"/>
      <c r="FT20" s="33">
        <v>762466.87000000011</v>
      </c>
      <c r="FU20" s="207">
        <f t="shared" si="25"/>
        <v>0</v>
      </c>
      <c r="FV20" s="232"/>
      <c r="FW20" s="232"/>
      <c r="FX20" s="173"/>
      <c r="FY20" s="32">
        <f t="shared" si="26"/>
        <v>0</v>
      </c>
      <c r="FZ20" s="273"/>
      <c r="GA20" s="173">
        <v>0</v>
      </c>
      <c r="GB20" s="206">
        <v>0</v>
      </c>
      <c r="GC20" s="173"/>
      <c r="GD20" s="173"/>
      <c r="GE20" s="281"/>
      <c r="GF20" s="49" t="s">
        <v>141</v>
      </c>
      <c r="GG20" s="38">
        <f t="shared" si="2"/>
        <v>2515292.23</v>
      </c>
      <c r="GH20" s="38"/>
      <c r="GI20" s="37"/>
      <c r="GJ20" s="37"/>
      <c r="GK20" s="78"/>
      <c r="GL20" s="40">
        <f t="shared" si="27"/>
        <v>947132.23</v>
      </c>
      <c r="GM20" s="98"/>
      <c r="GN20" s="98"/>
      <c r="GO20" s="98"/>
      <c r="GP20" s="98"/>
      <c r="GQ20" s="111">
        <f t="shared" si="28"/>
        <v>0</v>
      </c>
      <c r="GR20" s="33">
        <v>591814</v>
      </c>
      <c r="GS20" s="98"/>
      <c r="GT20" s="260">
        <v>355318.23</v>
      </c>
      <c r="GU20" s="98"/>
      <c r="GV20" s="98"/>
      <c r="GW20" s="98">
        <v>1080000</v>
      </c>
      <c r="GX20" s="98">
        <v>326160</v>
      </c>
      <c r="GY20" s="98">
        <v>0</v>
      </c>
      <c r="GZ20" s="98">
        <v>0</v>
      </c>
      <c r="HA20" s="98"/>
      <c r="HB20" s="46"/>
      <c r="HC20" s="32"/>
      <c r="HD20" s="32"/>
      <c r="HE20" s="18"/>
      <c r="HF20" s="67" t="s">
        <v>141</v>
      </c>
      <c r="HG20" s="34">
        <f t="shared" si="29"/>
        <v>6549479.9900000002</v>
      </c>
      <c r="HH20" s="34">
        <f t="shared" si="30"/>
        <v>22932422.280000001</v>
      </c>
    </row>
    <row r="21" spans="1:216" ht="15" customHeight="1">
      <c r="A21" s="18">
        <v>21</v>
      </c>
      <c r="B21" s="45" t="s">
        <v>142</v>
      </c>
      <c r="C21" s="97"/>
      <c r="D21" s="98">
        <f t="shared" si="3"/>
        <v>6790552.5999999996</v>
      </c>
      <c r="E21" s="98">
        <f t="shared" si="0"/>
        <v>0</v>
      </c>
      <c r="F21" s="99"/>
      <c r="G21" s="99">
        <f t="shared" si="31"/>
        <v>0</v>
      </c>
      <c r="H21" s="99">
        <f t="shared" si="32"/>
        <v>0</v>
      </c>
      <c r="I21" s="99">
        <f t="shared" si="4"/>
        <v>0</v>
      </c>
      <c r="J21" s="99">
        <f t="shared" si="5"/>
        <v>0</v>
      </c>
      <c r="K21" s="99">
        <f t="shared" si="6"/>
        <v>2720</v>
      </c>
      <c r="L21" s="135">
        <f t="shared" si="7"/>
        <v>1578.05</v>
      </c>
      <c r="M21" s="135"/>
      <c r="N21" s="135">
        <f t="shared" si="8"/>
        <v>482337.75999999995</v>
      </c>
      <c r="O21" s="136">
        <f t="shared" si="9"/>
        <v>7277188.4099999992</v>
      </c>
      <c r="P21" s="18"/>
      <c r="Q21" s="135">
        <f t="shared" si="10"/>
        <v>361750</v>
      </c>
      <c r="R21" s="32">
        <v>361750</v>
      </c>
      <c r="S21" s="135">
        <v>14965738</v>
      </c>
      <c r="T21" s="135">
        <v>4519653</v>
      </c>
      <c r="U21" s="55">
        <f t="shared" si="11"/>
        <v>19485391</v>
      </c>
      <c r="V21" s="46"/>
      <c r="W21" s="46"/>
      <c r="X21" s="46">
        <f t="shared" si="12"/>
        <v>0</v>
      </c>
      <c r="Y21" s="183">
        <f t="shared" si="13"/>
        <v>27124329.41</v>
      </c>
      <c r="Z21" s="45" t="s">
        <v>142</v>
      </c>
      <c r="AA21" s="100">
        <f t="shared" si="14"/>
        <v>0</v>
      </c>
      <c r="AB21" s="101">
        <f t="shared" si="15"/>
        <v>966556</v>
      </c>
      <c r="AC21" s="176">
        <f t="shared" si="16"/>
        <v>1329977.73</v>
      </c>
      <c r="AD21" s="176">
        <f t="shared" si="17"/>
        <v>401653.27</v>
      </c>
      <c r="AE21" s="34">
        <f t="shared" si="18"/>
        <v>0</v>
      </c>
      <c r="AF21">
        <f t="shared" si="19"/>
        <v>8696762.3499999996</v>
      </c>
      <c r="AG21" s="46">
        <v>171000</v>
      </c>
      <c r="AH21" s="104">
        <f t="shared" si="20"/>
        <v>11565949.35</v>
      </c>
      <c r="AI21" s="105"/>
      <c r="AJ21" s="37">
        <v>1101480</v>
      </c>
      <c r="AK21" s="18"/>
      <c r="AL21" s="109">
        <f t="shared" si="21"/>
        <v>1101480</v>
      </c>
      <c r="AM21" s="143"/>
      <c r="AN21" s="107"/>
      <c r="AO21" s="107"/>
      <c r="AP21" s="107"/>
      <c r="AQ21" s="111">
        <f t="shared" si="22"/>
        <v>39791758.759999998</v>
      </c>
      <c r="AR21" s="67" t="s">
        <v>142</v>
      </c>
      <c r="AS21" s="151"/>
      <c r="AT21" s="67"/>
      <c r="AU21" s="67"/>
      <c r="AV21" s="31">
        <f t="shared" si="23"/>
        <v>0</v>
      </c>
      <c r="AW21" s="253"/>
      <c r="AX21" s="67"/>
      <c r="AY21" s="253">
        <v>329558.34000000003</v>
      </c>
      <c r="AZ21" s="256"/>
      <c r="BA21" s="198">
        <v>59796.59</v>
      </c>
      <c r="BB21" s="269"/>
      <c r="BC21" s="270">
        <f t="shared" si="33"/>
        <v>389354.93000000005</v>
      </c>
      <c r="BD21" s="67" t="s">
        <v>142</v>
      </c>
      <c r="BE21" s="211">
        <v>227584.12</v>
      </c>
      <c r="BF21" s="98">
        <v>0</v>
      </c>
      <c r="BG21" s="99"/>
      <c r="BH21" s="99"/>
      <c r="BI21" s="99"/>
      <c r="BJ21" s="46">
        <v>0</v>
      </c>
      <c r="BK21" s="46">
        <v>2720</v>
      </c>
      <c r="BL21" s="46">
        <v>1256</v>
      </c>
      <c r="BM21" s="55"/>
      <c r="BN21" s="46">
        <v>422337.75999999995</v>
      </c>
      <c r="BO21" s="247">
        <f t="shared" si="24"/>
        <v>653897.87999999989</v>
      </c>
      <c r="BP21" s="99">
        <v>1800000</v>
      </c>
      <c r="BQ21" s="99">
        <v>0</v>
      </c>
      <c r="BR21" s="46"/>
      <c r="BS21" s="227">
        <v>66730</v>
      </c>
      <c r="BT21" s="45"/>
      <c r="BU21" s="45"/>
      <c r="BV21" s="227">
        <v>15000</v>
      </c>
      <c r="BW21" s="227">
        <v>0</v>
      </c>
      <c r="BX21" s="45"/>
      <c r="BY21" s="45">
        <v>0</v>
      </c>
      <c r="BZ21" s="45">
        <v>0</v>
      </c>
      <c r="CA21" s="45">
        <v>322.05</v>
      </c>
      <c r="CB21" s="45">
        <v>536452.03</v>
      </c>
      <c r="CC21" s="45">
        <v>60000</v>
      </c>
      <c r="CD21" s="45"/>
      <c r="CE21" s="100"/>
      <c r="CF21" s="100"/>
      <c r="CG21" s="100">
        <v>0</v>
      </c>
      <c r="CH21" s="176">
        <v>30000</v>
      </c>
      <c r="CI21" s="100">
        <v>0</v>
      </c>
      <c r="CJ21" s="176">
        <v>0</v>
      </c>
      <c r="CK21" s="100">
        <v>0</v>
      </c>
      <c r="CL21" s="100"/>
      <c r="CM21" s="46"/>
      <c r="CN21" s="46"/>
      <c r="CO21" s="46">
        <v>186000</v>
      </c>
      <c r="CP21" s="46">
        <v>2527626.44</v>
      </c>
      <c r="CQ21" s="67">
        <v>0</v>
      </c>
      <c r="CR21" s="67">
        <v>0</v>
      </c>
      <c r="CS21" s="67"/>
      <c r="CT21" s="67"/>
      <c r="CU21" s="100"/>
      <c r="CV21" s="100"/>
      <c r="CW21" s="100"/>
      <c r="CX21" s="100">
        <v>0</v>
      </c>
      <c r="CY21" s="100">
        <v>0</v>
      </c>
      <c r="CZ21" s="100"/>
      <c r="DA21" s="100">
        <v>0</v>
      </c>
      <c r="DB21" s="231"/>
      <c r="DC21" s="46"/>
      <c r="DD21" s="100"/>
      <c r="DE21" s="100"/>
      <c r="DF21" s="100"/>
      <c r="DG21" s="100"/>
      <c r="DH21" s="100"/>
      <c r="DI21" s="100"/>
      <c r="DJ21" s="100"/>
      <c r="DK21" s="231"/>
      <c r="DL21" s="100"/>
      <c r="DM21" s="100"/>
      <c r="DN21" s="100"/>
      <c r="DO21" s="100"/>
      <c r="DP21" s="100"/>
      <c r="DQ21" s="211"/>
      <c r="DR21" s="231"/>
      <c r="DS21" s="100"/>
      <c r="DT21" s="100"/>
      <c r="DU21" s="100"/>
      <c r="DV21" s="211"/>
      <c r="DW21" s="100"/>
      <c r="DX21" s="100"/>
      <c r="DY21" s="100"/>
      <c r="DZ21" s="100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89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40">
        <f t="shared" si="1"/>
        <v>1401160.01</v>
      </c>
      <c r="FO21" s="46"/>
      <c r="FP21" s="46"/>
      <c r="FQ21" s="33">
        <v>273659.40000000002</v>
      </c>
      <c r="FR21" s="173">
        <v>390134.5</v>
      </c>
      <c r="FS21" s="33"/>
      <c r="FT21" s="33">
        <v>737366.11</v>
      </c>
      <c r="FU21" s="207">
        <f t="shared" si="25"/>
        <v>0</v>
      </c>
      <c r="FV21" s="232"/>
      <c r="FW21" s="232"/>
      <c r="FX21" s="173"/>
      <c r="FY21" s="32">
        <f t="shared" si="26"/>
        <v>8696762.3499999996</v>
      </c>
      <c r="FZ21" s="273"/>
      <c r="GA21" s="173">
        <v>0</v>
      </c>
      <c r="GB21" s="206">
        <v>8696762.3499999996</v>
      </c>
      <c r="GC21" s="173"/>
      <c r="GD21" s="173"/>
      <c r="GE21" s="281"/>
      <c r="GF21" s="49" t="s">
        <v>142</v>
      </c>
      <c r="GG21" s="38">
        <f t="shared" si="2"/>
        <v>11736949.35</v>
      </c>
      <c r="GH21" s="38"/>
      <c r="GI21" s="37"/>
      <c r="GJ21" s="37"/>
      <c r="GK21" s="78"/>
      <c r="GL21" s="40">
        <f t="shared" si="27"/>
        <v>966556</v>
      </c>
      <c r="GM21" s="98"/>
      <c r="GN21" s="98"/>
      <c r="GO21" s="98"/>
      <c r="GP21" s="98"/>
      <c r="GQ21" s="111">
        <f t="shared" si="28"/>
        <v>0</v>
      </c>
      <c r="GR21" s="33">
        <v>578058</v>
      </c>
      <c r="GS21" s="98"/>
      <c r="GT21" s="260">
        <v>388498</v>
      </c>
      <c r="GU21" s="98"/>
      <c r="GV21" s="32"/>
      <c r="GW21" s="32">
        <v>1080000</v>
      </c>
      <c r="GX21" s="32">
        <v>326160</v>
      </c>
      <c r="GY21" s="32">
        <v>189977.73</v>
      </c>
      <c r="GZ21" s="32">
        <v>57373.26999999999</v>
      </c>
      <c r="HA21" s="32">
        <v>60000</v>
      </c>
      <c r="HB21" s="33">
        <v>18120</v>
      </c>
      <c r="HC21" s="32"/>
      <c r="HD21" s="32"/>
      <c r="HE21" s="18"/>
      <c r="HF21" s="67" t="s">
        <v>142</v>
      </c>
      <c r="HG21" s="34">
        <f t="shared" si="29"/>
        <v>9702676.3599999994</v>
      </c>
      <c r="HH21" s="34">
        <f t="shared" si="30"/>
        <v>39791758.759999998</v>
      </c>
    </row>
    <row r="22" spans="1:216" ht="15" customHeight="1">
      <c r="A22" s="18">
        <v>22</v>
      </c>
      <c r="B22" s="45" t="s">
        <v>143</v>
      </c>
      <c r="C22" s="97"/>
      <c r="D22" s="98">
        <f t="shared" si="3"/>
        <v>4445985.0799999991</v>
      </c>
      <c r="E22" s="98">
        <f t="shared" si="0"/>
        <v>51035.6</v>
      </c>
      <c r="F22" s="99"/>
      <c r="G22" s="99">
        <f t="shared" si="31"/>
        <v>0</v>
      </c>
      <c r="H22" s="99">
        <f t="shared" si="32"/>
        <v>0</v>
      </c>
      <c r="I22" s="99">
        <f t="shared" si="4"/>
        <v>0</v>
      </c>
      <c r="J22" s="99">
        <f t="shared" si="5"/>
        <v>0</v>
      </c>
      <c r="K22" s="99">
        <f t="shared" si="6"/>
        <v>6195</v>
      </c>
      <c r="L22" s="135">
        <f t="shared" si="7"/>
        <v>1000</v>
      </c>
      <c r="M22" s="135"/>
      <c r="N22" s="135">
        <f t="shared" si="8"/>
        <v>1371608.7000000002</v>
      </c>
      <c r="O22" s="136">
        <f t="shared" si="9"/>
        <v>5875824.379999999</v>
      </c>
      <c r="P22" s="18"/>
      <c r="Q22" s="135">
        <f t="shared" si="10"/>
        <v>716500</v>
      </c>
      <c r="R22" s="32">
        <v>716500</v>
      </c>
      <c r="S22" s="135">
        <v>22733824</v>
      </c>
      <c r="T22" s="135">
        <v>6865615</v>
      </c>
      <c r="U22" s="55">
        <f t="shared" si="11"/>
        <v>29599439</v>
      </c>
      <c r="V22" s="46"/>
      <c r="W22" s="46"/>
      <c r="X22" s="46">
        <f t="shared" si="12"/>
        <v>0</v>
      </c>
      <c r="Y22" s="183">
        <f t="shared" si="13"/>
        <v>36191763.379999995</v>
      </c>
      <c r="Z22" s="45" t="s">
        <v>143</v>
      </c>
      <c r="AA22" s="100">
        <f t="shared" si="14"/>
        <v>0</v>
      </c>
      <c r="AB22" s="101">
        <f t="shared" si="15"/>
        <v>1683460</v>
      </c>
      <c r="AC22" s="176">
        <f t="shared" si="16"/>
        <v>2280000</v>
      </c>
      <c r="AD22" s="176">
        <f t="shared" si="17"/>
        <v>688560</v>
      </c>
      <c r="AE22" s="34">
        <f t="shared" si="18"/>
        <v>0</v>
      </c>
      <c r="AF22">
        <f t="shared" si="19"/>
        <v>19491890.389999997</v>
      </c>
      <c r="AG22" s="46">
        <v>270000</v>
      </c>
      <c r="AH22" s="104">
        <f t="shared" si="20"/>
        <v>24413910.389999997</v>
      </c>
      <c r="AI22" s="105"/>
      <c r="AJ22" s="37">
        <v>707000</v>
      </c>
      <c r="AK22" s="18"/>
      <c r="AL22" s="109">
        <f t="shared" si="21"/>
        <v>707000</v>
      </c>
      <c r="AM22" s="143"/>
      <c r="AN22" s="107"/>
      <c r="AO22" s="107"/>
      <c r="AP22" s="107"/>
      <c r="AQ22" s="111">
        <f t="shared" si="22"/>
        <v>61312673.769999996</v>
      </c>
      <c r="AR22" s="67" t="s">
        <v>143</v>
      </c>
      <c r="AS22" s="151"/>
      <c r="AT22" s="67"/>
      <c r="AU22" s="67"/>
      <c r="AV22" s="31">
        <f t="shared" si="23"/>
        <v>0</v>
      </c>
      <c r="AW22" s="253"/>
      <c r="AX22" s="67"/>
      <c r="AY22" s="253"/>
      <c r="AZ22" s="253">
        <v>380000</v>
      </c>
      <c r="BA22" s="198">
        <v>162288.57999999999</v>
      </c>
      <c r="BB22" s="269">
        <v>380000</v>
      </c>
      <c r="BC22" s="270">
        <f t="shared" si="33"/>
        <v>542288.57999999996</v>
      </c>
      <c r="BD22" s="67" t="s">
        <v>143</v>
      </c>
      <c r="BE22" s="211">
        <v>221784.12</v>
      </c>
      <c r="BF22" s="98">
        <v>51035.6</v>
      </c>
      <c r="BG22" s="99"/>
      <c r="BH22" s="99"/>
      <c r="BI22" s="99"/>
      <c r="BJ22" s="46">
        <v>0</v>
      </c>
      <c r="BK22" s="46">
        <v>3380</v>
      </c>
      <c r="BL22" s="46">
        <v>1000</v>
      </c>
      <c r="BM22" s="55"/>
      <c r="BN22" s="46">
        <v>1106608.7000000002</v>
      </c>
      <c r="BO22" s="247">
        <f t="shared" si="24"/>
        <v>1383808.4200000002</v>
      </c>
      <c r="BP22" s="99">
        <v>19000</v>
      </c>
      <c r="BQ22" s="99">
        <v>0</v>
      </c>
      <c r="BR22" s="46"/>
      <c r="BS22" s="227">
        <v>112880</v>
      </c>
      <c r="BT22" s="45"/>
      <c r="BU22" s="45"/>
      <c r="BV22" s="227">
        <v>0</v>
      </c>
      <c r="BW22" s="227">
        <v>0</v>
      </c>
      <c r="BX22" s="45"/>
      <c r="BY22" s="45">
        <v>0</v>
      </c>
      <c r="BZ22" s="45">
        <v>2815</v>
      </c>
      <c r="CA22" s="45">
        <v>0</v>
      </c>
      <c r="CB22" s="45">
        <v>418584.35000000003</v>
      </c>
      <c r="CC22" s="45">
        <v>265000</v>
      </c>
      <c r="CD22" s="45"/>
      <c r="CE22" s="100"/>
      <c r="CF22" s="100"/>
      <c r="CG22" s="100">
        <v>0</v>
      </c>
      <c r="CH22" s="176">
        <v>30000</v>
      </c>
      <c r="CI22" s="100">
        <v>0</v>
      </c>
      <c r="CJ22" s="176">
        <v>1315</v>
      </c>
      <c r="CK22" s="100">
        <v>0</v>
      </c>
      <c r="CL22" s="100"/>
      <c r="CM22" s="46"/>
      <c r="CN22" s="46"/>
      <c r="CO22" s="46">
        <v>0</v>
      </c>
      <c r="CP22" s="46">
        <v>122060.2</v>
      </c>
      <c r="CQ22" s="67">
        <v>0</v>
      </c>
      <c r="CR22" s="67">
        <v>0</v>
      </c>
      <c r="CS22" s="67"/>
      <c r="CT22" s="67"/>
      <c r="CU22" s="100"/>
      <c r="CV22" s="100"/>
      <c r="CW22" s="100"/>
      <c r="CX22" s="100">
        <v>0</v>
      </c>
      <c r="CY22" s="100">
        <v>0</v>
      </c>
      <c r="CZ22" s="100"/>
      <c r="DA22" s="100">
        <v>0</v>
      </c>
      <c r="DB22" s="231"/>
      <c r="DC22" s="46"/>
      <c r="DD22" s="100"/>
      <c r="DE22" s="100"/>
      <c r="DF22" s="100"/>
      <c r="DG22" s="100"/>
      <c r="DH22" s="100"/>
      <c r="DI22" s="100"/>
      <c r="DJ22" s="100"/>
      <c r="DK22" s="231"/>
      <c r="DL22" s="100"/>
      <c r="DM22" s="100"/>
      <c r="DN22" s="100"/>
      <c r="DO22" s="100"/>
      <c r="DP22" s="100"/>
      <c r="DQ22" s="211"/>
      <c r="DR22" s="231"/>
      <c r="DS22" s="100"/>
      <c r="DT22" s="100"/>
      <c r="DU22" s="100"/>
      <c r="DV22" s="211"/>
      <c r="DW22" s="100"/>
      <c r="DX22" s="100"/>
      <c r="DY22" s="100"/>
      <c r="DZ22" s="100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89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40">
        <f t="shared" si="1"/>
        <v>3520361.4099999992</v>
      </c>
      <c r="FO22" s="46"/>
      <c r="FP22" s="46"/>
      <c r="FQ22" s="33">
        <v>735030.45</v>
      </c>
      <c r="FR22" s="173">
        <v>295131.5</v>
      </c>
      <c r="FS22" s="33"/>
      <c r="FT22" s="33">
        <v>2490199.4599999995</v>
      </c>
      <c r="FU22" s="207">
        <f t="shared" si="25"/>
        <v>0</v>
      </c>
      <c r="FV22" s="232"/>
      <c r="FW22" s="232"/>
      <c r="FX22" s="173"/>
      <c r="FY22" s="32">
        <f t="shared" si="26"/>
        <v>19491890.389999997</v>
      </c>
      <c r="FZ22" s="273"/>
      <c r="GA22" s="173">
        <v>0</v>
      </c>
      <c r="GB22" s="206">
        <f>2495374.76+7468810+9535840-8134.37</f>
        <v>19491890.389999997</v>
      </c>
      <c r="GC22" s="173"/>
      <c r="GD22" s="173"/>
      <c r="GE22" s="281"/>
      <c r="GF22" s="45" t="s">
        <v>143</v>
      </c>
      <c r="GG22" s="38">
        <f t="shared" si="2"/>
        <v>24734945.989999998</v>
      </c>
      <c r="GH22" s="38"/>
      <c r="GI22" s="37"/>
      <c r="GJ22" s="37"/>
      <c r="GK22" s="78"/>
      <c r="GL22" s="40">
        <f t="shared" si="27"/>
        <v>1683460</v>
      </c>
      <c r="GM22" s="98"/>
      <c r="GN22" s="98"/>
      <c r="GO22" s="98"/>
      <c r="GP22" s="98"/>
      <c r="GQ22" s="111">
        <f t="shared" si="28"/>
        <v>0</v>
      </c>
      <c r="GR22" s="33">
        <v>1683460</v>
      </c>
      <c r="GS22" s="98"/>
      <c r="GT22" s="260"/>
      <c r="GU22" s="98"/>
      <c r="GV22" s="32"/>
      <c r="GW22" s="32">
        <v>2280000</v>
      </c>
      <c r="GX22" s="32">
        <v>688560</v>
      </c>
      <c r="GY22" s="32">
        <v>0</v>
      </c>
      <c r="GZ22" s="32">
        <v>0</v>
      </c>
      <c r="HA22" s="32"/>
      <c r="HB22" s="33"/>
      <c r="HC22" s="32"/>
      <c r="HD22" s="32"/>
      <c r="HE22" s="18"/>
      <c r="HF22" s="67" t="s">
        <v>143</v>
      </c>
      <c r="HG22" s="34">
        <f t="shared" si="29"/>
        <v>8924553.7799999993</v>
      </c>
      <c r="HH22" s="34">
        <f t="shared" si="30"/>
        <v>61312673.769999996</v>
      </c>
    </row>
    <row r="23" spans="1:216" ht="15" customHeight="1">
      <c r="A23" s="18">
        <v>24</v>
      </c>
      <c r="B23" s="45" t="s">
        <v>144</v>
      </c>
      <c r="C23" s="97"/>
      <c r="D23" s="98">
        <f t="shared" si="3"/>
        <v>7029745.5999999996</v>
      </c>
      <c r="E23" s="98">
        <f t="shared" si="0"/>
        <v>0</v>
      </c>
      <c r="F23" s="99"/>
      <c r="G23" s="99">
        <f t="shared" si="31"/>
        <v>0</v>
      </c>
      <c r="H23" s="99">
        <f t="shared" si="32"/>
        <v>0</v>
      </c>
      <c r="I23" s="99">
        <f t="shared" si="4"/>
        <v>0</v>
      </c>
      <c r="J23" s="99">
        <f t="shared" si="5"/>
        <v>14285</v>
      </c>
      <c r="K23" s="99">
        <f t="shared" si="6"/>
        <v>29378</v>
      </c>
      <c r="L23" s="135">
        <f t="shared" si="7"/>
        <v>2409.3000000000002</v>
      </c>
      <c r="M23" s="135"/>
      <c r="N23" s="135">
        <f t="shared" si="8"/>
        <v>352730.24</v>
      </c>
      <c r="O23" s="136">
        <f t="shared" si="9"/>
        <v>7428548.1399999997</v>
      </c>
      <c r="P23" s="18"/>
      <c r="Q23" s="135">
        <f t="shared" si="10"/>
        <v>335625</v>
      </c>
      <c r="R23" s="32">
        <v>335625</v>
      </c>
      <c r="S23" s="135">
        <v>16224336</v>
      </c>
      <c r="T23" s="135">
        <v>4899749</v>
      </c>
      <c r="U23" s="55">
        <f t="shared" si="11"/>
        <v>21124085</v>
      </c>
      <c r="V23" s="46"/>
      <c r="W23" s="46"/>
      <c r="X23" s="46">
        <f t="shared" si="12"/>
        <v>0</v>
      </c>
      <c r="Y23" s="183">
        <f t="shared" si="13"/>
        <v>28888258.140000001</v>
      </c>
      <c r="Z23" s="45" t="s">
        <v>144</v>
      </c>
      <c r="AA23" s="100">
        <f t="shared" si="14"/>
        <v>1199994.82</v>
      </c>
      <c r="AB23" s="101">
        <f t="shared" si="15"/>
        <v>1296503</v>
      </c>
      <c r="AC23" s="176">
        <f t="shared" si="16"/>
        <v>1200000</v>
      </c>
      <c r="AD23" s="176">
        <f t="shared" si="17"/>
        <v>362400</v>
      </c>
      <c r="AE23" s="34">
        <f t="shared" si="18"/>
        <v>0</v>
      </c>
      <c r="AF23">
        <f t="shared" si="19"/>
        <v>7672012.0499999998</v>
      </c>
      <c r="AG23" s="46">
        <v>180000</v>
      </c>
      <c r="AH23" s="104">
        <f t="shared" si="20"/>
        <v>11910909.870000001</v>
      </c>
      <c r="AI23" s="105"/>
      <c r="AJ23" s="37">
        <v>390000</v>
      </c>
      <c r="AK23" s="18"/>
      <c r="AL23" s="109">
        <f t="shared" si="21"/>
        <v>390000</v>
      </c>
      <c r="AM23" s="143"/>
      <c r="AN23" s="107"/>
      <c r="AO23" s="107"/>
      <c r="AP23" s="107"/>
      <c r="AQ23" s="111">
        <f t="shared" si="22"/>
        <v>41189168.010000005</v>
      </c>
      <c r="AR23" s="67" t="s">
        <v>144</v>
      </c>
      <c r="AS23" s="150"/>
      <c r="AT23" s="67"/>
      <c r="AU23" s="67"/>
      <c r="AV23" s="31">
        <f t="shared" si="23"/>
        <v>0</v>
      </c>
      <c r="AW23" s="253"/>
      <c r="AX23" s="67"/>
      <c r="AY23" s="253"/>
      <c r="AZ23" s="256"/>
      <c r="BA23" s="198">
        <v>14656.89</v>
      </c>
      <c r="BB23" s="269"/>
      <c r="BC23" s="270">
        <f t="shared" si="33"/>
        <v>14656.89</v>
      </c>
      <c r="BD23" s="67" t="s">
        <v>144</v>
      </c>
      <c r="BE23" s="211">
        <v>288446.27999999997</v>
      </c>
      <c r="BF23" s="98">
        <v>0</v>
      </c>
      <c r="BG23" s="99"/>
      <c r="BH23" s="99"/>
      <c r="BI23" s="99"/>
      <c r="BJ23" s="46">
        <v>14285</v>
      </c>
      <c r="BK23" s="46">
        <v>26378</v>
      </c>
      <c r="BL23" s="46">
        <v>1528</v>
      </c>
      <c r="BM23" s="55"/>
      <c r="BN23" s="46">
        <v>292730.23999999999</v>
      </c>
      <c r="BO23" s="247">
        <f t="shared" si="24"/>
        <v>623367.52</v>
      </c>
      <c r="BP23" s="99">
        <v>1401093</v>
      </c>
      <c r="BQ23" s="99">
        <v>0</v>
      </c>
      <c r="BR23" s="46"/>
      <c r="BS23" s="227">
        <v>225870</v>
      </c>
      <c r="BT23" s="45"/>
      <c r="BU23" s="45"/>
      <c r="BV23" s="227">
        <v>0</v>
      </c>
      <c r="BW23" s="227">
        <v>0</v>
      </c>
      <c r="BX23" s="45"/>
      <c r="BY23" s="45">
        <v>0</v>
      </c>
      <c r="BZ23" s="45">
        <v>0</v>
      </c>
      <c r="CA23" s="45">
        <v>881.3</v>
      </c>
      <c r="CB23" s="45">
        <v>1424026.3900000001</v>
      </c>
      <c r="CC23" s="45">
        <v>60000</v>
      </c>
      <c r="CD23" s="45"/>
      <c r="CE23" s="100"/>
      <c r="CF23" s="100"/>
      <c r="CG23" s="100">
        <v>0</v>
      </c>
      <c r="CH23" s="176">
        <v>30000</v>
      </c>
      <c r="CI23" s="100">
        <v>0</v>
      </c>
      <c r="CJ23" s="176">
        <v>0</v>
      </c>
      <c r="CK23" s="100">
        <v>0</v>
      </c>
      <c r="CL23" s="100"/>
      <c r="CM23" s="46"/>
      <c r="CN23" s="46"/>
      <c r="CO23" s="46">
        <v>0</v>
      </c>
      <c r="CP23" s="46">
        <v>922009.16</v>
      </c>
      <c r="CQ23" s="67">
        <v>0</v>
      </c>
      <c r="CR23" s="67">
        <v>99000</v>
      </c>
      <c r="CS23" s="67"/>
      <c r="CT23" s="67"/>
      <c r="CU23" s="100"/>
      <c r="CV23" s="100"/>
      <c r="CW23" s="100"/>
      <c r="CX23" s="100">
        <v>383921.27</v>
      </c>
      <c r="CY23" s="100">
        <v>3000</v>
      </c>
      <c r="CZ23" s="100"/>
      <c r="DA23" s="100">
        <v>0</v>
      </c>
      <c r="DB23" s="231"/>
      <c r="DC23" s="46"/>
      <c r="DD23" s="100"/>
      <c r="DE23" s="100"/>
      <c r="DF23" s="100"/>
      <c r="DG23" s="100"/>
      <c r="DH23" s="100"/>
      <c r="DI23" s="100"/>
      <c r="DJ23" s="100"/>
      <c r="DK23" s="231"/>
      <c r="DL23" s="100"/>
      <c r="DM23" s="100"/>
      <c r="DN23" s="100"/>
      <c r="DO23" s="100"/>
      <c r="DP23" s="100"/>
      <c r="DQ23" s="211"/>
      <c r="DR23" s="231"/>
      <c r="DS23" s="100"/>
      <c r="DT23" s="100"/>
      <c r="DU23" s="100"/>
      <c r="DV23" s="211"/>
      <c r="DW23" s="100"/>
      <c r="DX23" s="100"/>
      <c r="DY23" s="100"/>
      <c r="DZ23" s="100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89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40">
        <f t="shared" si="1"/>
        <v>2255379.5</v>
      </c>
      <c r="FO23" s="46"/>
      <c r="FP23" s="46"/>
      <c r="FQ23" s="33">
        <v>384602.4</v>
      </c>
      <c r="FR23" s="173">
        <v>617875.5</v>
      </c>
      <c r="FS23" s="33"/>
      <c r="FT23" s="33">
        <v>1252901.5999999999</v>
      </c>
      <c r="FU23" s="207">
        <f t="shared" si="25"/>
        <v>1199994.82</v>
      </c>
      <c r="FV23" s="232"/>
      <c r="FW23" s="232"/>
      <c r="FX23" s="173">
        <f>1200000-5.18</f>
        <v>1199994.82</v>
      </c>
      <c r="FY23" s="32">
        <f t="shared" si="26"/>
        <v>7672012.0499999998</v>
      </c>
      <c r="FZ23" s="273"/>
      <c r="GA23" s="173">
        <v>0</v>
      </c>
      <c r="GB23" s="206">
        <f>7749682.96-77670.91</f>
        <v>7672012.0499999998</v>
      </c>
      <c r="GC23" s="173"/>
      <c r="GD23" s="173"/>
      <c r="GE23" s="281"/>
      <c r="GF23" s="49" t="s">
        <v>144</v>
      </c>
      <c r="GG23" s="38">
        <f t="shared" si="2"/>
        <v>10890915.050000001</v>
      </c>
      <c r="GH23" s="38"/>
      <c r="GI23" s="37"/>
      <c r="GJ23" s="37"/>
      <c r="GK23" s="78"/>
      <c r="GL23" s="40">
        <f t="shared" si="27"/>
        <v>1296503</v>
      </c>
      <c r="GM23" s="98"/>
      <c r="GN23" s="98"/>
      <c r="GO23" s="98"/>
      <c r="GP23" s="98"/>
      <c r="GQ23" s="111">
        <f t="shared" si="28"/>
        <v>0</v>
      </c>
      <c r="GR23" s="33">
        <v>909653</v>
      </c>
      <c r="GS23" s="98"/>
      <c r="GT23" s="260">
        <v>386850</v>
      </c>
      <c r="GU23" s="98"/>
      <c r="GV23" s="32"/>
      <c r="GW23" s="32">
        <v>1200000</v>
      </c>
      <c r="GX23" s="32">
        <v>362400</v>
      </c>
      <c r="GY23" s="32">
        <v>0</v>
      </c>
      <c r="GZ23" s="32">
        <v>0</v>
      </c>
      <c r="HA23" s="32"/>
      <c r="HB23" s="33"/>
      <c r="HC23" s="32"/>
      <c r="HD23" s="32"/>
      <c r="HE23" s="18"/>
      <c r="HF23" s="67" t="s">
        <v>144</v>
      </c>
      <c r="HG23" s="34">
        <f t="shared" si="29"/>
        <v>9404603.8399999999</v>
      </c>
      <c r="HH23" s="34">
        <f t="shared" si="30"/>
        <v>41189168.010000005</v>
      </c>
    </row>
    <row r="24" spans="1:216" ht="15" customHeight="1">
      <c r="A24" s="18">
        <v>25</v>
      </c>
      <c r="B24" s="45" t="s">
        <v>145</v>
      </c>
      <c r="C24" s="97"/>
      <c r="D24" s="98">
        <f t="shared" si="3"/>
        <v>4424033.51</v>
      </c>
      <c r="E24" s="98">
        <f t="shared" si="0"/>
        <v>0</v>
      </c>
      <c r="F24" s="99"/>
      <c r="G24" s="99">
        <f t="shared" si="31"/>
        <v>0</v>
      </c>
      <c r="H24" s="99">
        <f t="shared" si="32"/>
        <v>0</v>
      </c>
      <c r="I24" s="99">
        <f t="shared" si="4"/>
        <v>0</v>
      </c>
      <c r="J24" s="99">
        <f t="shared" si="5"/>
        <v>0</v>
      </c>
      <c r="K24" s="99">
        <f t="shared" si="6"/>
        <v>5262</v>
      </c>
      <c r="L24" s="135">
        <f t="shared" si="7"/>
        <v>1745.48</v>
      </c>
      <c r="M24" s="135"/>
      <c r="N24" s="135">
        <f t="shared" si="8"/>
        <v>503287.56</v>
      </c>
      <c r="O24" s="136">
        <f t="shared" si="9"/>
        <v>4934328.55</v>
      </c>
      <c r="P24" s="18"/>
      <c r="Q24" s="135">
        <f t="shared" si="10"/>
        <v>389625</v>
      </c>
      <c r="R24" s="32">
        <v>389625</v>
      </c>
      <c r="S24" s="135">
        <v>15237925</v>
      </c>
      <c r="T24" s="135">
        <v>4601854</v>
      </c>
      <c r="U24" s="55">
        <f t="shared" si="11"/>
        <v>19839779</v>
      </c>
      <c r="V24" s="46"/>
      <c r="W24" s="46"/>
      <c r="X24" s="46">
        <f t="shared" si="12"/>
        <v>0</v>
      </c>
      <c r="Y24" s="183">
        <f t="shared" si="13"/>
        <v>25163732.550000001</v>
      </c>
      <c r="Z24" s="45" t="s">
        <v>145</v>
      </c>
      <c r="AA24" s="100">
        <f t="shared" si="14"/>
        <v>0</v>
      </c>
      <c r="AB24" s="101">
        <f t="shared" si="15"/>
        <v>904991.67999999993</v>
      </c>
      <c r="AC24" s="176">
        <f t="shared" si="16"/>
        <v>1080000</v>
      </c>
      <c r="AD24" s="176">
        <f t="shared" si="17"/>
        <v>326160</v>
      </c>
      <c r="AE24" s="34">
        <f t="shared" si="18"/>
        <v>0</v>
      </c>
      <c r="AF24">
        <f t="shared" si="19"/>
        <v>19136666.600000001</v>
      </c>
      <c r="AG24" s="46">
        <v>153000</v>
      </c>
      <c r="AH24" s="104">
        <f t="shared" si="20"/>
        <v>21600818.280000001</v>
      </c>
      <c r="AI24" s="105"/>
      <c r="AJ24" s="37">
        <v>1098430</v>
      </c>
      <c r="AK24" s="18"/>
      <c r="AL24" s="109">
        <f t="shared" si="21"/>
        <v>1098430</v>
      </c>
      <c r="AM24" s="143"/>
      <c r="AN24" s="107"/>
      <c r="AO24" s="107"/>
      <c r="AP24" s="107"/>
      <c r="AQ24" s="111">
        <f t="shared" si="22"/>
        <v>47862980.829999998</v>
      </c>
      <c r="AR24" s="67" t="s">
        <v>145</v>
      </c>
      <c r="AS24" s="151"/>
      <c r="AT24" s="67"/>
      <c r="AU24" s="67"/>
      <c r="AV24" s="31">
        <f t="shared" si="23"/>
        <v>0</v>
      </c>
      <c r="AW24" s="253"/>
      <c r="AX24" s="67"/>
      <c r="AY24" s="253">
        <v>478658.16</v>
      </c>
      <c r="AZ24" s="256"/>
      <c r="BA24" s="198">
        <v>119919.77</v>
      </c>
      <c r="BB24" s="269"/>
      <c r="BC24" s="270">
        <f t="shared" si="33"/>
        <v>598577.92999999993</v>
      </c>
      <c r="BD24" s="67" t="s">
        <v>145</v>
      </c>
      <c r="BE24" s="211">
        <v>258165.19999999995</v>
      </c>
      <c r="BF24" s="98">
        <v>0</v>
      </c>
      <c r="BG24" s="99"/>
      <c r="BH24" s="99"/>
      <c r="BI24" s="99"/>
      <c r="BJ24" s="46">
        <v>0</v>
      </c>
      <c r="BK24" s="46">
        <v>2448</v>
      </c>
      <c r="BL24" s="46">
        <v>1328</v>
      </c>
      <c r="BM24" s="55"/>
      <c r="BN24" s="46">
        <v>503287.56</v>
      </c>
      <c r="BO24" s="247">
        <f t="shared" si="24"/>
        <v>765228.76</v>
      </c>
      <c r="BP24" s="99">
        <v>1378800</v>
      </c>
      <c r="BQ24" s="99">
        <v>0</v>
      </c>
      <c r="BR24" s="46"/>
      <c r="BS24" s="227">
        <v>115045</v>
      </c>
      <c r="BT24" s="45"/>
      <c r="BU24" s="45"/>
      <c r="BV24" s="227"/>
      <c r="BW24" s="227">
        <v>0</v>
      </c>
      <c r="BX24" s="45"/>
      <c r="BY24" s="45">
        <v>0</v>
      </c>
      <c r="BZ24" s="45">
        <v>2814</v>
      </c>
      <c r="CA24" s="45">
        <v>417.48</v>
      </c>
      <c r="CB24" s="45">
        <v>527205.91999999993</v>
      </c>
      <c r="CC24" s="45">
        <v>0</v>
      </c>
      <c r="CD24" s="45"/>
      <c r="CE24" s="100"/>
      <c r="CF24" s="100"/>
      <c r="CG24" s="100">
        <v>0</v>
      </c>
      <c r="CH24" s="176">
        <v>34700</v>
      </c>
      <c r="CI24" s="100">
        <v>0</v>
      </c>
      <c r="CJ24" s="176">
        <v>0</v>
      </c>
      <c r="CK24" s="100">
        <v>0</v>
      </c>
      <c r="CL24" s="100"/>
      <c r="CM24" s="46"/>
      <c r="CN24" s="46"/>
      <c r="CO24" s="46">
        <v>47365.279999999999</v>
      </c>
      <c r="CP24" s="46">
        <v>376766.5</v>
      </c>
      <c r="CQ24" s="67">
        <v>0</v>
      </c>
      <c r="CR24" s="67">
        <v>0</v>
      </c>
      <c r="CS24" s="67"/>
      <c r="CT24" s="67"/>
      <c r="CU24" s="100"/>
      <c r="CV24" s="100"/>
      <c r="CW24" s="100"/>
      <c r="CX24" s="100">
        <v>0</v>
      </c>
      <c r="CY24" s="18">
        <v>0</v>
      </c>
      <c r="CZ24" s="18"/>
      <c r="DA24" s="18">
        <v>0</v>
      </c>
      <c r="DB24" s="231"/>
      <c r="DC24" s="33"/>
      <c r="DD24" s="18"/>
      <c r="DE24" s="18"/>
      <c r="DF24" s="18"/>
      <c r="DG24" s="18"/>
      <c r="DH24" s="18"/>
      <c r="DI24" s="18"/>
      <c r="DJ24" s="18"/>
      <c r="DK24" s="231"/>
      <c r="DL24" s="18"/>
      <c r="DM24" s="18"/>
      <c r="DN24" s="18"/>
      <c r="DO24" s="18"/>
      <c r="DP24" s="18"/>
      <c r="DQ24" s="211"/>
      <c r="DR24" s="231"/>
      <c r="DS24" s="18"/>
      <c r="DT24" s="18"/>
      <c r="DU24" s="18"/>
      <c r="DV24" s="211"/>
      <c r="DW24" s="18"/>
      <c r="DX24" s="18"/>
      <c r="DY24" s="18"/>
      <c r="DZ24" s="18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70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40">
        <f t="shared" si="1"/>
        <v>1685985.6099999999</v>
      </c>
      <c r="FO24" s="46"/>
      <c r="FP24" s="46"/>
      <c r="FQ24" s="33">
        <v>236678.39999999999</v>
      </c>
      <c r="FR24" s="173">
        <v>325875</v>
      </c>
      <c r="FS24" s="33"/>
      <c r="FT24" s="33">
        <v>1123432.21</v>
      </c>
      <c r="FU24" s="207">
        <f t="shared" si="25"/>
        <v>0</v>
      </c>
      <c r="FV24" s="232"/>
      <c r="FW24" s="232"/>
      <c r="FX24" s="173"/>
      <c r="FY24" s="32">
        <f t="shared" si="26"/>
        <v>19136666.600000001</v>
      </c>
      <c r="FZ24" s="273"/>
      <c r="GA24" s="173">
        <v>250000</v>
      </c>
      <c r="GB24" s="206">
        <f>10945476.6+7941190</f>
        <v>18886666.600000001</v>
      </c>
      <c r="GC24" s="173"/>
      <c r="GD24" s="173"/>
      <c r="GE24" s="281"/>
      <c r="GF24" s="49" t="s">
        <v>145</v>
      </c>
      <c r="GG24" s="38">
        <f t="shared" si="2"/>
        <v>21753818.280000001</v>
      </c>
      <c r="GH24" s="38"/>
      <c r="GI24" s="37"/>
      <c r="GJ24" s="37"/>
      <c r="GK24" s="78"/>
      <c r="GL24" s="40">
        <f t="shared" si="27"/>
        <v>904991.67999999993</v>
      </c>
      <c r="GM24" s="98"/>
      <c r="GN24" s="98"/>
      <c r="GO24" s="98"/>
      <c r="GP24" s="98"/>
      <c r="GQ24" s="111">
        <f t="shared" si="28"/>
        <v>0</v>
      </c>
      <c r="GR24" s="33">
        <v>516125</v>
      </c>
      <c r="GS24" s="98"/>
      <c r="GT24" s="260">
        <v>388866.68</v>
      </c>
      <c r="GU24" s="98"/>
      <c r="GV24" s="32"/>
      <c r="GW24" s="32">
        <v>1080000</v>
      </c>
      <c r="GX24" s="32">
        <v>326160</v>
      </c>
      <c r="GY24" s="32">
        <v>0</v>
      </c>
      <c r="GZ24" s="32">
        <v>0</v>
      </c>
      <c r="HA24" s="32"/>
      <c r="HB24" s="33"/>
      <c r="HC24" s="32"/>
      <c r="HD24" s="32"/>
      <c r="HE24" s="18"/>
      <c r="HF24" s="67" t="s">
        <v>145</v>
      </c>
      <c r="HG24" s="34">
        <f t="shared" si="29"/>
        <v>7320367.7499999991</v>
      </c>
      <c r="HH24" s="34">
        <f t="shared" si="30"/>
        <v>47862980.829999998</v>
      </c>
    </row>
    <row r="25" spans="1:216" ht="15" customHeight="1">
      <c r="A25" s="18">
        <v>26</v>
      </c>
      <c r="B25" s="45" t="s">
        <v>146</v>
      </c>
      <c r="C25" s="97"/>
      <c r="D25" s="98">
        <f t="shared" si="3"/>
        <v>6833389.6699999999</v>
      </c>
      <c r="E25" s="98">
        <f t="shared" si="0"/>
        <v>0</v>
      </c>
      <c r="F25" s="99"/>
      <c r="G25" s="99">
        <f t="shared" si="31"/>
        <v>0</v>
      </c>
      <c r="H25" s="99">
        <f t="shared" si="32"/>
        <v>0</v>
      </c>
      <c r="I25" s="99">
        <f t="shared" si="4"/>
        <v>0</v>
      </c>
      <c r="J25" s="99">
        <f t="shared" si="5"/>
        <v>802</v>
      </c>
      <c r="K25" s="99">
        <f t="shared" si="6"/>
        <v>11960</v>
      </c>
      <c r="L25" s="135">
        <f t="shared" si="7"/>
        <v>2136.31</v>
      </c>
      <c r="M25" s="135"/>
      <c r="N25" s="135">
        <f t="shared" si="8"/>
        <v>1451803.5699999998</v>
      </c>
      <c r="O25" s="136">
        <f t="shared" si="9"/>
        <v>8300091.5499999989</v>
      </c>
      <c r="P25" s="18"/>
      <c r="Q25" s="135">
        <f t="shared" si="10"/>
        <v>888875</v>
      </c>
      <c r="R25" s="32">
        <v>888875</v>
      </c>
      <c r="S25" s="135">
        <v>27924473</v>
      </c>
      <c r="T25" s="135">
        <v>8433191</v>
      </c>
      <c r="U25" s="55">
        <f t="shared" si="11"/>
        <v>36357664</v>
      </c>
      <c r="V25" s="46"/>
      <c r="W25" s="46"/>
      <c r="X25" s="46">
        <f t="shared" si="12"/>
        <v>0</v>
      </c>
      <c r="Y25" s="183">
        <f t="shared" si="13"/>
        <v>45546630.549999997</v>
      </c>
      <c r="Z25" s="45" t="s">
        <v>146</v>
      </c>
      <c r="AA25" s="100">
        <f t="shared" si="14"/>
        <v>0</v>
      </c>
      <c r="AB25" s="101">
        <f t="shared" si="15"/>
        <v>1590913</v>
      </c>
      <c r="AC25" s="176">
        <f t="shared" si="16"/>
        <v>2049977.73</v>
      </c>
      <c r="AD25" s="176">
        <f t="shared" si="17"/>
        <v>619093.27</v>
      </c>
      <c r="AE25" s="34">
        <f t="shared" si="18"/>
        <v>0</v>
      </c>
      <c r="AF25">
        <f t="shared" si="19"/>
        <v>9738590</v>
      </c>
      <c r="AG25" s="46">
        <v>288000</v>
      </c>
      <c r="AH25" s="104">
        <f t="shared" si="20"/>
        <v>14286574</v>
      </c>
      <c r="AI25" s="105"/>
      <c r="AJ25" s="37">
        <v>2852810</v>
      </c>
      <c r="AK25" s="18"/>
      <c r="AL25" s="109">
        <f t="shared" si="21"/>
        <v>2852810</v>
      </c>
      <c r="AM25" s="143"/>
      <c r="AN25" s="107"/>
      <c r="AO25" s="107"/>
      <c r="AP25" s="107"/>
      <c r="AQ25" s="111">
        <f t="shared" si="22"/>
        <v>62686014.549999997</v>
      </c>
      <c r="AR25" s="67" t="s">
        <v>146</v>
      </c>
      <c r="AS25" s="151"/>
      <c r="AT25" s="67"/>
      <c r="AU25" s="67"/>
      <c r="AV25" s="31">
        <f t="shared" si="23"/>
        <v>0</v>
      </c>
      <c r="AW25" s="252"/>
      <c r="AX25" s="67"/>
      <c r="AY25" s="252"/>
      <c r="AZ25" s="255"/>
      <c r="BA25" s="198">
        <v>217732.43</v>
      </c>
      <c r="BB25" s="269"/>
      <c r="BC25" s="270">
        <f t="shared" si="33"/>
        <v>217732.43</v>
      </c>
      <c r="BD25" s="67" t="s">
        <v>146</v>
      </c>
      <c r="BE25" s="211">
        <v>490523.56999999989</v>
      </c>
      <c r="BF25" s="98">
        <v>0</v>
      </c>
      <c r="BG25" s="99"/>
      <c r="BH25" s="99"/>
      <c r="BI25" s="99"/>
      <c r="BJ25" s="46">
        <v>648</v>
      </c>
      <c r="BK25" s="46">
        <v>11960</v>
      </c>
      <c r="BL25" s="46">
        <v>1488</v>
      </c>
      <c r="BM25" s="55"/>
      <c r="BN25" s="46">
        <v>1451803.5699999998</v>
      </c>
      <c r="BO25" s="247">
        <f t="shared" si="24"/>
        <v>1956423.1399999997</v>
      </c>
      <c r="BP25" s="99">
        <v>52112.289999999994</v>
      </c>
      <c r="BQ25" s="99">
        <v>0</v>
      </c>
      <c r="BR25" s="33"/>
      <c r="BS25" s="227">
        <v>981865</v>
      </c>
      <c r="BT25" s="45"/>
      <c r="BU25" s="45"/>
      <c r="BV25" s="227">
        <v>150000</v>
      </c>
      <c r="BW25" s="227">
        <v>0</v>
      </c>
      <c r="BX25" s="45"/>
      <c r="BY25" s="45">
        <v>154</v>
      </c>
      <c r="BZ25" s="45">
        <v>0</v>
      </c>
      <c r="CA25" s="45">
        <v>648.30999999999995</v>
      </c>
      <c r="CB25" s="45">
        <v>1405313.8900000001</v>
      </c>
      <c r="CC25" s="45">
        <v>0</v>
      </c>
      <c r="CD25" s="45"/>
      <c r="CE25" s="18"/>
      <c r="CF25" s="18"/>
      <c r="CG25" s="18">
        <v>0</v>
      </c>
      <c r="CH25" s="176">
        <v>141000</v>
      </c>
      <c r="CI25" s="18">
        <v>0</v>
      </c>
      <c r="CJ25" s="176">
        <v>133800</v>
      </c>
      <c r="CK25" s="18">
        <v>14600</v>
      </c>
      <c r="CL25" s="18"/>
      <c r="CM25" s="33"/>
      <c r="CN25" s="33"/>
      <c r="CO25" s="33">
        <v>51945.33</v>
      </c>
      <c r="CP25" s="33">
        <v>546436.55000000005</v>
      </c>
      <c r="CQ25" s="67">
        <v>0</v>
      </c>
      <c r="CR25" s="67">
        <v>122167.06</v>
      </c>
      <c r="CS25" s="67"/>
      <c r="CT25" s="67"/>
      <c r="CU25" s="18"/>
      <c r="CV25" s="18"/>
      <c r="CW25" s="18"/>
      <c r="CX25" s="18">
        <v>198313.23</v>
      </c>
      <c r="CY25" s="18">
        <v>0</v>
      </c>
      <c r="CZ25" s="18"/>
      <c r="DA25" s="18">
        <v>0</v>
      </c>
      <c r="DB25" s="231"/>
      <c r="DC25" s="33"/>
      <c r="DD25" s="18"/>
      <c r="DE25" s="33"/>
      <c r="DF25" s="33"/>
      <c r="DG25" s="33"/>
      <c r="DH25" s="33"/>
      <c r="DI25" s="33"/>
      <c r="DJ25" s="18"/>
      <c r="DK25" s="231"/>
      <c r="DL25" s="18"/>
      <c r="DM25" s="18"/>
      <c r="DN25" s="18"/>
      <c r="DO25" s="18"/>
      <c r="DP25" s="18"/>
      <c r="DQ25" s="211"/>
      <c r="DR25" s="231"/>
      <c r="DS25" s="18"/>
      <c r="DT25" s="18"/>
      <c r="DU25" s="18"/>
      <c r="DV25" s="211"/>
      <c r="DW25" s="18"/>
      <c r="DX25" s="18"/>
      <c r="DY25" s="18"/>
      <c r="DZ25" s="18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70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40">
        <f t="shared" si="1"/>
        <v>2545312.75</v>
      </c>
      <c r="FO25" s="46"/>
      <c r="FP25" s="46"/>
      <c r="FQ25" s="33"/>
      <c r="FR25" s="173">
        <v>626128.5</v>
      </c>
      <c r="FS25" s="33"/>
      <c r="FT25" s="33">
        <v>1919184.2500000002</v>
      </c>
      <c r="FU25" s="207">
        <f t="shared" si="25"/>
        <v>0</v>
      </c>
      <c r="FV25" s="232"/>
      <c r="FW25" s="232"/>
      <c r="FX25" s="173"/>
      <c r="FY25" s="32">
        <f t="shared" si="26"/>
        <v>9738590</v>
      </c>
      <c r="FZ25" s="273"/>
      <c r="GA25" s="173">
        <v>0</v>
      </c>
      <c r="GB25" s="206">
        <v>9738590</v>
      </c>
      <c r="GC25" s="173"/>
      <c r="GD25" s="173"/>
      <c r="GE25" s="281"/>
      <c r="GF25" s="45" t="s">
        <v>146</v>
      </c>
      <c r="GG25" s="38">
        <f t="shared" si="2"/>
        <v>14574574</v>
      </c>
      <c r="GH25" s="38"/>
      <c r="GI25" s="37"/>
      <c r="GJ25" s="37"/>
      <c r="GK25" s="78"/>
      <c r="GL25" s="40">
        <f t="shared" si="27"/>
        <v>1590913</v>
      </c>
      <c r="GM25" s="98"/>
      <c r="GN25" s="98"/>
      <c r="GO25" s="98"/>
      <c r="GP25" s="98"/>
      <c r="GQ25" s="111">
        <f t="shared" si="28"/>
        <v>0</v>
      </c>
      <c r="GR25" s="33">
        <v>1216273</v>
      </c>
      <c r="GS25" s="98"/>
      <c r="GT25" s="260">
        <v>374640</v>
      </c>
      <c r="GU25" s="98"/>
      <c r="GV25" s="32"/>
      <c r="GW25" s="32">
        <v>1800000</v>
      </c>
      <c r="GX25" s="32">
        <v>543600</v>
      </c>
      <c r="GY25" s="32">
        <v>189977.73</v>
      </c>
      <c r="GZ25" s="32">
        <v>57373.26999999999</v>
      </c>
      <c r="HA25" s="32">
        <v>60000</v>
      </c>
      <c r="HB25" s="33">
        <v>18120</v>
      </c>
      <c r="HC25" s="32"/>
      <c r="HD25" s="32"/>
      <c r="HE25" s="18"/>
      <c r="HF25" s="67" t="s">
        <v>146</v>
      </c>
      <c r="HG25" s="34">
        <f t="shared" si="29"/>
        <v>13617791.24</v>
      </c>
      <c r="HH25" s="34">
        <f t="shared" si="30"/>
        <v>62686014.549999997</v>
      </c>
    </row>
    <row r="26" spans="1:216" ht="15" customHeight="1">
      <c r="A26" s="18">
        <v>27</v>
      </c>
      <c r="B26" s="45" t="s">
        <v>147</v>
      </c>
      <c r="C26" s="97"/>
      <c r="D26" s="98">
        <f t="shared" si="3"/>
        <v>5628576.1699999999</v>
      </c>
      <c r="E26" s="98">
        <f t="shared" si="0"/>
        <v>0</v>
      </c>
      <c r="F26" s="99"/>
      <c r="G26" s="99">
        <f t="shared" si="31"/>
        <v>0</v>
      </c>
      <c r="H26" s="99">
        <f t="shared" si="32"/>
        <v>0</v>
      </c>
      <c r="I26" s="99">
        <f t="shared" si="4"/>
        <v>0</v>
      </c>
      <c r="J26" s="99">
        <f t="shared" si="5"/>
        <v>0</v>
      </c>
      <c r="K26" s="99">
        <f t="shared" si="6"/>
        <v>5320</v>
      </c>
      <c r="L26" s="135">
        <f t="shared" si="7"/>
        <v>3036.29</v>
      </c>
      <c r="M26" s="135"/>
      <c r="N26" s="135">
        <f t="shared" si="8"/>
        <v>278793.70999999996</v>
      </c>
      <c r="O26" s="136">
        <f t="shared" si="9"/>
        <v>5915726.1699999999</v>
      </c>
      <c r="P26" s="18"/>
      <c r="Q26" s="135">
        <f t="shared" si="10"/>
        <v>355000</v>
      </c>
      <c r="R26" s="32">
        <v>355000</v>
      </c>
      <c r="S26" s="135">
        <v>14940240</v>
      </c>
      <c r="T26" s="135">
        <v>4511952</v>
      </c>
      <c r="U26" s="55">
        <f t="shared" si="11"/>
        <v>19452192</v>
      </c>
      <c r="V26" s="46"/>
      <c r="W26" s="46"/>
      <c r="X26" s="46">
        <f t="shared" si="12"/>
        <v>0</v>
      </c>
      <c r="Y26" s="183">
        <f t="shared" si="13"/>
        <v>25722918.170000002</v>
      </c>
      <c r="Z26" s="45" t="s">
        <v>147</v>
      </c>
      <c r="AA26" s="100">
        <f t="shared" si="14"/>
        <v>0</v>
      </c>
      <c r="AB26" s="101">
        <f t="shared" si="15"/>
        <v>1224486</v>
      </c>
      <c r="AC26" s="176">
        <f t="shared" si="16"/>
        <v>1080000</v>
      </c>
      <c r="AD26" s="176">
        <f t="shared" si="17"/>
        <v>326160</v>
      </c>
      <c r="AE26" s="34">
        <f t="shared" si="18"/>
        <v>0</v>
      </c>
      <c r="AF26">
        <f t="shared" si="19"/>
        <v>0</v>
      </c>
      <c r="AG26" s="46">
        <v>198000</v>
      </c>
      <c r="AH26" s="104">
        <f t="shared" si="20"/>
        <v>2828646</v>
      </c>
      <c r="AI26" s="105"/>
      <c r="AJ26" s="37">
        <v>122000</v>
      </c>
      <c r="AK26" s="18"/>
      <c r="AL26" s="109">
        <f t="shared" si="21"/>
        <v>122000</v>
      </c>
      <c r="AM26" s="143"/>
      <c r="AN26" s="107"/>
      <c r="AO26" s="107"/>
      <c r="AP26" s="107"/>
      <c r="AQ26" s="111">
        <f t="shared" si="22"/>
        <v>28673564.170000002</v>
      </c>
      <c r="AR26" s="67" t="s">
        <v>147</v>
      </c>
      <c r="AS26" s="88"/>
      <c r="AT26" s="67"/>
      <c r="AU26" s="67"/>
      <c r="AV26" s="31">
        <f t="shared" si="23"/>
        <v>0</v>
      </c>
      <c r="AW26" s="254"/>
      <c r="AX26" s="67"/>
      <c r="AY26" s="254">
        <v>454129.78</v>
      </c>
      <c r="AZ26" s="257">
        <v>599000</v>
      </c>
      <c r="BA26" s="198">
        <v>51270.67</v>
      </c>
      <c r="BB26" s="269"/>
      <c r="BC26" s="270">
        <f t="shared" si="33"/>
        <v>1104400.45</v>
      </c>
      <c r="BD26" s="67" t="s">
        <v>147</v>
      </c>
      <c r="BE26" s="211">
        <v>253153.19999999995</v>
      </c>
      <c r="BF26" s="98">
        <v>0</v>
      </c>
      <c r="BG26" s="99"/>
      <c r="BH26" s="99"/>
      <c r="BI26" s="99"/>
      <c r="BJ26" s="46">
        <v>0</v>
      </c>
      <c r="BK26" s="46">
        <v>5320</v>
      </c>
      <c r="BL26" s="46">
        <v>1444</v>
      </c>
      <c r="BM26" s="55"/>
      <c r="BN26" s="46">
        <v>253865.19999999995</v>
      </c>
      <c r="BO26" s="247">
        <f t="shared" si="24"/>
        <v>513782.39999999991</v>
      </c>
      <c r="BP26" s="99">
        <v>1050000</v>
      </c>
      <c r="BQ26" s="99">
        <v>0</v>
      </c>
      <c r="BR26" s="33"/>
      <c r="BS26" s="227">
        <v>35275</v>
      </c>
      <c r="BT26" s="45"/>
      <c r="BU26" s="45"/>
      <c r="BV26" s="227">
        <v>15200</v>
      </c>
      <c r="BW26" s="227">
        <v>0</v>
      </c>
      <c r="BX26" s="45"/>
      <c r="BY26" s="45">
        <v>0</v>
      </c>
      <c r="BZ26" s="45">
        <v>0</v>
      </c>
      <c r="CA26" s="45">
        <v>1592.29</v>
      </c>
      <c r="CB26" s="45">
        <v>1037642.02</v>
      </c>
      <c r="CC26" s="45">
        <v>19000</v>
      </c>
      <c r="CD26" s="45"/>
      <c r="CE26" s="18"/>
      <c r="CF26" s="18"/>
      <c r="CG26" s="18">
        <v>0</v>
      </c>
      <c r="CH26" s="176">
        <v>30000</v>
      </c>
      <c r="CI26" s="18">
        <v>0</v>
      </c>
      <c r="CJ26" s="176">
        <v>0</v>
      </c>
      <c r="CK26" s="18">
        <v>112000</v>
      </c>
      <c r="CL26" s="18"/>
      <c r="CM26" s="33"/>
      <c r="CN26" s="33"/>
      <c r="CO26" s="33">
        <v>28339.99</v>
      </c>
      <c r="CP26" s="33">
        <v>226400</v>
      </c>
      <c r="CQ26" s="67">
        <v>5928.51</v>
      </c>
      <c r="CR26" s="67">
        <v>940179.59</v>
      </c>
      <c r="CS26" s="67"/>
      <c r="CT26" s="67"/>
      <c r="CU26" s="18"/>
      <c r="CV26" s="18"/>
      <c r="CW26" s="18"/>
      <c r="CX26" s="18">
        <v>0</v>
      </c>
      <c r="CY26" s="18">
        <v>0</v>
      </c>
      <c r="CZ26" s="18"/>
      <c r="DA26" s="18">
        <v>0</v>
      </c>
      <c r="DB26" s="231"/>
      <c r="DC26" s="33"/>
      <c r="DD26" s="18"/>
      <c r="DE26" s="18"/>
      <c r="DF26" s="18"/>
      <c r="DG26" s="18"/>
      <c r="DH26" s="18"/>
      <c r="DI26" s="18"/>
      <c r="DJ26" s="18"/>
      <c r="DK26" s="231"/>
      <c r="DL26" s="18"/>
      <c r="DM26" s="18"/>
      <c r="DN26" s="18"/>
      <c r="DO26" s="18"/>
      <c r="DP26" s="18"/>
      <c r="DQ26" s="211"/>
      <c r="DR26" s="231"/>
      <c r="DS26" s="18"/>
      <c r="DT26" s="18"/>
      <c r="DU26" s="18"/>
      <c r="DV26" s="211"/>
      <c r="DW26" s="18"/>
      <c r="DX26" s="18"/>
      <c r="DY26" s="18"/>
      <c r="DZ26" s="18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70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40">
        <f t="shared" si="1"/>
        <v>1900386.37</v>
      </c>
      <c r="FO26" s="46"/>
      <c r="FP26" s="46"/>
      <c r="FQ26" s="33">
        <v>384602.4</v>
      </c>
      <c r="FR26" s="173">
        <v>317461</v>
      </c>
      <c r="FS26" s="33"/>
      <c r="FT26" s="33">
        <v>1198322.9700000002</v>
      </c>
      <c r="FU26" s="207">
        <f t="shared" si="25"/>
        <v>0</v>
      </c>
      <c r="FV26" s="232"/>
      <c r="FW26" s="232"/>
      <c r="FX26" s="173"/>
      <c r="FY26" s="32">
        <f t="shared" si="26"/>
        <v>0</v>
      </c>
      <c r="FZ26" s="273"/>
      <c r="GA26" s="173">
        <v>0</v>
      </c>
      <c r="GB26" s="206">
        <v>0</v>
      </c>
      <c r="GC26" s="173"/>
      <c r="GD26" s="173"/>
      <c r="GE26" s="281"/>
      <c r="GF26" s="45" t="s">
        <v>147</v>
      </c>
      <c r="GG26" s="38">
        <f t="shared" si="2"/>
        <v>3026646</v>
      </c>
      <c r="GH26" s="38"/>
      <c r="GI26" s="37"/>
      <c r="GJ26" s="37"/>
      <c r="GK26" s="78"/>
      <c r="GL26" s="40">
        <f t="shared" si="27"/>
        <v>1224486</v>
      </c>
      <c r="GM26" s="98"/>
      <c r="GN26" s="98"/>
      <c r="GO26" s="98"/>
      <c r="GP26" s="98"/>
      <c r="GQ26" s="111">
        <f t="shared" si="28"/>
        <v>0</v>
      </c>
      <c r="GR26" s="33">
        <v>835486</v>
      </c>
      <c r="GS26" s="98"/>
      <c r="GT26" s="260">
        <v>389000</v>
      </c>
      <c r="GU26" s="98"/>
      <c r="GV26" s="32"/>
      <c r="GW26" s="32">
        <v>1080000</v>
      </c>
      <c r="GX26" s="32">
        <v>326160</v>
      </c>
      <c r="GY26" s="32">
        <v>0</v>
      </c>
      <c r="GZ26" s="32">
        <v>0</v>
      </c>
      <c r="HA26" s="32"/>
      <c r="HB26" s="33"/>
      <c r="HC26" s="32"/>
      <c r="HD26" s="32"/>
      <c r="HE26" s="18"/>
      <c r="HF26" s="67" t="s">
        <v>147</v>
      </c>
      <c r="HG26" s="34">
        <f t="shared" si="29"/>
        <v>7608855.8799999999</v>
      </c>
      <c r="HH26" s="34">
        <f t="shared" si="30"/>
        <v>28673564.170000002</v>
      </c>
    </row>
    <row r="27" spans="1:216" ht="15" customHeight="1">
      <c r="A27" s="18">
        <v>28</v>
      </c>
      <c r="B27" s="45" t="s">
        <v>148</v>
      </c>
      <c r="C27" s="97"/>
      <c r="D27" s="98">
        <f t="shared" si="3"/>
        <v>1363168.57</v>
      </c>
      <c r="E27" s="98">
        <f t="shared" si="0"/>
        <v>0</v>
      </c>
      <c r="F27" s="99"/>
      <c r="G27" s="99">
        <f t="shared" si="31"/>
        <v>0</v>
      </c>
      <c r="H27" s="99">
        <f t="shared" si="32"/>
        <v>0</v>
      </c>
      <c r="I27" s="99">
        <f t="shared" si="4"/>
        <v>0</v>
      </c>
      <c r="J27" s="99">
        <f t="shared" si="5"/>
        <v>0</v>
      </c>
      <c r="K27" s="99">
        <f t="shared" si="6"/>
        <v>0</v>
      </c>
      <c r="L27" s="135">
        <f t="shared" si="7"/>
        <v>1350.6100000000001</v>
      </c>
      <c r="M27" s="135"/>
      <c r="N27" s="135">
        <f t="shared" si="8"/>
        <v>223270.42000000004</v>
      </c>
      <c r="O27" s="136">
        <f t="shared" si="9"/>
        <v>1587789.6</v>
      </c>
      <c r="P27" s="18"/>
      <c r="Q27" s="135">
        <f t="shared" si="10"/>
        <v>125625</v>
      </c>
      <c r="R27" s="32">
        <v>125625</v>
      </c>
      <c r="S27" s="135">
        <v>10953129</v>
      </c>
      <c r="T27" s="135">
        <v>3307845</v>
      </c>
      <c r="U27" s="55">
        <f t="shared" si="11"/>
        <v>14260974</v>
      </c>
      <c r="V27" s="46"/>
      <c r="W27" s="46"/>
      <c r="X27" s="46">
        <f t="shared" si="12"/>
        <v>0</v>
      </c>
      <c r="Y27" s="183">
        <f t="shared" si="13"/>
        <v>15974388.6</v>
      </c>
      <c r="Z27" s="45" t="s">
        <v>148</v>
      </c>
      <c r="AA27" s="100">
        <f t="shared" si="14"/>
        <v>0</v>
      </c>
      <c r="AB27" s="101">
        <f t="shared" si="15"/>
        <v>692634</v>
      </c>
      <c r="AC27" s="176">
        <f t="shared" si="16"/>
        <v>1329977.73</v>
      </c>
      <c r="AD27" s="176">
        <f t="shared" si="17"/>
        <v>401653.27</v>
      </c>
      <c r="AE27" s="34">
        <f t="shared" si="18"/>
        <v>0</v>
      </c>
      <c r="AF27">
        <f t="shared" si="19"/>
        <v>0</v>
      </c>
      <c r="AG27" s="46">
        <v>108000</v>
      </c>
      <c r="AH27" s="104">
        <f t="shared" si="20"/>
        <v>2532265</v>
      </c>
      <c r="AI27" s="105"/>
      <c r="AJ27" s="37">
        <v>0</v>
      </c>
      <c r="AK27" s="18"/>
      <c r="AL27" s="109">
        <f t="shared" si="21"/>
        <v>0</v>
      </c>
      <c r="AM27" s="143"/>
      <c r="AN27" s="107"/>
      <c r="AO27" s="107"/>
      <c r="AP27" s="107"/>
      <c r="AQ27" s="111">
        <f t="shared" si="22"/>
        <v>18506653.600000001</v>
      </c>
      <c r="AR27" s="67" t="s">
        <v>148</v>
      </c>
      <c r="AS27" s="88"/>
      <c r="AT27" s="67"/>
      <c r="AU27" s="67"/>
      <c r="AV27" s="31">
        <f t="shared" si="23"/>
        <v>0</v>
      </c>
      <c r="AW27" s="254"/>
      <c r="AX27" s="67"/>
      <c r="AY27" s="254">
        <v>265501.61</v>
      </c>
      <c r="AZ27" s="257"/>
      <c r="BA27" s="198">
        <v>12978.43</v>
      </c>
      <c r="BB27" s="269"/>
      <c r="BC27" s="270">
        <f t="shared" si="33"/>
        <v>278480.03999999998</v>
      </c>
      <c r="BD27" s="67" t="s">
        <v>148</v>
      </c>
      <c r="BE27" s="211">
        <v>190791.04000000001</v>
      </c>
      <c r="BF27" s="98">
        <v>0</v>
      </c>
      <c r="BG27" s="99"/>
      <c r="BH27" s="99"/>
      <c r="BI27" s="99"/>
      <c r="BJ27" s="46">
        <v>0</v>
      </c>
      <c r="BK27" s="46">
        <v>0</v>
      </c>
      <c r="BL27" s="46">
        <v>1156</v>
      </c>
      <c r="BM27" s="55"/>
      <c r="BN27" s="46">
        <v>148330.20000000004</v>
      </c>
      <c r="BO27" s="247">
        <f t="shared" si="24"/>
        <v>340277.24000000005</v>
      </c>
      <c r="BP27" s="99">
        <v>225000</v>
      </c>
      <c r="BQ27" s="99">
        <v>34940.22</v>
      </c>
      <c r="BR27" s="33"/>
      <c r="BS27" s="227">
        <v>0</v>
      </c>
      <c r="BT27" s="49"/>
      <c r="BU27" s="49"/>
      <c r="BV27" s="227">
        <v>0</v>
      </c>
      <c r="BW27" s="227">
        <v>0</v>
      </c>
      <c r="BX27" s="49"/>
      <c r="BY27" s="49">
        <v>0</v>
      </c>
      <c r="BZ27" s="49">
        <v>0</v>
      </c>
      <c r="CA27" s="49">
        <v>194.61</v>
      </c>
      <c r="CB27" s="49">
        <v>259911.52</v>
      </c>
      <c r="CC27" s="49">
        <v>40000</v>
      </c>
      <c r="CD27" s="49"/>
      <c r="CE27" s="18"/>
      <c r="CF27" s="18"/>
      <c r="CG27" s="18">
        <v>0</v>
      </c>
      <c r="CH27" s="176">
        <v>0</v>
      </c>
      <c r="CI27" s="18">
        <v>0</v>
      </c>
      <c r="CJ27" s="176">
        <v>0</v>
      </c>
      <c r="CK27" s="18">
        <v>0</v>
      </c>
      <c r="CL27" s="18"/>
      <c r="CM27" s="33"/>
      <c r="CN27" s="33"/>
      <c r="CO27" s="33">
        <v>30000</v>
      </c>
      <c r="CP27" s="33">
        <v>29685.919999999998</v>
      </c>
      <c r="CQ27" s="67">
        <v>0</v>
      </c>
      <c r="CR27" s="67">
        <v>0</v>
      </c>
      <c r="CS27" s="67"/>
      <c r="CT27" s="67"/>
      <c r="CU27" s="18"/>
      <c r="CV27" s="18"/>
      <c r="CW27" s="18"/>
      <c r="CX27" s="18">
        <v>0</v>
      </c>
      <c r="CY27" s="18">
        <v>0</v>
      </c>
      <c r="CZ27" s="18"/>
      <c r="DA27" s="18">
        <v>0</v>
      </c>
      <c r="DB27" s="231"/>
      <c r="DC27" s="33"/>
      <c r="DD27" s="18"/>
      <c r="DE27" s="18"/>
      <c r="DF27" s="18"/>
      <c r="DG27" s="18"/>
      <c r="DH27" s="18"/>
      <c r="DI27" s="18"/>
      <c r="DJ27" s="18"/>
      <c r="DK27" s="231"/>
      <c r="DL27" s="18"/>
      <c r="DM27" s="18"/>
      <c r="DN27" s="18"/>
      <c r="DO27" s="18"/>
      <c r="DP27" s="18"/>
      <c r="DQ27" s="211"/>
      <c r="DR27" s="231"/>
      <c r="DS27" s="18"/>
      <c r="DT27" s="18"/>
      <c r="DU27" s="18"/>
      <c r="DV27" s="211"/>
      <c r="DW27" s="18"/>
      <c r="DX27" s="18"/>
      <c r="DY27" s="18"/>
      <c r="DZ27" s="18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70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40">
        <f t="shared" si="1"/>
        <v>627780.09000000008</v>
      </c>
      <c r="FO27" s="46"/>
      <c r="FP27" s="46"/>
      <c r="FQ27" s="33">
        <v>147924</v>
      </c>
      <c r="FR27" s="173">
        <v>0</v>
      </c>
      <c r="FS27" s="33"/>
      <c r="FT27" s="33">
        <v>479856.09000000008</v>
      </c>
      <c r="FU27" s="207">
        <f t="shared" si="25"/>
        <v>0</v>
      </c>
      <c r="FV27" s="232"/>
      <c r="FW27" s="232"/>
      <c r="FX27" s="173"/>
      <c r="FY27" s="32">
        <f t="shared" si="26"/>
        <v>0</v>
      </c>
      <c r="FZ27" s="273"/>
      <c r="GA27" s="173">
        <v>0</v>
      </c>
      <c r="GB27" s="206">
        <v>0</v>
      </c>
      <c r="GC27" s="173"/>
      <c r="GD27" s="173"/>
      <c r="GE27" s="281"/>
      <c r="GF27" s="49" t="s">
        <v>148</v>
      </c>
      <c r="GG27" s="38">
        <f t="shared" si="2"/>
        <v>2640265</v>
      </c>
      <c r="GH27" s="38"/>
      <c r="GI27" s="37"/>
      <c r="GJ27" s="37"/>
      <c r="GK27" s="78"/>
      <c r="GL27" s="40">
        <f t="shared" si="27"/>
        <v>692634</v>
      </c>
      <c r="GM27" s="18"/>
      <c r="GN27" s="98"/>
      <c r="GO27" s="98"/>
      <c r="GP27" s="98"/>
      <c r="GQ27" s="111">
        <f t="shared" si="28"/>
        <v>0</v>
      </c>
      <c r="GR27" s="33">
        <v>307634</v>
      </c>
      <c r="GS27" s="98"/>
      <c r="GT27" s="260">
        <v>385000</v>
      </c>
      <c r="GU27" s="98"/>
      <c r="GV27" s="32"/>
      <c r="GW27" s="32">
        <v>1080000</v>
      </c>
      <c r="GX27" s="32">
        <v>326160</v>
      </c>
      <c r="GY27" s="32">
        <v>189977.73</v>
      </c>
      <c r="GZ27" s="32">
        <v>57373.26999999999</v>
      </c>
      <c r="HA27" s="32">
        <v>60000</v>
      </c>
      <c r="HB27" s="33">
        <v>18120</v>
      </c>
      <c r="HC27" s="32"/>
      <c r="HD27" s="32"/>
      <c r="HE27" s="18"/>
      <c r="HF27" s="67" t="s">
        <v>148</v>
      </c>
      <c r="HG27" s="34">
        <f t="shared" si="29"/>
        <v>2404697.9900000002</v>
      </c>
      <c r="HH27" s="34">
        <f t="shared" si="30"/>
        <v>18506653.600000001</v>
      </c>
    </row>
    <row r="28" spans="1:216" ht="15" customHeight="1">
      <c r="A28" s="18">
        <v>29</v>
      </c>
      <c r="B28" s="45" t="s">
        <v>149</v>
      </c>
      <c r="C28" s="97"/>
      <c r="D28" s="98">
        <f t="shared" si="3"/>
        <v>5747699.8700000001</v>
      </c>
      <c r="E28" s="98">
        <f t="shared" si="0"/>
        <v>0</v>
      </c>
      <c r="F28" s="99"/>
      <c r="G28" s="99">
        <f t="shared" si="31"/>
        <v>0</v>
      </c>
      <c r="H28" s="99">
        <f t="shared" si="32"/>
        <v>0</v>
      </c>
      <c r="I28" s="99">
        <f t="shared" si="4"/>
        <v>0</v>
      </c>
      <c r="J28" s="99">
        <f t="shared" si="5"/>
        <v>165931</v>
      </c>
      <c r="K28" s="99">
        <f t="shared" si="6"/>
        <v>13840</v>
      </c>
      <c r="L28" s="135">
        <f t="shared" si="7"/>
        <v>1881.72</v>
      </c>
      <c r="M28" s="135"/>
      <c r="N28" s="135">
        <f t="shared" si="8"/>
        <v>431296.51999999996</v>
      </c>
      <c r="O28" s="136">
        <f t="shared" si="9"/>
        <v>6360649.1099999994</v>
      </c>
      <c r="P28" s="18"/>
      <c r="Q28" s="135">
        <f t="shared" si="10"/>
        <v>547375</v>
      </c>
      <c r="R28" s="32">
        <v>547375</v>
      </c>
      <c r="S28" s="135">
        <v>19999187</v>
      </c>
      <c r="T28" s="135">
        <v>6039754</v>
      </c>
      <c r="U28" s="55">
        <f t="shared" si="11"/>
        <v>26038941</v>
      </c>
      <c r="V28" s="46"/>
      <c r="W28" s="46"/>
      <c r="X28" s="46">
        <f t="shared" si="12"/>
        <v>0</v>
      </c>
      <c r="Y28" s="183">
        <f t="shared" si="13"/>
        <v>32946965.109999999</v>
      </c>
      <c r="Z28" s="45" t="s">
        <v>149</v>
      </c>
      <c r="AA28" s="100">
        <f t="shared" si="14"/>
        <v>1597025.27</v>
      </c>
      <c r="AB28" s="101">
        <f t="shared" si="15"/>
        <v>6169026.9400000004</v>
      </c>
      <c r="AC28" s="176">
        <f t="shared" si="16"/>
        <v>1800000</v>
      </c>
      <c r="AD28" s="176">
        <f t="shared" si="17"/>
        <v>543600</v>
      </c>
      <c r="AE28" s="34">
        <f t="shared" si="18"/>
        <v>5381725.8199999994</v>
      </c>
      <c r="AF28">
        <f t="shared" si="19"/>
        <v>317337.08</v>
      </c>
      <c r="AG28" s="46">
        <v>270000</v>
      </c>
      <c r="AH28" s="104">
        <f t="shared" si="20"/>
        <v>16078715.110000001</v>
      </c>
      <c r="AI28" s="105"/>
      <c r="AJ28" s="37">
        <v>177000</v>
      </c>
      <c r="AK28" s="18"/>
      <c r="AL28" s="109">
        <f t="shared" si="21"/>
        <v>177000</v>
      </c>
      <c r="AM28" s="143"/>
      <c r="AN28" s="107"/>
      <c r="AO28" s="107"/>
      <c r="AP28" s="107"/>
      <c r="AQ28" s="111">
        <f t="shared" si="22"/>
        <v>49202680.219999999</v>
      </c>
      <c r="AR28" s="67" t="s">
        <v>149</v>
      </c>
      <c r="AS28" s="88"/>
      <c r="AT28" s="67"/>
      <c r="AU28" s="67"/>
      <c r="AV28" s="31">
        <f t="shared" si="23"/>
        <v>0</v>
      </c>
      <c r="AW28" s="254"/>
      <c r="AX28" s="67"/>
      <c r="AY28" s="254">
        <v>237654.78</v>
      </c>
      <c r="AZ28" s="257">
        <f>299000+10042950.26</f>
        <v>10341950.26</v>
      </c>
      <c r="BA28" s="198">
        <v>422017.91</v>
      </c>
      <c r="BB28" s="269">
        <v>0</v>
      </c>
      <c r="BC28" s="270">
        <f t="shared" si="33"/>
        <v>11001622.949999999</v>
      </c>
      <c r="BD28" s="67" t="s">
        <v>149</v>
      </c>
      <c r="BE28" s="211">
        <v>311163.35999999993</v>
      </c>
      <c r="BF28" s="98">
        <v>0</v>
      </c>
      <c r="BG28" s="99"/>
      <c r="BH28" s="99"/>
      <c r="BI28" s="99"/>
      <c r="BJ28" s="46">
        <v>0</v>
      </c>
      <c r="BK28" s="46">
        <v>10840</v>
      </c>
      <c r="BL28" s="46">
        <v>1332</v>
      </c>
      <c r="BM28" s="55"/>
      <c r="BN28" s="46">
        <v>431296.51999999996</v>
      </c>
      <c r="BO28" s="247">
        <f t="shared" si="24"/>
        <v>754631.87999999989</v>
      </c>
      <c r="BP28" s="99">
        <v>1080000</v>
      </c>
      <c r="BQ28" s="99">
        <v>0</v>
      </c>
      <c r="BR28" s="33"/>
      <c r="BS28" s="227">
        <v>0</v>
      </c>
      <c r="BT28" s="45"/>
      <c r="BU28" s="45"/>
      <c r="BV28" s="227">
        <v>64325</v>
      </c>
      <c r="BW28" s="227">
        <v>0</v>
      </c>
      <c r="BX28" s="45"/>
      <c r="BY28" s="45">
        <v>165931</v>
      </c>
      <c r="BZ28" s="45">
        <v>0</v>
      </c>
      <c r="CA28" s="45">
        <v>549.72</v>
      </c>
      <c r="CB28" s="45">
        <v>748017.8</v>
      </c>
      <c r="CC28" s="45">
        <v>0</v>
      </c>
      <c r="CD28" s="45"/>
      <c r="CE28" s="18"/>
      <c r="CF28" s="18"/>
      <c r="CG28" s="18">
        <v>0</v>
      </c>
      <c r="CH28" s="176">
        <v>117150</v>
      </c>
      <c r="CI28" s="18">
        <v>0</v>
      </c>
      <c r="CJ28" s="176">
        <v>131000</v>
      </c>
      <c r="CK28" s="18">
        <v>102270</v>
      </c>
      <c r="CL28" s="18"/>
      <c r="CM28" s="33"/>
      <c r="CN28" s="33"/>
      <c r="CO28" s="33">
        <v>36800</v>
      </c>
      <c r="CP28" s="33">
        <v>483653</v>
      </c>
      <c r="CQ28" s="67">
        <v>0</v>
      </c>
      <c r="CR28" s="67">
        <v>27950</v>
      </c>
      <c r="CS28" s="67"/>
      <c r="CT28" s="67"/>
      <c r="CU28" s="18"/>
      <c r="CV28" s="18"/>
      <c r="CW28" s="18"/>
      <c r="CX28" s="18">
        <v>12050.53</v>
      </c>
      <c r="CY28" s="18">
        <v>3000</v>
      </c>
      <c r="CZ28" s="18"/>
      <c r="DA28" s="18">
        <v>0</v>
      </c>
      <c r="DB28" s="231"/>
      <c r="DC28" s="33"/>
      <c r="DD28" s="18"/>
      <c r="DE28" s="18"/>
      <c r="DF28" s="18"/>
      <c r="DG28" s="18"/>
      <c r="DH28" s="18"/>
      <c r="DI28" s="18"/>
      <c r="DJ28" s="18"/>
      <c r="DK28" s="231"/>
      <c r="DL28" s="18"/>
      <c r="DM28" s="18"/>
      <c r="DN28" s="18"/>
      <c r="DO28" s="18"/>
      <c r="DP28" s="18"/>
      <c r="DQ28" s="211"/>
      <c r="DR28" s="231"/>
      <c r="DS28" s="18"/>
      <c r="DT28" s="18"/>
      <c r="DU28" s="18"/>
      <c r="DV28" s="211"/>
      <c r="DW28" s="18"/>
      <c r="DX28" s="18"/>
      <c r="DY28" s="18"/>
      <c r="DZ28" s="18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70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40">
        <f t="shared" si="1"/>
        <v>2633320.1800000002</v>
      </c>
      <c r="FO28" s="46"/>
      <c r="FP28" s="46"/>
      <c r="FQ28" s="33">
        <v>465960.6</v>
      </c>
      <c r="FR28" s="173">
        <v>0</v>
      </c>
      <c r="FS28" s="33"/>
      <c r="FT28" s="33">
        <v>2167359.58</v>
      </c>
      <c r="FU28" s="207">
        <f t="shared" si="25"/>
        <v>1597025.27</v>
      </c>
      <c r="FV28" s="232">
        <f>847837-84792</f>
        <v>763045</v>
      </c>
      <c r="FW28" s="232">
        <f>935915.39-101935.12</f>
        <v>833980.27</v>
      </c>
      <c r="FX28" s="173"/>
      <c r="FY28" s="32">
        <f t="shared" si="26"/>
        <v>317337.08</v>
      </c>
      <c r="FZ28" s="273"/>
      <c r="GA28" s="173">
        <v>0</v>
      </c>
      <c r="GB28" s="206">
        <v>0</v>
      </c>
      <c r="GC28" s="173"/>
      <c r="GD28" s="173">
        <v>317337.08</v>
      </c>
      <c r="GE28" s="281"/>
      <c r="GF28" s="45" t="s">
        <v>149</v>
      </c>
      <c r="GG28" s="38">
        <f t="shared" si="2"/>
        <v>14751689.840000002</v>
      </c>
      <c r="GH28" s="38"/>
      <c r="GI28" s="37"/>
      <c r="GJ28" s="37"/>
      <c r="GK28" s="78"/>
      <c r="GL28" s="40">
        <f t="shared" si="27"/>
        <v>6169026.9400000004</v>
      </c>
      <c r="GM28" s="98"/>
      <c r="GN28" s="98">
        <f>5381725.81+0.01</f>
        <v>5381725.8199999994</v>
      </c>
      <c r="GO28" s="224">
        <v>4574466.9400000004</v>
      </c>
      <c r="GP28" s="98"/>
      <c r="GQ28" s="111">
        <f>GN28</f>
        <v>5381725.8199999994</v>
      </c>
      <c r="GR28" s="33">
        <v>1205560</v>
      </c>
      <c r="GS28" s="98"/>
      <c r="GT28" s="260">
        <v>389000</v>
      </c>
      <c r="GU28" s="98"/>
      <c r="GV28" s="32"/>
      <c r="GW28" s="32">
        <v>1800000</v>
      </c>
      <c r="GX28" s="32">
        <v>543600</v>
      </c>
      <c r="GY28" s="32">
        <v>0</v>
      </c>
      <c r="GZ28" s="32">
        <v>0</v>
      </c>
      <c r="HA28" s="32"/>
      <c r="HB28" s="33"/>
      <c r="HC28" s="214"/>
      <c r="HD28" s="214"/>
      <c r="HE28" s="215"/>
      <c r="HF28" s="67" t="s">
        <v>149</v>
      </c>
      <c r="HG28" s="34">
        <f t="shared" si="29"/>
        <v>13072398.33</v>
      </c>
      <c r="HH28" s="34">
        <f t="shared" si="30"/>
        <v>49202680.219999999</v>
      </c>
    </row>
    <row r="29" spans="1:216" ht="15" customHeight="1">
      <c r="A29" s="18">
        <v>31</v>
      </c>
      <c r="B29" s="45" t="s">
        <v>150</v>
      </c>
      <c r="C29" s="97"/>
      <c r="D29" s="98">
        <f t="shared" si="3"/>
        <v>7053382.7700000005</v>
      </c>
      <c r="E29" s="98">
        <f t="shared" si="0"/>
        <v>0</v>
      </c>
      <c r="F29" s="99"/>
      <c r="G29" s="99">
        <f t="shared" si="31"/>
        <v>0</v>
      </c>
      <c r="H29" s="99">
        <f t="shared" si="32"/>
        <v>0</v>
      </c>
      <c r="I29" s="99">
        <f t="shared" si="4"/>
        <v>0</v>
      </c>
      <c r="J29" s="99">
        <f t="shared" si="5"/>
        <v>0</v>
      </c>
      <c r="K29" s="99">
        <f t="shared" si="6"/>
        <v>14088</v>
      </c>
      <c r="L29" s="135">
        <f t="shared" si="7"/>
        <v>1536.48</v>
      </c>
      <c r="M29" s="135"/>
      <c r="N29" s="135">
        <f t="shared" si="8"/>
        <v>455670.47999999992</v>
      </c>
      <c r="O29" s="136">
        <f t="shared" si="9"/>
        <v>7524677.7300000004</v>
      </c>
      <c r="P29" s="18"/>
      <c r="Q29" s="135">
        <f t="shared" si="10"/>
        <v>455625</v>
      </c>
      <c r="R29" s="32">
        <v>455625</v>
      </c>
      <c r="S29" s="135">
        <v>15474627</v>
      </c>
      <c r="T29" s="135">
        <v>4673337</v>
      </c>
      <c r="U29" s="55">
        <f t="shared" si="11"/>
        <v>20147964</v>
      </c>
      <c r="V29" s="46"/>
      <c r="W29" s="46"/>
      <c r="X29" s="46">
        <f t="shared" si="12"/>
        <v>0</v>
      </c>
      <c r="Y29" s="183">
        <f t="shared" si="13"/>
        <v>28128266.73</v>
      </c>
      <c r="Z29" s="45" t="s">
        <v>150</v>
      </c>
      <c r="AA29" s="100">
        <f t="shared" si="14"/>
        <v>0</v>
      </c>
      <c r="AB29" s="101">
        <f t="shared" si="15"/>
        <v>1380040</v>
      </c>
      <c r="AC29" s="176">
        <f t="shared" si="16"/>
        <v>1689977.73</v>
      </c>
      <c r="AD29" s="176">
        <f t="shared" si="17"/>
        <v>510373.27</v>
      </c>
      <c r="AE29" s="34">
        <f t="shared" si="18"/>
        <v>0</v>
      </c>
      <c r="AF29">
        <f t="shared" si="19"/>
        <v>0</v>
      </c>
      <c r="AG29" s="46">
        <v>171000</v>
      </c>
      <c r="AH29" s="104">
        <f t="shared" si="20"/>
        <v>3751391</v>
      </c>
      <c r="AI29" s="105"/>
      <c r="AJ29" s="37">
        <v>610000</v>
      </c>
      <c r="AK29" s="18"/>
      <c r="AL29" s="109">
        <f t="shared" si="21"/>
        <v>610000</v>
      </c>
      <c r="AM29" s="143"/>
      <c r="AN29" s="107"/>
      <c r="AO29" s="107"/>
      <c r="AP29" s="107"/>
      <c r="AQ29" s="111">
        <f t="shared" si="22"/>
        <v>32489657.73</v>
      </c>
      <c r="AR29" s="67" t="s">
        <v>150</v>
      </c>
      <c r="AS29" s="88"/>
      <c r="AT29" s="67"/>
      <c r="AU29" s="67"/>
      <c r="AV29" s="31">
        <f t="shared" si="23"/>
        <v>0</v>
      </c>
      <c r="AW29" s="254"/>
      <c r="AX29" s="67"/>
      <c r="AY29" s="254">
        <v>360047.72</v>
      </c>
      <c r="AZ29" s="257"/>
      <c r="BA29" s="198">
        <v>112714.55</v>
      </c>
      <c r="BB29" s="269">
        <v>0</v>
      </c>
      <c r="BC29" s="270">
        <f t="shared" si="33"/>
        <v>472762.26999999996</v>
      </c>
      <c r="BD29" s="67" t="s">
        <v>150</v>
      </c>
      <c r="BE29" s="211">
        <v>369425.51999999996</v>
      </c>
      <c r="BF29" s="98">
        <v>0</v>
      </c>
      <c r="BG29" s="99"/>
      <c r="BH29" s="99"/>
      <c r="BI29" s="99"/>
      <c r="BJ29" s="46">
        <v>0</v>
      </c>
      <c r="BK29" s="46">
        <v>14088</v>
      </c>
      <c r="BL29" s="46">
        <v>1196</v>
      </c>
      <c r="BM29" s="55"/>
      <c r="BN29" s="46">
        <v>410670.47999999992</v>
      </c>
      <c r="BO29" s="247">
        <f t="shared" si="24"/>
        <v>795379.99999999988</v>
      </c>
      <c r="BP29" s="99">
        <v>675000</v>
      </c>
      <c r="BQ29" s="99">
        <v>0</v>
      </c>
      <c r="BR29" s="33"/>
      <c r="BS29" s="227">
        <v>306907</v>
      </c>
      <c r="BT29" s="45"/>
      <c r="BU29" s="45"/>
      <c r="BV29" s="227">
        <v>107924</v>
      </c>
      <c r="BW29" s="227">
        <v>0</v>
      </c>
      <c r="BX29" s="45"/>
      <c r="BY29" s="45">
        <v>0</v>
      </c>
      <c r="BZ29" s="45">
        <v>0</v>
      </c>
      <c r="CA29" s="45">
        <v>340.48</v>
      </c>
      <c r="CB29" s="45">
        <v>644412.74</v>
      </c>
      <c r="CC29" s="45">
        <v>45000</v>
      </c>
      <c r="CD29" s="45"/>
      <c r="CE29" s="18"/>
      <c r="CF29" s="18"/>
      <c r="CG29" s="18">
        <v>0</v>
      </c>
      <c r="CH29" s="176">
        <v>1149189</v>
      </c>
      <c r="CI29" s="18">
        <v>0</v>
      </c>
      <c r="CJ29" s="176">
        <v>0</v>
      </c>
      <c r="CK29" s="18">
        <v>0</v>
      </c>
      <c r="CL29" s="18"/>
      <c r="CM29" s="33"/>
      <c r="CN29" s="33"/>
      <c r="CO29" s="33">
        <v>0</v>
      </c>
      <c r="CP29" s="33">
        <v>546751</v>
      </c>
      <c r="CQ29" s="67">
        <v>0</v>
      </c>
      <c r="CR29" s="67">
        <v>0</v>
      </c>
      <c r="CS29" s="67"/>
      <c r="CT29" s="67"/>
      <c r="CU29" s="18"/>
      <c r="CV29" s="18"/>
      <c r="CW29" s="18"/>
      <c r="CX29" s="18">
        <v>1005000</v>
      </c>
      <c r="CY29" s="18">
        <v>0</v>
      </c>
      <c r="CZ29" s="18"/>
      <c r="DA29" s="18">
        <v>0</v>
      </c>
      <c r="DB29" s="231"/>
      <c r="DC29" s="33"/>
      <c r="DD29" s="18"/>
      <c r="DE29" s="18"/>
      <c r="DF29" s="18"/>
      <c r="DG29" s="18"/>
      <c r="DH29" s="18"/>
      <c r="DI29" s="18"/>
      <c r="DJ29" s="18"/>
      <c r="DK29" s="231"/>
      <c r="DL29" s="18"/>
      <c r="DM29" s="18"/>
      <c r="DN29" s="18"/>
      <c r="DO29" s="33"/>
      <c r="DP29" s="33"/>
      <c r="DQ29" s="211"/>
      <c r="DR29" s="231"/>
      <c r="DS29" s="18"/>
      <c r="DT29" s="18"/>
      <c r="DU29" s="18"/>
      <c r="DV29" s="211"/>
      <c r="DW29" s="18"/>
      <c r="DX29" s="18"/>
      <c r="DY29" s="18"/>
      <c r="DZ29" s="18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70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40">
        <f>FQ29+FS29+FT29+FR29</f>
        <v>2248773.5100000002</v>
      </c>
      <c r="FO29" s="46"/>
      <c r="FP29" s="46"/>
      <c r="FQ29" s="33">
        <v>458564.4</v>
      </c>
      <c r="FR29" s="18">
        <v>41225</v>
      </c>
      <c r="FS29" s="33"/>
      <c r="FT29" s="33">
        <v>1748984.1100000003</v>
      </c>
      <c r="FU29" s="207">
        <f t="shared" si="25"/>
        <v>0</v>
      </c>
      <c r="FV29" s="232"/>
      <c r="FW29" s="232"/>
      <c r="FX29" s="18"/>
      <c r="FY29" s="32">
        <f t="shared" si="26"/>
        <v>0</v>
      </c>
      <c r="FZ29" s="273"/>
      <c r="GA29" s="18">
        <v>0</v>
      </c>
      <c r="GB29" s="203">
        <v>0</v>
      </c>
      <c r="GC29" s="18"/>
      <c r="GD29" s="18"/>
      <c r="GE29" s="280"/>
      <c r="GF29" s="45" t="s">
        <v>150</v>
      </c>
      <c r="GG29" s="38">
        <f t="shared" si="2"/>
        <v>3922391</v>
      </c>
      <c r="GH29" s="38"/>
      <c r="GI29" s="37"/>
      <c r="GJ29" s="37"/>
      <c r="GK29" s="78"/>
      <c r="GL29" s="40">
        <f t="shared" si="27"/>
        <v>1380040</v>
      </c>
      <c r="GM29" s="98"/>
      <c r="GN29" s="98"/>
      <c r="GO29" s="98"/>
      <c r="GP29" s="98"/>
      <c r="GQ29" s="111">
        <f t="shared" si="28"/>
        <v>0</v>
      </c>
      <c r="GR29" s="33">
        <v>995040</v>
      </c>
      <c r="GS29" s="98"/>
      <c r="GT29" s="260">
        <v>385000</v>
      </c>
      <c r="GU29" s="98"/>
      <c r="GV29" s="32"/>
      <c r="GW29" s="32">
        <v>1440000</v>
      </c>
      <c r="GX29" s="32">
        <v>434880</v>
      </c>
      <c r="GY29" s="32">
        <v>189977.73</v>
      </c>
      <c r="GZ29" s="32">
        <v>57373.26999999999</v>
      </c>
      <c r="HA29" s="32">
        <v>60000</v>
      </c>
      <c r="HB29" s="33">
        <v>18120</v>
      </c>
      <c r="HC29" s="32"/>
      <c r="HD29" s="32"/>
      <c r="HE29" s="18"/>
      <c r="HF29" s="67" t="s">
        <v>150</v>
      </c>
      <c r="HG29" s="34">
        <f t="shared" si="29"/>
        <v>9954718.25</v>
      </c>
      <c r="HH29" s="34">
        <f t="shared" si="30"/>
        <v>32489657.73</v>
      </c>
    </row>
    <row r="30" spans="1:216" ht="15" customHeight="1">
      <c r="A30" s="18">
        <v>32</v>
      </c>
      <c r="B30" s="45" t="s">
        <v>151</v>
      </c>
      <c r="C30" s="97"/>
      <c r="D30" s="98">
        <f t="shared" si="3"/>
        <v>4173129.7700000005</v>
      </c>
      <c r="E30" s="98">
        <f t="shared" si="0"/>
        <v>0</v>
      </c>
      <c r="F30" s="99"/>
      <c r="G30" s="99">
        <f t="shared" si="31"/>
        <v>0</v>
      </c>
      <c r="H30" s="99">
        <f t="shared" si="32"/>
        <v>0</v>
      </c>
      <c r="I30" s="99">
        <f t="shared" si="4"/>
        <v>0</v>
      </c>
      <c r="J30" s="99">
        <f t="shared" si="5"/>
        <v>0</v>
      </c>
      <c r="K30" s="99">
        <f t="shared" si="6"/>
        <v>4736</v>
      </c>
      <c r="L30" s="135">
        <f t="shared" si="7"/>
        <v>1449.73</v>
      </c>
      <c r="M30" s="135"/>
      <c r="N30" s="135">
        <f t="shared" si="8"/>
        <v>362915.40000000008</v>
      </c>
      <c r="O30" s="136">
        <f t="shared" si="9"/>
        <v>4542230.9000000004</v>
      </c>
      <c r="P30" s="18"/>
      <c r="Q30" s="135">
        <f t="shared" si="10"/>
        <v>526125</v>
      </c>
      <c r="R30" s="32">
        <v>526125</v>
      </c>
      <c r="S30" s="135">
        <v>20655395</v>
      </c>
      <c r="T30" s="135">
        <v>6237929</v>
      </c>
      <c r="U30" s="55">
        <f t="shared" si="11"/>
        <v>26893324</v>
      </c>
      <c r="V30" s="46"/>
      <c r="W30" s="46"/>
      <c r="X30" s="46">
        <f t="shared" si="12"/>
        <v>0</v>
      </c>
      <c r="Y30" s="183">
        <f t="shared" si="13"/>
        <v>31961679.899999999</v>
      </c>
      <c r="Z30" s="45" t="s">
        <v>151</v>
      </c>
      <c r="AA30" s="100">
        <f t="shared" si="14"/>
        <v>0</v>
      </c>
      <c r="AB30" s="101">
        <f t="shared" si="15"/>
        <v>1151588</v>
      </c>
      <c r="AC30" s="176">
        <f t="shared" si="16"/>
        <v>1569977.73</v>
      </c>
      <c r="AD30" s="176">
        <f t="shared" si="17"/>
        <v>474133.27</v>
      </c>
      <c r="AE30" s="34">
        <f t="shared" si="18"/>
        <v>0</v>
      </c>
      <c r="AF30">
        <f t="shared" si="19"/>
        <v>0</v>
      </c>
      <c r="AG30" s="46">
        <v>243000</v>
      </c>
      <c r="AH30" s="104">
        <f t="shared" si="20"/>
        <v>3438699</v>
      </c>
      <c r="AI30" s="105"/>
      <c r="AJ30" s="37">
        <v>1751180</v>
      </c>
      <c r="AK30" s="18"/>
      <c r="AL30" s="109">
        <f t="shared" si="21"/>
        <v>1751180</v>
      </c>
      <c r="AM30" s="143"/>
      <c r="AN30" s="107"/>
      <c r="AO30" s="107"/>
      <c r="AP30" s="107"/>
      <c r="AQ30" s="111">
        <f t="shared" si="22"/>
        <v>37151558.899999999</v>
      </c>
      <c r="AR30" s="67" t="s">
        <v>151</v>
      </c>
      <c r="AS30" s="88"/>
      <c r="AT30" s="67"/>
      <c r="AU30" s="67"/>
      <c r="AV30" s="31">
        <f t="shared" si="23"/>
        <v>0</v>
      </c>
      <c r="AW30" s="254"/>
      <c r="AX30" s="67"/>
      <c r="AY30" s="254"/>
      <c r="AZ30" s="257"/>
      <c r="BA30" s="198">
        <v>224904.09</v>
      </c>
      <c r="BB30" s="269"/>
      <c r="BC30" s="270">
        <f t="shared" si="33"/>
        <v>224904.09</v>
      </c>
      <c r="BD30" s="67" t="s">
        <v>151</v>
      </c>
      <c r="BE30" s="211">
        <v>254353.19999999995</v>
      </c>
      <c r="BF30" s="98">
        <v>0</v>
      </c>
      <c r="BG30" s="99"/>
      <c r="BH30" s="99"/>
      <c r="BI30" s="99"/>
      <c r="BJ30" s="46">
        <v>0</v>
      </c>
      <c r="BK30" s="46">
        <v>4736</v>
      </c>
      <c r="BL30" s="46">
        <v>1192</v>
      </c>
      <c r="BM30" s="55"/>
      <c r="BN30" s="46">
        <v>362915.40000000008</v>
      </c>
      <c r="BO30" s="247">
        <f t="shared" si="24"/>
        <v>623196.60000000009</v>
      </c>
      <c r="BP30" s="99">
        <v>1164870</v>
      </c>
      <c r="BQ30" s="99">
        <v>0</v>
      </c>
      <c r="BR30" s="33"/>
      <c r="BS30" s="227">
        <v>148210</v>
      </c>
      <c r="BT30" s="45"/>
      <c r="BU30" s="45"/>
      <c r="BV30" s="227">
        <v>0</v>
      </c>
      <c r="BW30" s="227">
        <v>0</v>
      </c>
      <c r="BX30" s="45"/>
      <c r="BY30" s="45">
        <v>0</v>
      </c>
      <c r="BZ30" s="45">
        <v>0</v>
      </c>
      <c r="CA30" s="45">
        <v>257.73</v>
      </c>
      <c r="CB30" s="45">
        <v>475335.74</v>
      </c>
      <c r="CC30" s="45">
        <v>0</v>
      </c>
      <c r="CD30" s="45"/>
      <c r="CE30" s="18"/>
      <c r="CF30" s="18"/>
      <c r="CG30" s="18">
        <v>0</v>
      </c>
      <c r="CH30" s="176">
        <v>30000</v>
      </c>
      <c r="CI30" s="18">
        <v>0</v>
      </c>
      <c r="CJ30" s="176">
        <v>0</v>
      </c>
      <c r="CK30" s="18">
        <v>0</v>
      </c>
      <c r="CL30" s="18"/>
      <c r="CM30" s="33"/>
      <c r="CN30" s="33"/>
      <c r="CO30" s="33">
        <v>0</v>
      </c>
      <c r="CP30" s="33">
        <v>221383.5</v>
      </c>
      <c r="CQ30" s="67">
        <v>0</v>
      </c>
      <c r="CR30" s="67">
        <v>0</v>
      </c>
      <c r="CS30" s="67"/>
      <c r="CT30" s="67"/>
      <c r="CU30" s="18"/>
      <c r="CV30" s="18"/>
      <c r="CW30" s="18"/>
      <c r="CX30" s="18">
        <v>36100</v>
      </c>
      <c r="CY30" s="18">
        <v>0</v>
      </c>
      <c r="CZ30" s="18"/>
      <c r="DA30" s="18">
        <v>0</v>
      </c>
      <c r="DB30" s="231"/>
      <c r="DC30" s="33"/>
      <c r="DD30" s="18"/>
      <c r="DE30" s="18"/>
      <c r="DF30" s="18"/>
      <c r="DG30" s="18"/>
      <c r="DH30" s="18"/>
      <c r="DI30" s="18"/>
      <c r="DJ30" s="18"/>
      <c r="DK30" s="231"/>
      <c r="DL30" s="18"/>
      <c r="DM30" s="18"/>
      <c r="DN30" s="18"/>
      <c r="DO30" s="18"/>
      <c r="DP30" s="18"/>
      <c r="DQ30" s="211"/>
      <c r="DR30" s="231"/>
      <c r="DS30" s="18"/>
      <c r="DT30" s="18"/>
      <c r="DU30" s="18"/>
      <c r="DV30" s="211"/>
      <c r="DW30" s="18"/>
      <c r="DX30" s="18"/>
      <c r="DY30" s="18"/>
      <c r="DZ30" s="18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70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40">
        <f t="shared" si="1"/>
        <v>1842877.33</v>
      </c>
      <c r="FO30" s="46"/>
      <c r="FP30" s="46"/>
      <c r="FQ30" s="33">
        <v>332829</v>
      </c>
      <c r="FR30" s="18">
        <v>277940</v>
      </c>
      <c r="FS30" s="33"/>
      <c r="FT30" s="33">
        <v>1232108.33</v>
      </c>
      <c r="FU30" s="207">
        <f t="shared" si="25"/>
        <v>0</v>
      </c>
      <c r="FV30" s="232"/>
      <c r="FW30" s="232"/>
      <c r="FX30" s="18"/>
      <c r="FY30" s="32">
        <f t="shared" si="26"/>
        <v>0</v>
      </c>
      <c r="FZ30" s="273"/>
      <c r="GA30" s="18">
        <v>0</v>
      </c>
      <c r="GB30" s="203">
        <v>0</v>
      </c>
      <c r="GC30" s="18"/>
      <c r="GD30" s="18"/>
      <c r="GE30" s="280"/>
      <c r="GF30" s="45" t="s">
        <v>151</v>
      </c>
      <c r="GG30" s="38">
        <f t="shared" si="2"/>
        <v>3681699</v>
      </c>
      <c r="GH30" s="38"/>
      <c r="GI30" s="37"/>
      <c r="GJ30" s="37"/>
      <c r="GK30" s="78"/>
      <c r="GL30" s="40">
        <f>GR30+GS30+GU30+GO30+GT30</f>
        <v>1151588</v>
      </c>
      <c r="GM30" s="98">
        <v>0</v>
      </c>
      <c r="GN30" s="98"/>
      <c r="GO30" s="98"/>
      <c r="GP30" s="98"/>
      <c r="GQ30" s="111">
        <f t="shared" si="28"/>
        <v>0</v>
      </c>
      <c r="GR30" s="33">
        <v>762588</v>
      </c>
      <c r="GS30" s="98"/>
      <c r="GT30" s="260">
        <v>389000</v>
      </c>
      <c r="GU30" s="98"/>
      <c r="GV30" s="32"/>
      <c r="GW30" s="32">
        <v>1320000</v>
      </c>
      <c r="GX30" s="32">
        <v>398640</v>
      </c>
      <c r="GY30" s="32">
        <v>189977.73</v>
      </c>
      <c r="GZ30" s="32">
        <v>57373.26999999999</v>
      </c>
      <c r="HA30" s="32">
        <v>60000</v>
      </c>
      <c r="HB30" s="33">
        <v>18120</v>
      </c>
      <c r="HC30" s="32"/>
      <c r="HD30" s="32"/>
      <c r="HE30" s="18"/>
      <c r="HF30" s="67" t="s">
        <v>151</v>
      </c>
      <c r="HG30" s="34">
        <f t="shared" si="29"/>
        <v>7964938.1700000009</v>
      </c>
      <c r="HH30" s="34">
        <f t="shared" si="30"/>
        <v>37151558.899999999</v>
      </c>
    </row>
    <row r="31" spans="1:216" ht="15" customHeight="1">
      <c r="A31" s="18">
        <v>33</v>
      </c>
      <c r="B31" s="45" t="s">
        <v>152</v>
      </c>
      <c r="C31" s="97"/>
      <c r="D31" s="98">
        <f t="shared" si="3"/>
        <v>2903813.01</v>
      </c>
      <c r="E31" s="98">
        <f t="shared" si="0"/>
        <v>0</v>
      </c>
      <c r="F31" s="99"/>
      <c r="G31" s="99">
        <f t="shared" si="31"/>
        <v>0</v>
      </c>
      <c r="H31" s="99">
        <f t="shared" si="32"/>
        <v>0</v>
      </c>
      <c r="I31" s="99">
        <f t="shared" si="4"/>
        <v>0</v>
      </c>
      <c r="J31" s="99">
        <f t="shared" si="5"/>
        <v>0</v>
      </c>
      <c r="K31" s="99">
        <f t="shared" si="6"/>
        <v>12285.76</v>
      </c>
      <c r="L31" s="135">
        <f t="shared" si="7"/>
        <v>1753.9</v>
      </c>
      <c r="M31" s="135"/>
      <c r="N31" s="135">
        <f t="shared" si="8"/>
        <v>190464.39999999997</v>
      </c>
      <c r="O31" s="136">
        <f t="shared" si="9"/>
        <v>3108317.0699999994</v>
      </c>
      <c r="P31" s="18"/>
      <c r="Q31" s="135">
        <f t="shared" si="10"/>
        <v>208125</v>
      </c>
      <c r="R31" s="32">
        <v>208125</v>
      </c>
      <c r="S31" s="135">
        <v>12810028</v>
      </c>
      <c r="T31" s="135">
        <v>3868629</v>
      </c>
      <c r="U31" s="55">
        <f t="shared" si="11"/>
        <v>16678657</v>
      </c>
      <c r="V31" s="46"/>
      <c r="W31" s="46"/>
      <c r="X31" s="46">
        <f t="shared" si="12"/>
        <v>0</v>
      </c>
      <c r="Y31" s="183">
        <f t="shared" si="13"/>
        <v>19995099.07</v>
      </c>
      <c r="Z31" s="45" t="s">
        <v>152</v>
      </c>
      <c r="AA31" s="100">
        <f t="shared" si="14"/>
        <v>0</v>
      </c>
      <c r="AB31" s="101">
        <f t="shared" si="15"/>
        <v>755177.37</v>
      </c>
      <c r="AC31" s="176">
        <f t="shared" si="16"/>
        <v>1449977.73</v>
      </c>
      <c r="AD31" s="176">
        <f t="shared" si="17"/>
        <v>437893.27</v>
      </c>
      <c r="AE31" s="34">
        <f t="shared" si="18"/>
        <v>0</v>
      </c>
      <c r="AF31">
        <f t="shared" si="19"/>
        <v>2635051.12</v>
      </c>
      <c r="AG31" s="46">
        <v>144000</v>
      </c>
      <c r="AH31" s="104">
        <f t="shared" si="20"/>
        <v>5422099.4900000002</v>
      </c>
      <c r="AI31" s="105"/>
      <c r="AJ31" s="37">
        <v>124000</v>
      </c>
      <c r="AK31" s="18"/>
      <c r="AL31" s="109">
        <f t="shared" si="21"/>
        <v>124000</v>
      </c>
      <c r="AM31" s="143"/>
      <c r="AN31" s="107"/>
      <c r="AO31" s="107"/>
      <c r="AP31" s="107"/>
      <c r="AQ31" s="111">
        <f t="shared" si="22"/>
        <v>25541198.560000002</v>
      </c>
      <c r="AR31" s="67" t="s">
        <v>152</v>
      </c>
      <c r="AS31" s="88"/>
      <c r="AT31" s="67"/>
      <c r="AU31" s="67"/>
      <c r="AV31" s="31">
        <f t="shared" si="23"/>
        <v>0</v>
      </c>
      <c r="AW31" s="254"/>
      <c r="AX31" s="67"/>
      <c r="AY31" s="254"/>
      <c r="AZ31" s="257"/>
      <c r="BA31" s="198">
        <v>18330.66</v>
      </c>
      <c r="BB31" s="269"/>
      <c r="BC31" s="270">
        <f t="shared" si="33"/>
        <v>18330.66</v>
      </c>
      <c r="BD31" s="67" t="s">
        <v>152</v>
      </c>
      <c r="BE31" s="211">
        <v>227784.12</v>
      </c>
      <c r="BF31" s="98">
        <v>0</v>
      </c>
      <c r="BG31" s="99"/>
      <c r="BH31" s="99"/>
      <c r="BI31" s="99"/>
      <c r="BJ31" s="46">
        <v>0</v>
      </c>
      <c r="BK31" s="46">
        <v>4736</v>
      </c>
      <c r="BL31" s="46">
        <v>1292</v>
      </c>
      <c r="BM31" s="55"/>
      <c r="BN31" s="46">
        <v>160464.39999999997</v>
      </c>
      <c r="BO31" s="247">
        <f t="shared" si="24"/>
        <v>394276.51999999996</v>
      </c>
      <c r="BP31" s="99">
        <v>675000</v>
      </c>
      <c r="BQ31" s="99">
        <v>0</v>
      </c>
      <c r="BR31" s="33"/>
      <c r="BS31" s="227">
        <v>115045</v>
      </c>
      <c r="BT31" s="49"/>
      <c r="BU31" s="49"/>
      <c r="BV31" s="227">
        <v>0</v>
      </c>
      <c r="BW31" s="227">
        <v>0</v>
      </c>
      <c r="BX31" s="49"/>
      <c r="BY31" s="49">
        <v>0</v>
      </c>
      <c r="BZ31" s="49">
        <v>7549.76</v>
      </c>
      <c r="CA31" s="49">
        <v>461.9</v>
      </c>
      <c r="CB31" s="49">
        <v>360025.17</v>
      </c>
      <c r="CC31" s="49">
        <v>30000</v>
      </c>
      <c r="CD31" s="49"/>
      <c r="CE31" s="18"/>
      <c r="CF31" s="18"/>
      <c r="CG31" s="18">
        <v>0</v>
      </c>
      <c r="CH31" s="176">
        <v>154630</v>
      </c>
      <c r="CI31" s="18">
        <v>0</v>
      </c>
      <c r="CJ31" s="176">
        <v>0</v>
      </c>
      <c r="CK31" s="18">
        <v>0</v>
      </c>
      <c r="CL31" s="18"/>
      <c r="CM31" s="33"/>
      <c r="CN31" s="33"/>
      <c r="CO31" s="33">
        <v>0</v>
      </c>
      <c r="CP31" s="33">
        <v>189999</v>
      </c>
      <c r="CQ31" s="67">
        <v>0</v>
      </c>
      <c r="CR31" s="67">
        <v>224071.07</v>
      </c>
      <c r="CS31" s="67"/>
      <c r="CT31" s="67"/>
      <c r="CU31" s="18"/>
      <c r="CV31" s="18"/>
      <c r="CW31" s="18"/>
      <c r="CX31" s="18">
        <v>0</v>
      </c>
      <c r="CY31" s="18">
        <v>0</v>
      </c>
      <c r="CZ31" s="18"/>
      <c r="DA31" s="18">
        <v>0</v>
      </c>
      <c r="DB31" s="231"/>
      <c r="DC31" s="33"/>
      <c r="DD31" s="18"/>
      <c r="DE31" s="18"/>
      <c r="DF31" s="18"/>
      <c r="DG31" s="18"/>
      <c r="DH31" s="18"/>
      <c r="DI31" s="18"/>
      <c r="DJ31" s="18"/>
      <c r="DK31" s="231"/>
      <c r="DL31" s="18"/>
      <c r="DM31" s="18"/>
      <c r="DN31" s="18"/>
      <c r="DO31" s="18"/>
      <c r="DP31" s="18"/>
      <c r="DQ31" s="211"/>
      <c r="DR31" s="231"/>
      <c r="DS31" s="18"/>
      <c r="DT31" s="18"/>
      <c r="DU31" s="18"/>
      <c r="DV31" s="211"/>
      <c r="DW31" s="18"/>
      <c r="DX31" s="18"/>
      <c r="DY31" s="18"/>
      <c r="DZ31" s="18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70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40">
        <f t="shared" si="1"/>
        <v>957258.65</v>
      </c>
      <c r="FO31" s="46"/>
      <c r="FP31" s="46"/>
      <c r="FQ31" s="33"/>
      <c r="FR31" s="100">
        <v>85746</v>
      </c>
      <c r="FS31" s="33"/>
      <c r="FT31" s="33">
        <v>871512.65</v>
      </c>
      <c r="FU31" s="207">
        <f t="shared" si="25"/>
        <v>0</v>
      </c>
      <c r="FV31" s="232"/>
      <c r="FW31" s="232"/>
      <c r="FX31" s="100"/>
      <c r="FY31" s="32">
        <f t="shared" si="26"/>
        <v>2635051.12</v>
      </c>
      <c r="FZ31" s="273">
        <f>2894576-259524.88</f>
        <v>2635051.12</v>
      </c>
      <c r="GA31" s="100">
        <v>0</v>
      </c>
      <c r="GB31" s="204">
        <v>0</v>
      </c>
      <c r="GC31" s="100"/>
      <c r="GD31" s="100"/>
      <c r="GE31" s="280"/>
      <c r="GF31" s="49" t="s">
        <v>152</v>
      </c>
      <c r="GG31" s="38">
        <f t="shared" si="2"/>
        <v>5566099.4900000002</v>
      </c>
      <c r="GH31" s="38"/>
      <c r="GI31" s="37"/>
      <c r="GJ31" s="37"/>
      <c r="GK31" s="78"/>
      <c r="GL31" s="40">
        <f t="shared" si="27"/>
        <v>755177.37</v>
      </c>
      <c r="GM31" s="98"/>
      <c r="GN31" s="98"/>
      <c r="GO31" s="98"/>
      <c r="GP31" s="98"/>
      <c r="GQ31" s="111">
        <f t="shared" si="28"/>
        <v>0</v>
      </c>
      <c r="GR31" s="33">
        <v>455714</v>
      </c>
      <c r="GS31" s="98"/>
      <c r="GT31" s="260">
        <v>299463.37</v>
      </c>
      <c r="GU31" s="98"/>
      <c r="GV31" s="32"/>
      <c r="GW31" s="32">
        <v>1200000</v>
      </c>
      <c r="GX31" s="32">
        <v>362400</v>
      </c>
      <c r="GY31" s="32">
        <v>189977.73</v>
      </c>
      <c r="GZ31" s="32">
        <v>57373.26999999999</v>
      </c>
      <c r="HA31" s="32">
        <v>60000</v>
      </c>
      <c r="HB31" s="33">
        <v>18120</v>
      </c>
      <c r="HC31" s="32"/>
      <c r="HD31" s="32"/>
      <c r="HE31" s="18"/>
      <c r="HF31" s="67" t="s">
        <v>152</v>
      </c>
      <c r="HG31" s="34">
        <f t="shared" si="29"/>
        <v>4181579.78</v>
      </c>
      <c r="HH31" s="34">
        <f t="shared" si="30"/>
        <v>25541198.560000002</v>
      </c>
    </row>
    <row r="32" spans="1:216" ht="15" customHeight="1">
      <c r="A32" s="18">
        <v>34</v>
      </c>
      <c r="B32" s="45" t="s">
        <v>153</v>
      </c>
      <c r="C32" s="97"/>
      <c r="D32" s="98">
        <f t="shared" si="3"/>
        <v>1523705.38</v>
      </c>
      <c r="E32" s="98">
        <f t="shared" si="0"/>
        <v>0</v>
      </c>
      <c r="F32" s="99"/>
      <c r="G32" s="99">
        <f t="shared" si="31"/>
        <v>0</v>
      </c>
      <c r="H32" s="99">
        <f t="shared" si="32"/>
        <v>0</v>
      </c>
      <c r="I32" s="99">
        <f t="shared" si="4"/>
        <v>0</v>
      </c>
      <c r="J32" s="99">
        <f t="shared" si="5"/>
        <v>0</v>
      </c>
      <c r="K32" s="99">
        <f t="shared" si="6"/>
        <v>852</v>
      </c>
      <c r="L32" s="135">
        <f t="shared" si="7"/>
        <v>1000</v>
      </c>
      <c r="M32" s="135"/>
      <c r="N32" s="135">
        <f t="shared" si="8"/>
        <v>1420555.1999999997</v>
      </c>
      <c r="O32" s="136">
        <f t="shared" si="9"/>
        <v>2946112.5799999996</v>
      </c>
      <c r="P32" s="18"/>
      <c r="Q32" s="135">
        <f t="shared" si="10"/>
        <v>315125</v>
      </c>
      <c r="R32" s="32">
        <v>315125</v>
      </c>
      <c r="S32" s="135">
        <v>14023987</v>
      </c>
      <c r="T32" s="135">
        <v>4235244</v>
      </c>
      <c r="U32" s="55">
        <f t="shared" si="11"/>
        <v>18259231</v>
      </c>
      <c r="V32" s="46"/>
      <c r="W32" s="46"/>
      <c r="X32" s="46">
        <f t="shared" si="12"/>
        <v>0</v>
      </c>
      <c r="Y32" s="183">
        <f t="shared" si="13"/>
        <v>21520468.579999998</v>
      </c>
      <c r="Z32" s="45" t="s">
        <v>153</v>
      </c>
      <c r="AA32" s="100">
        <f t="shared" si="14"/>
        <v>0</v>
      </c>
      <c r="AB32" s="101">
        <f t="shared" si="15"/>
        <v>816653</v>
      </c>
      <c r="AC32" s="176">
        <f t="shared" si="16"/>
        <v>1329977.73</v>
      </c>
      <c r="AD32" s="176">
        <f t="shared" si="17"/>
        <v>401653.27</v>
      </c>
      <c r="AE32" s="34">
        <f t="shared" si="18"/>
        <v>0</v>
      </c>
      <c r="AF32">
        <f t="shared" si="19"/>
        <v>0</v>
      </c>
      <c r="AG32" s="46">
        <v>153000</v>
      </c>
      <c r="AH32" s="104">
        <f t="shared" si="20"/>
        <v>2701284</v>
      </c>
      <c r="AI32" s="105"/>
      <c r="AJ32" s="37">
        <v>966700</v>
      </c>
      <c r="AK32" s="18"/>
      <c r="AL32" s="109">
        <f t="shared" si="21"/>
        <v>966700</v>
      </c>
      <c r="AM32" s="143"/>
      <c r="AN32" s="107"/>
      <c r="AO32" s="107"/>
      <c r="AP32" s="107"/>
      <c r="AQ32" s="111">
        <f t="shared" si="22"/>
        <v>25188452.579999998</v>
      </c>
      <c r="AR32" s="67" t="s">
        <v>153</v>
      </c>
      <c r="AS32" s="88"/>
      <c r="AT32" s="67"/>
      <c r="AU32" s="67"/>
      <c r="AV32" s="31">
        <f t="shared" si="23"/>
        <v>0</v>
      </c>
      <c r="AW32" s="254"/>
      <c r="AX32" s="67"/>
      <c r="AY32" s="254">
        <v>403688.29</v>
      </c>
      <c r="AZ32" s="257"/>
      <c r="BA32" s="198">
        <v>329716.23</v>
      </c>
      <c r="BB32" s="269"/>
      <c r="BC32" s="270">
        <f t="shared" si="33"/>
        <v>733404.52</v>
      </c>
      <c r="BD32" s="67" t="s">
        <v>153</v>
      </c>
      <c r="BE32" s="211">
        <v>183639.04000000001</v>
      </c>
      <c r="BF32" s="98">
        <v>0</v>
      </c>
      <c r="BG32" s="99"/>
      <c r="BH32" s="99"/>
      <c r="BI32" s="99"/>
      <c r="BJ32" s="46">
        <v>0</v>
      </c>
      <c r="BK32" s="46">
        <v>852</v>
      </c>
      <c r="BL32" s="46">
        <v>1000</v>
      </c>
      <c r="BM32" s="55"/>
      <c r="BN32" s="46">
        <v>1220555.1999999997</v>
      </c>
      <c r="BO32" s="247">
        <f t="shared" si="24"/>
        <v>1406046.2399999998</v>
      </c>
      <c r="BP32" s="99">
        <v>0</v>
      </c>
      <c r="BQ32" s="99">
        <v>0</v>
      </c>
      <c r="BR32" s="33"/>
      <c r="BS32" s="227">
        <v>0</v>
      </c>
      <c r="BT32" s="49"/>
      <c r="BU32" s="49"/>
      <c r="BV32" s="227">
        <v>0</v>
      </c>
      <c r="BW32" s="227">
        <v>0</v>
      </c>
      <c r="BX32" s="49"/>
      <c r="BY32" s="49">
        <v>0</v>
      </c>
      <c r="BZ32" s="49">
        <v>0</v>
      </c>
      <c r="CA32" s="49">
        <v>0</v>
      </c>
      <c r="CB32" s="49">
        <v>329549.5</v>
      </c>
      <c r="CC32" s="49">
        <v>200000</v>
      </c>
      <c r="CD32" s="49"/>
      <c r="CE32" s="18"/>
      <c r="CF32" s="18"/>
      <c r="CG32" s="18">
        <v>0</v>
      </c>
      <c r="CH32" s="176">
        <v>30000</v>
      </c>
      <c r="CI32" s="18">
        <v>0</v>
      </c>
      <c r="CJ32" s="176">
        <v>0</v>
      </c>
      <c r="CK32" s="18">
        <v>0</v>
      </c>
      <c r="CL32" s="18"/>
      <c r="CM32" s="33"/>
      <c r="CN32" s="33"/>
      <c r="CO32" s="33">
        <v>0</v>
      </c>
      <c r="CP32" s="33">
        <v>56411.5</v>
      </c>
      <c r="CQ32" s="67">
        <v>0</v>
      </c>
      <c r="CR32" s="67">
        <v>0</v>
      </c>
      <c r="CS32" s="67"/>
      <c r="CT32" s="67"/>
      <c r="CU32" s="18"/>
      <c r="CV32" s="18"/>
      <c r="CW32" s="18"/>
      <c r="CX32" s="18">
        <v>0</v>
      </c>
      <c r="CY32" s="18">
        <v>0</v>
      </c>
      <c r="CZ32" s="18"/>
      <c r="DA32" s="18">
        <v>0</v>
      </c>
      <c r="DB32" s="231"/>
      <c r="DC32" s="33"/>
      <c r="DD32" s="18"/>
      <c r="DE32" s="18"/>
      <c r="DF32" s="18"/>
      <c r="DG32" s="18"/>
      <c r="DH32" s="18"/>
      <c r="DI32" s="18"/>
      <c r="DJ32" s="18"/>
      <c r="DK32" s="231"/>
      <c r="DL32" s="18"/>
      <c r="DM32" s="18"/>
      <c r="DN32" s="18"/>
      <c r="DO32" s="18"/>
      <c r="DP32" s="18"/>
      <c r="DQ32" s="211"/>
      <c r="DR32" s="231"/>
      <c r="DS32" s="18"/>
      <c r="DT32" s="18"/>
      <c r="DU32" s="18"/>
      <c r="DV32" s="211"/>
      <c r="DW32" s="18"/>
      <c r="DX32" s="18"/>
      <c r="DY32" s="18"/>
      <c r="DZ32" s="18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70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40">
        <f t="shared" si="1"/>
        <v>924105.34</v>
      </c>
      <c r="FO32" s="46"/>
      <c r="FP32" s="46"/>
      <c r="FQ32" s="33">
        <v>199697.4</v>
      </c>
      <c r="FR32" s="100">
        <v>59188.75</v>
      </c>
      <c r="FS32" s="33"/>
      <c r="FT32" s="33">
        <v>665219.18999999994</v>
      </c>
      <c r="FU32" s="207">
        <f t="shared" si="25"/>
        <v>0</v>
      </c>
      <c r="FV32" s="232"/>
      <c r="FW32" s="232"/>
      <c r="FX32" s="100"/>
      <c r="FY32" s="32">
        <f t="shared" si="26"/>
        <v>0</v>
      </c>
      <c r="FZ32" s="273"/>
      <c r="GA32" s="100">
        <v>0</v>
      </c>
      <c r="GB32" s="204">
        <v>0</v>
      </c>
      <c r="GC32" s="100"/>
      <c r="GD32" s="100"/>
      <c r="GE32" s="280"/>
      <c r="GF32" s="49" t="s">
        <v>153</v>
      </c>
      <c r="GG32" s="38">
        <f t="shared" si="2"/>
        <v>2854284</v>
      </c>
      <c r="GH32" s="38"/>
      <c r="GI32" s="37"/>
      <c r="GJ32" s="37"/>
      <c r="GK32" s="78"/>
      <c r="GL32" s="40">
        <f t="shared" si="27"/>
        <v>816653</v>
      </c>
      <c r="GM32" s="98"/>
      <c r="GN32" s="98"/>
      <c r="GO32" s="98"/>
      <c r="GP32" s="98"/>
      <c r="GQ32" s="111">
        <f t="shared" si="28"/>
        <v>0</v>
      </c>
      <c r="GR32" s="33">
        <v>431753</v>
      </c>
      <c r="GS32" s="98"/>
      <c r="GT32" s="260">
        <v>384900</v>
      </c>
      <c r="GU32" s="98"/>
      <c r="GV32" s="32"/>
      <c r="GW32" s="32">
        <v>1080000</v>
      </c>
      <c r="GX32" s="32">
        <v>326160</v>
      </c>
      <c r="GY32" s="32">
        <v>189977.73</v>
      </c>
      <c r="GZ32" s="32">
        <v>57373.26999999999</v>
      </c>
      <c r="HA32" s="32">
        <v>60000</v>
      </c>
      <c r="HB32" s="33">
        <v>18120</v>
      </c>
      <c r="HC32" s="32"/>
      <c r="HD32" s="32"/>
      <c r="HE32" s="18"/>
      <c r="HF32" s="67" t="s">
        <v>153</v>
      </c>
      <c r="HG32" s="34">
        <f t="shared" si="29"/>
        <v>5042738.58</v>
      </c>
      <c r="HH32" s="34">
        <f t="shared" si="30"/>
        <v>25188452.579999998</v>
      </c>
    </row>
    <row r="33" spans="1:217" ht="15" customHeight="1">
      <c r="A33" s="18">
        <v>36</v>
      </c>
      <c r="B33" s="45" t="s">
        <v>154</v>
      </c>
      <c r="C33" s="97"/>
      <c r="D33" s="98">
        <f t="shared" si="3"/>
        <v>3005988.8400000003</v>
      </c>
      <c r="E33" s="98">
        <f t="shared" si="0"/>
        <v>0</v>
      </c>
      <c r="F33" s="99"/>
      <c r="G33" s="99">
        <f t="shared" si="31"/>
        <v>30000</v>
      </c>
      <c r="H33" s="99">
        <f t="shared" si="32"/>
        <v>9060</v>
      </c>
      <c r="I33" s="99">
        <f t="shared" si="4"/>
        <v>0</v>
      </c>
      <c r="J33" s="99">
        <f t="shared" si="5"/>
        <v>71600</v>
      </c>
      <c r="K33" s="99">
        <f t="shared" si="6"/>
        <v>3380</v>
      </c>
      <c r="L33" s="135">
        <f t="shared" si="7"/>
        <v>1000</v>
      </c>
      <c r="M33" s="135"/>
      <c r="N33" s="135">
        <f t="shared" si="8"/>
        <v>1070311.23</v>
      </c>
      <c r="O33" s="136">
        <f t="shared" si="9"/>
        <v>4191340.0700000003</v>
      </c>
      <c r="P33" s="18"/>
      <c r="Q33" s="135">
        <f t="shared" si="10"/>
        <v>399500</v>
      </c>
      <c r="R33" s="32">
        <v>399500</v>
      </c>
      <c r="S33" s="135">
        <v>13434882</v>
      </c>
      <c r="T33" s="135">
        <v>4057335</v>
      </c>
      <c r="U33" s="55">
        <f t="shared" si="11"/>
        <v>17492217</v>
      </c>
      <c r="V33" s="46"/>
      <c r="W33" s="46"/>
      <c r="X33" s="46">
        <f t="shared" si="12"/>
        <v>0</v>
      </c>
      <c r="Y33" s="183">
        <f t="shared" si="13"/>
        <v>22083057.07</v>
      </c>
      <c r="Z33" s="45" t="s">
        <v>154</v>
      </c>
      <c r="AA33" s="100">
        <f t="shared" si="14"/>
        <v>0</v>
      </c>
      <c r="AB33" s="101">
        <f t="shared" si="15"/>
        <v>1370040</v>
      </c>
      <c r="AC33" s="176">
        <f t="shared" si="16"/>
        <v>1329977.73</v>
      </c>
      <c r="AD33" s="176">
        <f t="shared" si="17"/>
        <v>401653.27</v>
      </c>
      <c r="AE33" s="34">
        <f t="shared" si="18"/>
        <v>0</v>
      </c>
      <c r="AF33">
        <f t="shared" si="19"/>
        <v>10428345.010000002</v>
      </c>
      <c r="AG33" s="46">
        <v>153000</v>
      </c>
      <c r="AH33" s="104">
        <f t="shared" si="20"/>
        <v>13683016.010000002</v>
      </c>
      <c r="AI33" s="105"/>
      <c r="AJ33" s="37">
        <v>134000</v>
      </c>
      <c r="AK33" s="18"/>
      <c r="AL33" s="109">
        <f t="shared" si="21"/>
        <v>134000</v>
      </c>
      <c r="AM33" s="143">
        <v>200000</v>
      </c>
      <c r="AN33" s="107"/>
      <c r="AO33" s="107"/>
      <c r="AP33" s="107"/>
      <c r="AQ33" s="111">
        <f t="shared" si="22"/>
        <v>36100073.079999998</v>
      </c>
      <c r="AR33" s="67" t="s">
        <v>154</v>
      </c>
      <c r="AS33" s="88"/>
      <c r="AT33" s="67"/>
      <c r="AU33" s="67"/>
      <c r="AV33" s="31">
        <f t="shared" si="23"/>
        <v>0</v>
      </c>
      <c r="AW33" s="254"/>
      <c r="AX33" s="67"/>
      <c r="AY33" s="254">
        <v>310578.24</v>
      </c>
      <c r="AZ33" s="257"/>
      <c r="BA33" s="198">
        <v>90831.45</v>
      </c>
      <c r="BB33" s="269"/>
      <c r="BC33" s="270">
        <f t="shared" si="33"/>
        <v>401409.69</v>
      </c>
      <c r="BD33" s="67" t="s">
        <v>154</v>
      </c>
      <c r="BE33" s="211">
        <v>214972.12</v>
      </c>
      <c r="BF33" s="98">
        <v>0</v>
      </c>
      <c r="BG33" s="99"/>
      <c r="BH33" s="99"/>
      <c r="BI33" s="99"/>
      <c r="BJ33" s="46">
        <v>17900</v>
      </c>
      <c r="BK33" s="46">
        <v>3380</v>
      </c>
      <c r="BL33" s="46">
        <v>1000</v>
      </c>
      <c r="BM33" s="55"/>
      <c r="BN33" s="46">
        <v>1010311.23</v>
      </c>
      <c r="BO33" s="247">
        <f t="shared" si="24"/>
        <v>1247563.3500000001</v>
      </c>
      <c r="BP33" s="99">
        <v>35000</v>
      </c>
      <c r="BQ33" s="99">
        <v>0</v>
      </c>
      <c r="BR33" s="33"/>
      <c r="BS33" s="227">
        <v>141100</v>
      </c>
      <c r="BT33" s="44"/>
      <c r="BU33" s="44"/>
      <c r="BV33" s="227">
        <v>1300</v>
      </c>
      <c r="BW33" s="227">
        <v>0</v>
      </c>
      <c r="BX33" s="44"/>
      <c r="BY33" s="44">
        <v>53700</v>
      </c>
      <c r="BZ33" s="44">
        <v>0</v>
      </c>
      <c r="CA33" s="44">
        <v>0</v>
      </c>
      <c r="CB33" s="44">
        <v>915801.10000000009</v>
      </c>
      <c r="CC33" s="44">
        <v>60000</v>
      </c>
      <c r="CD33" s="44"/>
      <c r="CE33" s="18"/>
      <c r="CF33" s="18"/>
      <c r="CG33" s="18">
        <v>0</v>
      </c>
      <c r="CH33" s="176">
        <v>30000</v>
      </c>
      <c r="CI33" s="18">
        <v>0</v>
      </c>
      <c r="CJ33" s="176">
        <v>0</v>
      </c>
      <c r="CK33" s="18">
        <v>0</v>
      </c>
      <c r="CL33" s="18"/>
      <c r="CM33" s="33"/>
      <c r="CN33" s="33"/>
      <c r="CO33" s="33">
        <v>0</v>
      </c>
      <c r="CP33" s="33">
        <v>220044.27</v>
      </c>
      <c r="CQ33" s="67">
        <v>0</v>
      </c>
      <c r="CR33" s="67">
        <v>0</v>
      </c>
      <c r="CS33" s="67"/>
      <c r="CT33" s="67"/>
      <c r="CU33" s="18"/>
      <c r="CV33" s="18"/>
      <c r="CW33" s="18"/>
      <c r="CX33" s="18">
        <v>0</v>
      </c>
      <c r="CY33" s="18">
        <v>0</v>
      </c>
      <c r="CZ33" s="18"/>
      <c r="DA33" s="18">
        <v>0</v>
      </c>
      <c r="DB33" s="231"/>
      <c r="DC33" s="33"/>
      <c r="DD33" s="18"/>
      <c r="DE33" s="18"/>
      <c r="DF33" s="18"/>
      <c r="DG33" s="18"/>
      <c r="DH33" s="18"/>
      <c r="DI33" s="18"/>
      <c r="DJ33" s="18"/>
      <c r="DK33" s="231"/>
      <c r="DL33" s="18"/>
      <c r="DM33" s="18"/>
      <c r="DN33" s="18"/>
      <c r="DO33" s="18"/>
      <c r="DP33" s="18"/>
      <c r="DQ33" s="211"/>
      <c r="DR33" s="231"/>
      <c r="DS33" s="18"/>
      <c r="DT33" s="18"/>
      <c r="DU33" s="18"/>
      <c r="DV33" s="211"/>
      <c r="DW33" s="18"/>
      <c r="DX33" s="18"/>
      <c r="DY33" s="18"/>
      <c r="DZ33" s="18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70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40">
        <f t="shared" si="1"/>
        <v>1447771.3500000003</v>
      </c>
      <c r="FO33" s="46">
        <v>30000</v>
      </c>
      <c r="FP33" s="46">
        <v>9060</v>
      </c>
      <c r="FQ33" s="200"/>
      <c r="FR33" s="100">
        <v>172973.5</v>
      </c>
      <c r="FS33" s="33"/>
      <c r="FT33" s="33">
        <v>1274797.8500000003</v>
      </c>
      <c r="FU33" s="207">
        <f t="shared" si="25"/>
        <v>0</v>
      </c>
      <c r="FV33" s="232"/>
      <c r="FW33" s="232"/>
      <c r="FX33" s="100"/>
      <c r="FY33" s="32">
        <f t="shared" si="26"/>
        <v>10428345.010000002</v>
      </c>
      <c r="FZ33" s="273"/>
      <c r="GA33" s="100">
        <v>0</v>
      </c>
      <c r="GB33" s="204">
        <f>4925769.06+6135844.1-649265.62+15997.47</f>
        <v>10428345.010000002</v>
      </c>
      <c r="GC33" s="100"/>
      <c r="GD33" s="100"/>
      <c r="GE33" s="280"/>
      <c r="GF33" s="44" t="s">
        <v>154</v>
      </c>
      <c r="GG33" s="38">
        <f t="shared" si="2"/>
        <v>13836016.010000002</v>
      </c>
      <c r="GH33" s="38"/>
      <c r="GI33" s="37"/>
      <c r="GJ33" s="37"/>
      <c r="GK33" s="78"/>
      <c r="GL33" s="40">
        <f t="shared" si="27"/>
        <v>1370040</v>
      </c>
      <c r="GM33" s="98"/>
      <c r="GN33" s="98"/>
      <c r="GO33" s="98"/>
      <c r="GP33" s="98"/>
      <c r="GQ33" s="111">
        <f t="shared" si="28"/>
        <v>0</v>
      </c>
      <c r="GR33" s="33">
        <v>995040</v>
      </c>
      <c r="GS33" s="98"/>
      <c r="GT33" s="260">
        <v>375000</v>
      </c>
      <c r="GU33" s="98"/>
      <c r="GV33" s="32"/>
      <c r="GW33" s="32">
        <v>1080000</v>
      </c>
      <c r="GX33" s="32">
        <v>326160</v>
      </c>
      <c r="GY33" s="32">
        <v>189977.73</v>
      </c>
      <c r="GZ33" s="32">
        <v>57373.26999999999</v>
      </c>
      <c r="HA33" s="32">
        <v>60000</v>
      </c>
      <c r="HB33" s="33">
        <v>18120</v>
      </c>
      <c r="HC33" s="32"/>
      <c r="HD33" s="32"/>
      <c r="HE33" s="18"/>
      <c r="HF33" s="67" t="s">
        <v>154</v>
      </c>
      <c r="HG33" s="34">
        <f t="shared" si="29"/>
        <v>5979840.0700000003</v>
      </c>
      <c r="HH33" s="34">
        <f t="shared" si="30"/>
        <v>36100073.079999998</v>
      </c>
    </row>
    <row r="34" spans="1:217" ht="15" customHeight="1">
      <c r="A34" s="18">
        <v>37</v>
      </c>
      <c r="B34" s="45" t="s">
        <v>155</v>
      </c>
      <c r="C34" s="97"/>
      <c r="D34" s="98">
        <f t="shared" si="3"/>
        <v>5246358.2699999996</v>
      </c>
      <c r="E34" s="98">
        <f t="shared" si="0"/>
        <v>0</v>
      </c>
      <c r="F34" s="99"/>
      <c r="G34" s="99">
        <f t="shared" si="31"/>
        <v>0</v>
      </c>
      <c r="H34" s="99">
        <f t="shared" si="32"/>
        <v>0</v>
      </c>
      <c r="I34" s="99">
        <f t="shared" si="4"/>
        <v>0</v>
      </c>
      <c r="J34" s="99">
        <f t="shared" si="5"/>
        <v>0</v>
      </c>
      <c r="K34" s="99">
        <f t="shared" si="6"/>
        <v>8116</v>
      </c>
      <c r="L34" s="135">
        <f t="shared" si="7"/>
        <v>1000</v>
      </c>
      <c r="M34" s="135"/>
      <c r="N34" s="135">
        <f t="shared" si="8"/>
        <v>2899270.9800000004</v>
      </c>
      <c r="O34" s="136">
        <f t="shared" si="9"/>
        <v>8154745.25</v>
      </c>
      <c r="P34" s="18"/>
      <c r="Q34" s="135">
        <f t="shared" si="10"/>
        <v>775500</v>
      </c>
      <c r="R34" s="32">
        <v>775500</v>
      </c>
      <c r="S34" s="135">
        <v>20236097</v>
      </c>
      <c r="T34" s="135">
        <v>6111301</v>
      </c>
      <c r="U34" s="55">
        <f t="shared" si="11"/>
        <v>26347398</v>
      </c>
      <c r="V34" s="46"/>
      <c r="W34" s="46"/>
      <c r="X34" s="46">
        <f t="shared" si="12"/>
        <v>0</v>
      </c>
      <c r="Y34" s="183">
        <f t="shared" si="13"/>
        <v>35277643.25</v>
      </c>
      <c r="Z34" s="45" t="s">
        <v>155</v>
      </c>
      <c r="AA34" s="100">
        <f t="shared" si="14"/>
        <v>0</v>
      </c>
      <c r="AB34" s="101">
        <f t="shared" si="15"/>
        <v>1277673</v>
      </c>
      <c r="AC34" s="176">
        <f t="shared" si="16"/>
        <v>1689985.33</v>
      </c>
      <c r="AD34" s="176">
        <f t="shared" si="17"/>
        <v>510375.57</v>
      </c>
      <c r="AE34" s="34">
        <f t="shared" si="18"/>
        <v>0</v>
      </c>
      <c r="AF34">
        <f t="shared" si="19"/>
        <v>19836955.120000001</v>
      </c>
      <c r="AG34" s="46">
        <v>252000</v>
      </c>
      <c r="AH34" s="104">
        <f t="shared" si="20"/>
        <v>23566989.02</v>
      </c>
      <c r="AI34" s="105"/>
      <c r="AJ34" s="37">
        <v>2501880</v>
      </c>
      <c r="AK34" s="18"/>
      <c r="AL34" s="109">
        <f t="shared" si="21"/>
        <v>2501880</v>
      </c>
      <c r="AM34" s="143"/>
      <c r="AN34" s="107"/>
      <c r="AO34" s="107"/>
      <c r="AP34" s="107">
        <v>495613.78</v>
      </c>
      <c r="AQ34" s="111">
        <f t="shared" si="22"/>
        <v>61346512.269999996</v>
      </c>
      <c r="AR34" s="67" t="s">
        <v>155</v>
      </c>
      <c r="AS34" s="88"/>
      <c r="AT34" s="67"/>
      <c r="AU34" s="67"/>
      <c r="AV34" s="31">
        <f t="shared" si="23"/>
        <v>0</v>
      </c>
      <c r="AW34" s="254"/>
      <c r="AX34" s="67"/>
      <c r="AY34" s="254">
        <v>264096.96000000002</v>
      </c>
      <c r="AZ34" s="257"/>
      <c r="BA34" s="198">
        <v>603339.68999999994</v>
      </c>
      <c r="BB34" s="269"/>
      <c r="BC34" s="270">
        <f t="shared" si="33"/>
        <v>867436.64999999991</v>
      </c>
      <c r="BD34" s="67" t="s">
        <v>155</v>
      </c>
      <c r="BE34" s="211">
        <v>243953.19999999995</v>
      </c>
      <c r="BF34" s="98">
        <v>0</v>
      </c>
      <c r="BG34" s="99"/>
      <c r="BH34" s="99"/>
      <c r="BI34" s="99"/>
      <c r="BJ34" s="46">
        <v>0</v>
      </c>
      <c r="BK34" s="46">
        <v>8116</v>
      </c>
      <c r="BL34" s="46">
        <v>1000</v>
      </c>
      <c r="BM34" s="55"/>
      <c r="BN34" s="46">
        <v>2329270.9800000004</v>
      </c>
      <c r="BO34" s="247">
        <f t="shared" si="24"/>
        <v>2582340.1800000006</v>
      </c>
      <c r="BP34" s="99">
        <v>157860</v>
      </c>
      <c r="BQ34" s="99">
        <v>0</v>
      </c>
      <c r="BR34" s="33"/>
      <c r="BS34" s="227">
        <v>196650</v>
      </c>
      <c r="BT34" s="44"/>
      <c r="BU34" s="44"/>
      <c r="BV34" s="227">
        <v>0</v>
      </c>
      <c r="BW34" s="227">
        <v>0</v>
      </c>
      <c r="BX34" s="44"/>
      <c r="BY34" s="44">
        <v>0</v>
      </c>
      <c r="BZ34" s="44">
        <v>0</v>
      </c>
      <c r="CA34" s="44">
        <v>0</v>
      </c>
      <c r="CB34" s="44">
        <v>554705.35000000009</v>
      </c>
      <c r="CC34" s="44">
        <v>120000</v>
      </c>
      <c r="CD34" s="44"/>
      <c r="CE34" s="18"/>
      <c r="CF34" s="18"/>
      <c r="CG34" s="18">
        <v>0</v>
      </c>
      <c r="CH34" s="176">
        <v>30000</v>
      </c>
      <c r="CI34" s="18">
        <v>0</v>
      </c>
      <c r="CJ34" s="176">
        <v>0</v>
      </c>
      <c r="CK34" s="18">
        <v>0</v>
      </c>
      <c r="CL34" s="18"/>
      <c r="CM34" s="33"/>
      <c r="CN34" s="33"/>
      <c r="CO34" s="33">
        <v>0</v>
      </c>
      <c r="CP34" s="33">
        <v>421909.99</v>
      </c>
      <c r="CQ34" s="67">
        <v>450000</v>
      </c>
      <c r="CR34" s="67">
        <v>32000</v>
      </c>
      <c r="CS34" s="67"/>
      <c r="CT34" s="67"/>
      <c r="CU34" s="18"/>
      <c r="CV34" s="18"/>
      <c r="CW34" s="18"/>
      <c r="CX34" s="18">
        <v>447611.23</v>
      </c>
      <c r="CY34" s="18">
        <v>0</v>
      </c>
      <c r="CZ34" s="18"/>
      <c r="DA34" s="18">
        <v>0</v>
      </c>
      <c r="DB34" s="231"/>
      <c r="DC34" s="33"/>
      <c r="DD34" s="18"/>
      <c r="DE34" s="18"/>
      <c r="DF34" s="18"/>
      <c r="DG34" s="18"/>
      <c r="DH34" s="18"/>
      <c r="DI34" s="18"/>
      <c r="DJ34" s="18"/>
      <c r="DK34" s="231"/>
      <c r="DL34" s="18"/>
      <c r="DM34" s="18"/>
      <c r="DN34" s="18"/>
      <c r="DO34" s="18"/>
      <c r="DP34" s="18"/>
      <c r="DQ34" s="211"/>
      <c r="DR34" s="231"/>
      <c r="DS34" s="18"/>
      <c r="DT34" s="18"/>
      <c r="DU34" s="18"/>
      <c r="DV34" s="211"/>
      <c r="DW34" s="18"/>
      <c r="DX34" s="18"/>
      <c r="DY34" s="18"/>
      <c r="DZ34" s="18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70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40">
        <f t="shared" si="1"/>
        <v>3161668.4999999995</v>
      </c>
      <c r="FO34" s="46"/>
      <c r="FP34" s="46"/>
      <c r="FQ34" s="192">
        <v>384602.4</v>
      </c>
      <c r="FR34" s="100">
        <v>462958.5</v>
      </c>
      <c r="FS34" s="33"/>
      <c r="FT34" s="33">
        <v>2314107.5999999996</v>
      </c>
      <c r="FU34" s="207">
        <f t="shared" si="25"/>
        <v>0</v>
      </c>
      <c r="FV34" s="232"/>
      <c r="FW34" s="232"/>
      <c r="FX34" s="100"/>
      <c r="FY34" s="32">
        <f t="shared" si="26"/>
        <v>19836955.120000001</v>
      </c>
      <c r="FZ34" s="273"/>
      <c r="GA34" s="100">
        <v>300000</v>
      </c>
      <c r="GB34" s="204">
        <f>1283684.82+7247590+7684890.3</f>
        <v>16216165.120000001</v>
      </c>
      <c r="GC34" s="100"/>
      <c r="GD34" s="232">
        <v>3320790</v>
      </c>
      <c r="GE34" s="282"/>
      <c r="GF34" s="44" t="s">
        <v>155</v>
      </c>
      <c r="GG34" s="38">
        <f t="shared" si="2"/>
        <v>23818989.02</v>
      </c>
      <c r="GH34" s="38"/>
      <c r="GI34" s="37"/>
      <c r="GJ34" s="37"/>
      <c r="GK34" s="78"/>
      <c r="GL34" s="40">
        <f t="shared" si="27"/>
        <v>1277673</v>
      </c>
      <c r="GM34" s="98">
        <v>0</v>
      </c>
      <c r="GN34" s="98"/>
      <c r="GO34" s="98"/>
      <c r="GP34" s="98"/>
      <c r="GQ34" s="111">
        <f t="shared" si="28"/>
        <v>0</v>
      </c>
      <c r="GR34" s="33">
        <v>897673</v>
      </c>
      <c r="GS34" s="98"/>
      <c r="GT34" s="260">
        <v>380000</v>
      </c>
      <c r="GU34" s="98"/>
      <c r="GV34" s="32"/>
      <c r="GW34" s="32">
        <v>1440000</v>
      </c>
      <c r="GX34" s="32">
        <v>434880</v>
      </c>
      <c r="GY34" s="32">
        <v>189985.33</v>
      </c>
      <c r="GZ34" s="32">
        <v>57375.570000000007</v>
      </c>
      <c r="HA34" s="32">
        <v>60000</v>
      </c>
      <c r="HB34" s="33">
        <v>18120</v>
      </c>
      <c r="HC34" s="32"/>
      <c r="HD34" s="32"/>
      <c r="HE34" s="18"/>
      <c r="HF34" s="67" t="s">
        <v>155</v>
      </c>
      <c r="HG34" s="34">
        <f t="shared" si="29"/>
        <v>12700682.25</v>
      </c>
      <c r="HH34" s="34">
        <f t="shared" si="30"/>
        <v>61346512.269999996</v>
      </c>
    </row>
    <row r="35" spans="1:217" ht="30" customHeight="1" thickBot="1">
      <c r="A35" s="18">
        <v>38</v>
      </c>
      <c r="B35" s="45" t="s">
        <v>156</v>
      </c>
      <c r="C35" s="97"/>
      <c r="D35" s="98">
        <f t="shared" si="3"/>
        <v>4061298.6199999996</v>
      </c>
      <c r="E35" s="98">
        <f t="shared" si="0"/>
        <v>0</v>
      </c>
      <c r="F35" s="99"/>
      <c r="G35" s="99">
        <f t="shared" si="31"/>
        <v>0</v>
      </c>
      <c r="H35" s="99">
        <f t="shared" si="32"/>
        <v>0</v>
      </c>
      <c r="I35" s="99">
        <f t="shared" si="4"/>
        <v>0</v>
      </c>
      <c r="J35" s="99">
        <f t="shared" si="5"/>
        <v>0</v>
      </c>
      <c r="K35" s="99">
        <f t="shared" si="6"/>
        <v>7856</v>
      </c>
      <c r="L35" s="135">
        <f t="shared" si="7"/>
        <v>1550.74</v>
      </c>
      <c r="M35" s="135"/>
      <c r="N35" s="135">
        <f t="shared" si="8"/>
        <v>437105.39</v>
      </c>
      <c r="O35" s="136">
        <f t="shared" si="9"/>
        <v>4507810.75</v>
      </c>
      <c r="P35" s="18"/>
      <c r="Q35" s="135">
        <f t="shared" si="10"/>
        <v>323375</v>
      </c>
      <c r="R35" s="32">
        <v>323375</v>
      </c>
      <c r="S35" s="135">
        <v>15292144</v>
      </c>
      <c r="T35" s="135">
        <v>4618228.1499999985</v>
      </c>
      <c r="U35" s="55">
        <f t="shared" si="11"/>
        <v>19910372.149999999</v>
      </c>
      <c r="V35" s="46"/>
      <c r="W35" s="46"/>
      <c r="X35" s="46">
        <f t="shared" si="12"/>
        <v>0</v>
      </c>
      <c r="Y35" s="183">
        <f>U35+R35+O35+X35</f>
        <v>24741557.899999999</v>
      </c>
      <c r="Z35" s="45" t="s">
        <v>156</v>
      </c>
      <c r="AA35" s="100">
        <f t="shared" si="14"/>
        <v>0</v>
      </c>
      <c r="AB35" s="101">
        <f t="shared" si="15"/>
        <v>1048287.3300000001</v>
      </c>
      <c r="AC35" s="176">
        <f t="shared" si="16"/>
        <v>1200000</v>
      </c>
      <c r="AD35" s="176">
        <f t="shared" si="17"/>
        <v>362400</v>
      </c>
      <c r="AE35" s="34">
        <f t="shared" si="18"/>
        <v>0</v>
      </c>
      <c r="AF35">
        <f t="shared" si="19"/>
        <v>8065370</v>
      </c>
      <c r="AG35" s="46">
        <v>171000</v>
      </c>
      <c r="AH35" s="104">
        <f t="shared" si="20"/>
        <v>10847057.33</v>
      </c>
      <c r="AI35" s="105"/>
      <c r="AJ35" s="37">
        <v>880580</v>
      </c>
      <c r="AK35" s="18"/>
      <c r="AL35" s="98">
        <f t="shared" si="21"/>
        <v>880580</v>
      </c>
      <c r="AM35" s="143"/>
      <c r="AN35" s="107"/>
      <c r="AO35" s="107"/>
      <c r="AP35" s="107"/>
      <c r="AQ35" s="111">
        <f t="shared" si="22"/>
        <v>36469195.229999997</v>
      </c>
      <c r="AR35" s="67" t="s">
        <v>156</v>
      </c>
      <c r="AS35" s="88"/>
      <c r="AT35" s="67"/>
      <c r="AU35" s="67"/>
      <c r="AV35" s="31">
        <f t="shared" si="23"/>
        <v>0</v>
      </c>
      <c r="AW35" s="45"/>
      <c r="AX35" s="67"/>
      <c r="AY35" s="45"/>
      <c r="AZ35" s="258"/>
      <c r="BA35" s="198">
        <v>59327.57</v>
      </c>
      <c r="BB35" s="269"/>
      <c r="BC35" s="270">
        <f t="shared" si="33"/>
        <v>59327.57</v>
      </c>
      <c r="BD35" s="67" t="s">
        <v>156</v>
      </c>
      <c r="BE35" s="211">
        <v>253453.19999999995</v>
      </c>
      <c r="BF35" s="98">
        <v>0</v>
      </c>
      <c r="BG35" s="99"/>
      <c r="BH35" s="99"/>
      <c r="BI35" s="99"/>
      <c r="BJ35" s="98">
        <v>0</v>
      </c>
      <c r="BK35" s="46">
        <v>4856</v>
      </c>
      <c r="BL35" s="46">
        <v>1240</v>
      </c>
      <c r="BM35" s="55"/>
      <c r="BN35" s="46">
        <v>337210.24</v>
      </c>
      <c r="BO35" s="247">
        <f t="shared" si="24"/>
        <v>596759.43999999994</v>
      </c>
      <c r="BP35" s="99">
        <v>1228220</v>
      </c>
      <c r="BQ35" s="99">
        <v>0</v>
      </c>
      <c r="BR35" s="33"/>
      <c r="BS35" s="227">
        <v>148155</v>
      </c>
      <c r="BT35" s="49"/>
      <c r="BU35" s="49"/>
      <c r="BV35" s="227">
        <v>9131</v>
      </c>
      <c r="BW35" s="227">
        <v>0</v>
      </c>
      <c r="BX35" s="49"/>
      <c r="BY35" s="49">
        <v>0</v>
      </c>
      <c r="BZ35" s="49">
        <v>0</v>
      </c>
      <c r="CA35" s="49">
        <v>310.74</v>
      </c>
      <c r="CB35" s="49">
        <v>466980.54999999993</v>
      </c>
      <c r="CC35" s="49">
        <v>80000</v>
      </c>
      <c r="CD35" s="49"/>
      <c r="CE35" s="18"/>
      <c r="CF35" s="18"/>
      <c r="CG35" s="18">
        <v>19895.150000000001</v>
      </c>
      <c r="CH35" s="176">
        <v>90800</v>
      </c>
      <c r="CI35" s="18">
        <v>0</v>
      </c>
      <c r="CJ35" s="176">
        <v>0</v>
      </c>
      <c r="CK35" s="18">
        <v>0</v>
      </c>
      <c r="CL35" s="18"/>
      <c r="CM35" s="33"/>
      <c r="CN35" s="33"/>
      <c r="CO35" s="33">
        <v>0</v>
      </c>
      <c r="CP35" s="33">
        <v>248080.11</v>
      </c>
      <c r="CQ35" s="67">
        <v>0</v>
      </c>
      <c r="CR35" s="67">
        <v>0</v>
      </c>
      <c r="CS35" s="67"/>
      <c r="CT35" s="67"/>
      <c r="CU35" s="18"/>
      <c r="CV35" s="18"/>
      <c r="CW35" s="18"/>
      <c r="CX35" s="18">
        <v>38436.21</v>
      </c>
      <c r="CY35" s="18">
        <v>3000</v>
      </c>
      <c r="CZ35" s="18"/>
      <c r="DA35" s="18">
        <v>0</v>
      </c>
      <c r="DB35" s="231"/>
      <c r="DC35" s="33"/>
      <c r="DD35" s="18"/>
      <c r="DE35" s="18"/>
      <c r="DF35" s="18"/>
      <c r="DG35" s="18"/>
      <c r="DH35" s="18"/>
      <c r="DI35" s="18"/>
      <c r="DJ35" s="33"/>
      <c r="DK35" s="231"/>
      <c r="DL35" s="33"/>
      <c r="DM35" s="33"/>
      <c r="DN35" s="33"/>
      <c r="DO35" s="33"/>
      <c r="DP35" s="33"/>
      <c r="DQ35" s="211"/>
      <c r="DR35" s="231"/>
      <c r="DS35" s="33"/>
      <c r="DT35" s="33"/>
      <c r="DU35" s="33"/>
      <c r="DV35" s="211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47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40">
        <f t="shared" si="1"/>
        <v>1578042.55</v>
      </c>
      <c r="FO35" s="46"/>
      <c r="FP35" s="46"/>
      <c r="FQ35" s="33">
        <v>288451.8</v>
      </c>
      <c r="FR35" s="18">
        <v>182204</v>
      </c>
      <c r="FS35" s="33"/>
      <c r="FT35" s="33">
        <v>1107386.75</v>
      </c>
      <c r="FU35" s="207">
        <f t="shared" si="25"/>
        <v>0</v>
      </c>
      <c r="FV35" s="232"/>
      <c r="FW35" s="232"/>
      <c r="FX35" s="18"/>
      <c r="FY35" s="32">
        <f t="shared" si="26"/>
        <v>8065370</v>
      </c>
      <c r="FZ35" s="273"/>
      <c r="GA35" s="18">
        <v>0</v>
      </c>
      <c r="GB35" s="203">
        <v>8065370</v>
      </c>
      <c r="GC35" s="18"/>
      <c r="GD35" s="18"/>
      <c r="GE35" s="280"/>
      <c r="GF35" s="49" t="s">
        <v>156</v>
      </c>
      <c r="GG35" s="38">
        <f t="shared" si="2"/>
        <v>11018057.33</v>
      </c>
      <c r="GH35" s="38"/>
      <c r="GI35" s="37"/>
      <c r="GJ35" s="37"/>
      <c r="GK35" s="78"/>
      <c r="GL35" s="40">
        <f t="shared" si="27"/>
        <v>1048287.3300000001</v>
      </c>
      <c r="GM35" s="98"/>
      <c r="GN35" s="98"/>
      <c r="GO35" s="98"/>
      <c r="GP35" s="98"/>
      <c r="GQ35" s="111">
        <f t="shared" si="28"/>
        <v>0</v>
      </c>
      <c r="GR35" s="33">
        <v>662937</v>
      </c>
      <c r="GS35" s="98"/>
      <c r="GT35" s="260">
        <v>385350.33</v>
      </c>
      <c r="GU35" s="98"/>
      <c r="GV35" s="32"/>
      <c r="GW35" s="32">
        <v>1200000</v>
      </c>
      <c r="GX35" s="32">
        <v>362400</v>
      </c>
      <c r="GY35" s="32"/>
      <c r="GZ35" s="32"/>
      <c r="HA35" s="32"/>
      <c r="HB35" s="33"/>
      <c r="HC35" s="32"/>
      <c r="HD35" s="32"/>
      <c r="HE35" s="18"/>
      <c r="HF35" s="67" t="s">
        <v>156</v>
      </c>
      <c r="HG35" s="34">
        <f t="shared" si="29"/>
        <v>6750646.3399999999</v>
      </c>
      <c r="HH35" s="34">
        <f t="shared" si="30"/>
        <v>36469195.229999997</v>
      </c>
    </row>
    <row r="36" spans="1:217" ht="15.75" thickBot="1">
      <c r="A36" s="50"/>
      <c r="B36" s="51" t="s">
        <v>120</v>
      </c>
      <c r="C36" s="52"/>
      <c r="D36" s="98">
        <f>SUM(D3:D35)</f>
        <v>172547197.34</v>
      </c>
      <c r="E36" s="98">
        <f t="shared" si="0"/>
        <v>98535.6</v>
      </c>
      <c r="F36" s="98">
        <f t="shared" ref="F36:M36" si="34">SUM(F3:F35)</f>
        <v>0</v>
      </c>
      <c r="G36" s="98">
        <f t="shared" si="34"/>
        <v>90000</v>
      </c>
      <c r="H36" s="98">
        <f t="shared" si="34"/>
        <v>27180</v>
      </c>
      <c r="I36" s="98">
        <f t="shared" si="34"/>
        <v>0</v>
      </c>
      <c r="J36" s="99">
        <f t="shared" si="5"/>
        <v>3323581</v>
      </c>
      <c r="K36" s="99">
        <f t="shared" si="6"/>
        <v>237490.76</v>
      </c>
      <c r="L36" s="135">
        <f t="shared" si="7"/>
        <v>46708.32</v>
      </c>
      <c r="M36" s="98">
        <f t="shared" si="34"/>
        <v>0</v>
      </c>
      <c r="N36" s="135">
        <f t="shared" si="8"/>
        <v>40111378.719999991</v>
      </c>
      <c r="O36" s="136">
        <f>SUM(D36:N36)</f>
        <v>216482071.73999998</v>
      </c>
      <c r="P36" s="18">
        <f>SUM(P3:P35)</f>
        <v>0</v>
      </c>
      <c r="Q36" s="135">
        <f t="shared" si="10"/>
        <v>18273000</v>
      </c>
      <c r="R36" s="55">
        <f t="shared" ref="R36:W36" si="35">SUM(R3:R35)</f>
        <v>18273000</v>
      </c>
      <c r="S36" s="55">
        <f t="shared" si="35"/>
        <v>624245304</v>
      </c>
      <c r="T36" s="55">
        <f t="shared" si="35"/>
        <v>188522077.15000001</v>
      </c>
      <c r="U36" s="135">
        <f t="shared" si="35"/>
        <v>812767381.14999998</v>
      </c>
      <c r="V36" s="135">
        <f t="shared" si="35"/>
        <v>0</v>
      </c>
      <c r="W36" s="135">
        <f t="shared" si="35"/>
        <v>0</v>
      </c>
      <c r="X36" s="46">
        <f t="shared" si="12"/>
        <v>0</v>
      </c>
      <c r="Y36" s="183">
        <f t="shared" si="13"/>
        <v>1047522452.89</v>
      </c>
      <c r="Z36" s="35"/>
      <c r="AA36" s="100">
        <f t="shared" si="14"/>
        <v>3996514.5900000003</v>
      </c>
      <c r="AB36">
        <f t="shared" ref="AB36:AN36" si="36">SUM(AB3:AB35)</f>
        <v>76879145.030000001</v>
      </c>
      <c r="AC36">
        <f t="shared" si="36"/>
        <v>55649539.929999977</v>
      </c>
      <c r="AD36">
        <f t="shared" si="36"/>
        <v>16806160.969999991</v>
      </c>
      <c r="AE36" s="34">
        <f t="shared" si="18"/>
        <v>28197498.859999999</v>
      </c>
      <c r="AF36">
        <f t="shared" si="19"/>
        <v>280952895.38999993</v>
      </c>
      <c r="AG36">
        <f>SUM(AG3:AG35)</f>
        <v>7263000</v>
      </c>
      <c r="AH36" s="38">
        <f>SUM(AH3:AH35)+AH39</f>
        <v>465318750.47999996</v>
      </c>
      <c r="AI36">
        <f t="shared" si="36"/>
        <v>0</v>
      </c>
      <c r="AJ36" s="33">
        <f>SUM(AJ3:AJ35)</f>
        <v>33718420</v>
      </c>
      <c r="AK36" s="33">
        <f>SUM(AK3:AK35)</f>
        <v>0</v>
      </c>
      <c r="AL36">
        <f t="shared" si="36"/>
        <v>33718420</v>
      </c>
      <c r="AM36">
        <f t="shared" si="36"/>
        <v>200000</v>
      </c>
      <c r="AN36">
        <f t="shared" si="36"/>
        <v>0</v>
      </c>
      <c r="AP36" s="34">
        <f>SUM(AP34:AP35)</f>
        <v>495613.78</v>
      </c>
      <c r="AQ36" s="38">
        <f>SUM(AQ3:AQ35)</f>
        <v>1546611160.7199996</v>
      </c>
      <c r="AR36" s="38"/>
      <c r="AS36" s="18">
        <f>SUM(AS3:AS35)</f>
        <v>0</v>
      </c>
      <c r="AT36" s="38"/>
      <c r="AU36" s="38"/>
      <c r="AV36" s="38"/>
      <c r="AW36" s="38">
        <f>SUM(AW3:AW35)</f>
        <v>0</v>
      </c>
      <c r="AX36" s="38"/>
      <c r="AY36" s="38">
        <f>SUM(AY3:AY35)</f>
        <v>4838817.8899999997</v>
      </c>
      <c r="AZ36" s="38">
        <f>SUM(AZ3:AZ35)</f>
        <v>12460950.26</v>
      </c>
      <c r="BA36" s="38">
        <f>SUM(BA3:BA35)</f>
        <v>5186530.3100000005</v>
      </c>
      <c r="BB36" s="38">
        <f>SUM(BB3:BB35)</f>
        <v>970000</v>
      </c>
      <c r="BC36" s="38">
        <f>SUM(BC3:BC35)</f>
        <v>22486298.459999997</v>
      </c>
      <c r="BD36" s="38"/>
      <c r="BE36" s="32">
        <f t="shared" ref="BE36:BN36" si="37">SUM(BE3:BE35)</f>
        <v>10330843.449999997</v>
      </c>
      <c r="BF36" s="32">
        <f t="shared" si="37"/>
        <v>98535.6</v>
      </c>
      <c r="BG36" s="32">
        <f t="shared" si="37"/>
        <v>0</v>
      </c>
      <c r="BH36" s="32">
        <f t="shared" si="37"/>
        <v>0</v>
      </c>
      <c r="BI36" s="32">
        <f t="shared" si="37"/>
        <v>0</v>
      </c>
      <c r="BJ36" s="32">
        <f t="shared" si="37"/>
        <v>2725371.67</v>
      </c>
      <c r="BK36" s="32">
        <f t="shared" si="37"/>
        <v>198444</v>
      </c>
      <c r="BL36" s="121">
        <f t="shared" si="37"/>
        <v>38160</v>
      </c>
      <c r="BM36" s="121">
        <f t="shared" si="37"/>
        <v>0</v>
      </c>
      <c r="BN36" s="33">
        <f t="shared" si="37"/>
        <v>33842295.069999993</v>
      </c>
      <c r="BO36" s="247">
        <f t="shared" si="24"/>
        <v>47233649.789999992</v>
      </c>
      <c r="BP36" s="33">
        <f>SUM(BP3:BP35)</f>
        <v>19755932.66</v>
      </c>
      <c r="BQ36" s="33">
        <f>SUM(BQ3:BQ35)</f>
        <v>34940.22</v>
      </c>
      <c r="BR36" s="38">
        <f t="shared" ref="BR36:BU36" si="38">SUM(BR3:BR35)</f>
        <v>0</v>
      </c>
      <c r="BS36" s="33">
        <v>6676325.4199999999</v>
      </c>
      <c r="BT36" s="38">
        <f t="shared" si="38"/>
        <v>0</v>
      </c>
      <c r="BU36" s="38">
        <f t="shared" si="38"/>
        <v>0</v>
      </c>
      <c r="BV36" s="33">
        <f>SUM(BV3:BV35)</f>
        <v>1606051.65</v>
      </c>
      <c r="BW36" s="33">
        <f>SUM(BW3:BW35)</f>
        <v>17018.32</v>
      </c>
      <c r="BX36" s="33">
        <f t="shared" ref="BX36:EI36" si="39">SUM(BX3:BX35)</f>
        <v>1186271.83</v>
      </c>
      <c r="BY36" s="33">
        <v>598209.33000000007</v>
      </c>
      <c r="BZ36" s="33">
        <v>20646.760000000002</v>
      </c>
      <c r="CA36" s="33">
        <v>8548.32</v>
      </c>
      <c r="CB36" s="33">
        <v>26762351.160000004</v>
      </c>
      <c r="CC36" s="33">
        <v>5613474</v>
      </c>
      <c r="CD36" s="33">
        <f t="shared" si="39"/>
        <v>0</v>
      </c>
      <c r="CE36" s="33">
        <f t="shared" si="39"/>
        <v>0</v>
      </c>
      <c r="CF36" s="33">
        <f t="shared" si="39"/>
        <v>0</v>
      </c>
      <c r="CG36" s="33">
        <f t="shared" si="39"/>
        <v>19895.150000000001</v>
      </c>
      <c r="CH36" s="33">
        <f t="shared" si="39"/>
        <v>2891997</v>
      </c>
      <c r="CI36" s="33">
        <v>400</v>
      </c>
      <c r="CJ36" s="33">
        <v>1059273.67</v>
      </c>
      <c r="CK36" s="33">
        <f t="shared" si="39"/>
        <v>632576.41</v>
      </c>
      <c r="CL36" s="33">
        <f t="shared" si="39"/>
        <v>0</v>
      </c>
      <c r="CM36" s="33">
        <f t="shared" si="39"/>
        <v>0</v>
      </c>
      <c r="CN36" s="33">
        <f t="shared" si="39"/>
        <v>0</v>
      </c>
      <c r="CO36" s="33">
        <f t="shared" si="39"/>
        <v>592730.14</v>
      </c>
      <c r="CP36" s="33">
        <f t="shared" si="39"/>
        <v>19743233.739999998</v>
      </c>
      <c r="CQ36" s="33">
        <f t="shared" si="39"/>
        <v>455928.51</v>
      </c>
      <c r="CR36" s="33">
        <f t="shared" si="39"/>
        <v>3087273.62</v>
      </c>
      <c r="CS36" s="33">
        <f t="shared" si="39"/>
        <v>0</v>
      </c>
      <c r="CT36" s="33">
        <f t="shared" si="39"/>
        <v>0</v>
      </c>
      <c r="CU36" s="33">
        <f t="shared" si="39"/>
        <v>0</v>
      </c>
      <c r="CV36" s="33">
        <f t="shared" si="39"/>
        <v>0</v>
      </c>
      <c r="CW36" s="33">
        <f t="shared" si="39"/>
        <v>0</v>
      </c>
      <c r="CX36" s="33">
        <f t="shared" si="39"/>
        <v>7318189.9200000009</v>
      </c>
      <c r="CY36" s="33">
        <f t="shared" si="39"/>
        <v>18000</v>
      </c>
      <c r="CZ36" s="33">
        <f t="shared" si="39"/>
        <v>0</v>
      </c>
      <c r="DA36" s="33">
        <f t="shared" si="39"/>
        <v>127827.45000000001</v>
      </c>
      <c r="DB36" s="33">
        <f t="shared" si="39"/>
        <v>0</v>
      </c>
      <c r="DC36" s="33">
        <f t="shared" si="39"/>
        <v>0</v>
      </c>
      <c r="DD36" s="33">
        <f t="shared" si="39"/>
        <v>0</v>
      </c>
      <c r="DE36" s="33">
        <f t="shared" si="39"/>
        <v>0</v>
      </c>
      <c r="DF36" s="33">
        <f t="shared" si="39"/>
        <v>0</v>
      </c>
      <c r="DG36" s="33">
        <f t="shared" si="39"/>
        <v>0</v>
      </c>
      <c r="DH36" s="33">
        <f t="shared" si="39"/>
        <v>0</v>
      </c>
      <c r="DI36" s="33">
        <f t="shared" si="39"/>
        <v>0</v>
      </c>
      <c r="DJ36" s="33">
        <f t="shared" si="39"/>
        <v>0</v>
      </c>
      <c r="DK36" s="33">
        <f t="shared" si="39"/>
        <v>0</v>
      </c>
      <c r="DL36" s="33">
        <f t="shared" si="39"/>
        <v>0</v>
      </c>
      <c r="DM36" s="33">
        <f t="shared" si="39"/>
        <v>0</v>
      </c>
      <c r="DN36" s="33">
        <f t="shared" si="39"/>
        <v>0</v>
      </c>
      <c r="DO36" s="33">
        <f t="shared" si="39"/>
        <v>0</v>
      </c>
      <c r="DP36" s="33">
        <f t="shared" si="39"/>
        <v>0</v>
      </c>
      <c r="DQ36" s="33">
        <f t="shared" si="39"/>
        <v>0</v>
      </c>
      <c r="DR36" s="33">
        <f t="shared" si="39"/>
        <v>0</v>
      </c>
      <c r="DS36" s="33">
        <f t="shared" si="39"/>
        <v>0</v>
      </c>
      <c r="DT36" s="33">
        <f t="shared" si="39"/>
        <v>0</v>
      </c>
      <c r="DU36" s="33">
        <f t="shared" si="39"/>
        <v>0</v>
      </c>
      <c r="DV36" s="33">
        <f t="shared" si="39"/>
        <v>0</v>
      </c>
      <c r="DW36" s="33">
        <f t="shared" si="39"/>
        <v>0</v>
      </c>
      <c r="DX36" s="33">
        <f t="shared" si="39"/>
        <v>0</v>
      </c>
      <c r="DY36" s="33">
        <f t="shared" si="39"/>
        <v>0</v>
      </c>
      <c r="DZ36" s="33">
        <f t="shared" si="39"/>
        <v>0</v>
      </c>
      <c r="EA36" s="33">
        <f t="shared" si="39"/>
        <v>0</v>
      </c>
      <c r="EB36" s="33">
        <f t="shared" si="39"/>
        <v>0</v>
      </c>
      <c r="EC36" s="33">
        <f t="shared" si="39"/>
        <v>0</v>
      </c>
      <c r="ED36" s="33">
        <f t="shared" si="39"/>
        <v>0</v>
      </c>
      <c r="EE36" s="33">
        <f t="shared" si="39"/>
        <v>0</v>
      </c>
      <c r="EF36" s="33">
        <f t="shared" si="39"/>
        <v>0</v>
      </c>
      <c r="EG36" s="33">
        <f t="shared" si="39"/>
        <v>0</v>
      </c>
      <c r="EH36" s="33">
        <f t="shared" si="39"/>
        <v>0</v>
      </c>
      <c r="EI36" s="33">
        <f t="shared" si="39"/>
        <v>0</v>
      </c>
      <c r="EJ36" s="33">
        <f t="shared" ref="EJ36:FB36" si="40">SUM(EJ3:EJ35)</f>
        <v>0</v>
      </c>
      <c r="EK36" s="33">
        <f t="shared" si="40"/>
        <v>0</v>
      </c>
      <c r="EL36" s="33">
        <f t="shared" si="40"/>
        <v>0</v>
      </c>
      <c r="EM36" s="33">
        <f t="shared" si="40"/>
        <v>0</v>
      </c>
      <c r="EN36" s="33">
        <f t="shared" si="40"/>
        <v>0</v>
      </c>
      <c r="EO36" s="33">
        <f t="shared" si="40"/>
        <v>0</v>
      </c>
      <c r="EP36" s="33">
        <f t="shared" si="40"/>
        <v>0</v>
      </c>
      <c r="EQ36" s="33">
        <f t="shared" si="40"/>
        <v>0</v>
      </c>
      <c r="ER36" s="33">
        <f t="shared" si="40"/>
        <v>0</v>
      </c>
      <c r="ES36" s="33">
        <f t="shared" si="40"/>
        <v>0</v>
      </c>
      <c r="ET36" s="33">
        <f t="shared" si="40"/>
        <v>0</v>
      </c>
      <c r="EU36" s="33">
        <f t="shared" si="40"/>
        <v>0</v>
      </c>
      <c r="EV36" s="33">
        <f t="shared" si="40"/>
        <v>0</v>
      </c>
      <c r="EW36" s="33">
        <f t="shared" si="40"/>
        <v>0</v>
      </c>
      <c r="EX36" s="33">
        <f t="shared" si="40"/>
        <v>0</v>
      </c>
      <c r="EY36" s="33">
        <f t="shared" si="40"/>
        <v>0</v>
      </c>
      <c r="EZ36" s="33">
        <f t="shared" si="40"/>
        <v>0</v>
      </c>
      <c r="FA36" s="33">
        <f t="shared" si="40"/>
        <v>0</v>
      </c>
      <c r="FB36" s="33">
        <f t="shared" si="40"/>
        <v>0</v>
      </c>
      <c r="FC36" s="38">
        <f t="shared" ref="FC36:FG36" si="41">SUM(FC3:FC35)</f>
        <v>0</v>
      </c>
      <c r="FD36" s="38">
        <f t="shared" si="41"/>
        <v>0</v>
      </c>
      <c r="FE36" s="38">
        <f t="shared" si="41"/>
        <v>0</v>
      </c>
      <c r="FF36" s="38">
        <f t="shared" si="41"/>
        <v>0</v>
      </c>
      <c r="FG36" s="38">
        <f t="shared" si="41"/>
        <v>0</v>
      </c>
      <c r="FH36" s="38">
        <f t="shared" ref="FH36:FM36" si="42">SUM(FH3:FH35)</f>
        <v>0</v>
      </c>
      <c r="FI36" s="38">
        <f t="shared" si="42"/>
        <v>0</v>
      </c>
      <c r="FJ36" s="38">
        <f t="shared" si="42"/>
        <v>0</v>
      </c>
      <c r="FK36" s="38">
        <f t="shared" si="42"/>
        <v>0</v>
      </c>
      <c r="FL36" s="38">
        <f t="shared" si="42"/>
        <v>0</v>
      </c>
      <c r="FM36" s="38">
        <f t="shared" si="42"/>
        <v>0</v>
      </c>
      <c r="FN36" s="40">
        <f t="shared" si="1"/>
        <v>70904146.670000002</v>
      </c>
      <c r="FO36" s="190">
        <f>SUM(FO3:FO35)</f>
        <v>90000</v>
      </c>
      <c r="FP36" s="190">
        <f>SUM(FP3:FP35)</f>
        <v>27180</v>
      </c>
      <c r="FQ36" s="32">
        <v>8190400.0500000007</v>
      </c>
      <c r="FR36" s="32">
        <f t="shared" ref="FR36:FT36" si="43">SUM(FR3:FR35)</f>
        <v>8767456.5</v>
      </c>
      <c r="FS36" s="32">
        <f t="shared" si="43"/>
        <v>0</v>
      </c>
      <c r="FT36" s="32">
        <f t="shared" si="43"/>
        <v>53946290.120000005</v>
      </c>
      <c r="FU36" s="207">
        <f t="shared" si="25"/>
        <v>3996514.5900000003</v>
      </c>
      <c r="FV36" s="259">
        <f t="shared" ref="FV36:FX36" si="44">SUM(FV2:FV35)</f>
        <v>763045</v>
      </c>
      <c r="FW36" s="259">
        <f t="shared" si="44"/>
        <v>833980.27</v>
      </c>
      <c r="FX36" s="259">
        <f t="shared" si="44"/>
        <v>2399489.3200000003</v>
      </c>
      <c r="FY36" s="32">
        <f t="shared" si="26"/>
        <v>280952895.38999993</v>
      </c>
      <c r="FZ36" s="25">
        <f>SUM(FZ4:FZ35)</f>
        <v>3821085.3600000003</v>
      </c>
      <c r="GA36" s="25">
        <f>SUM(GA3:GA35)</f>
        <v>3097000</v>
      </c>
      <c r="GB36" s="25">
        <f>SUM(GB3:GB35)</f>
        <v>270396682.94999993</v>
      </c>
      <c r="GC36" s="25">
        <f t="shared" ref="GC36:GD36" si="45">SUM(GC3:GC35)</f>
        <v>0</v>
      </c>
      <c r="GD36" s="25">
        <f t="shared" si="45"/>
        <v>3638127.08</v>
      </c>
      <c r="GE36" s="283"/>
      <c r="GF36" s="38"/>
      <c r="GG36" s="38">
        <f t="shared" si="2"/>
        <v>468683771.49000001</v>
      </c>
      <c r="GH36" s="38"/>
      <c r="GI36" s="37">
        <f>SUM(GI3:GI35)</f>
        <v>0</v>
      </c>
      <c r="GJ36" s="37">
        <f>SUM(GJ3:GJ35)</f>
        <v>0</v>
      </c>
      <c r="GK36" s="41">
        <f>SUM(GK3:GK35)</f>
        <v>0</v>
      </c>
      <c r="GL36" s="40">
        <f t="shared" si="27"/>
        <v>76879145.030000001</v>
      </c>
      <c r="GM36" s="32">
        <f>SUM(GM3:GM35)</f>
        <v>18241306.099999998</v>
      </c>
      <c r="GN36" s="32">
        <f>SUM(GN3:GN35)</f>
        <v>5381725.8199999994</v>
      </c>
      <c r="GO36" s="32">
        <f>SUM(GO3:GO35)</f>
        <v>4574466.9400000004</v>
      </c>
      <c r="GP36" s="18"/>
      <c r="GQ36" s="111">
        <f t="shared" si="28"/>
        <v>28197498.859999999</v>
      </c>
      <c r="GR36">
        <f>SUM(GR3:GR35)</f>
        <v>33460150</v>
      </c>
      <c r="GS36">
        <f t="shared" ref="GS36:HB36" si="46">SUM(GS3:GS35)</f>
        <v>0</v>
      </c>
      <c r="GT36">
        <f t="shared" si="46"/>
        <v>12007212.309999999</v>
      </c>
      <c r="GU36">
        <f t="shared" si="46"/>
        <v>26837315.780000001</v>
      </c>
      <c r="GV36">
        <f t="shared" si="46"/>
        <v>0</v>
      </c>
      <c r="GW36">
        <f t="shared" si="46"/>
        <v>50400000</v>
      </c>
      <c r="GX36">
        <f t="shared" si="46"/>
        <v>15220800</v>
      </c>
      <c r="GY36">
        <f t="shared" si="46"/>
        <v>3989539.93</v>
      </c>
      <c r="GZ36">
        <f t="shared" si="46"/>
        <v>1204840.9700000002</v>
      </c>
      <c r="HA36">
        <f t="shared" si="46"/>
        <v>1260000</v>
      </c>
      <c r="HB36">
        <f t="shared" si="46"/>
        <v>380520</v>
      </c>
      <c r="HC36" s="32">
        <f>SUM(HC4:HC35)</f>
        <v>0</v>
      </c>
      <c r="HD36" s="32">
        <f>SUM(HD4:HD35)</f>
        <v>0</v>
      </c>
      <c r="HE36" s="18"/>
      <c r="HH36" s="34"/>
      <c r="HI36">
        <f>SUM(HJ3:HJ35)</f>
        <v>0</v>
      </c>
    </row>
    <row r="37" spans="1:217" ht="15.75">
      <c r="M37" s="135"/>
      <c r="U37" s="38">
        <f>U36+O36+R36</f>
        <v>1047522452.89</v>
      </c>
      <c r="V37" s="38"/>
      <c r="W37" s="38"/>
      <c r="X37" s="38"/>
      <c r="AA37" s="36">
        <f t="shared" si="14"/>
        <v>284949409.9799999</v>
      </c>
      <c r="AF37">
        <f>AF36+AA36</f>
        <v>284949409.9799999</v>
      </c>
      <c r="AG37" s="53"/>
      <c r="AH37">
        <v>465318750.48000002</v>
      </c>
      <c r="AL37" s="36"/>
      <c r="AM37" s="36"/>
      <c r="AN37" s="36"/>
      <c r="AO37" s="36"/>
      <c r="AP37" s="36"/>
      <c r="AQ37" s="38"/>
      <c r="BO37">
        <v>47233649.789999999</v>
      </c>
      <c r="FQ37" s="18"/>
      <c r="FU37" s="284">
        <f>FU36+FY36</f>
        <v>284949409.9799999</v>
      </c>
      <c r="FV37" s="259"/>
      <c r="FW37" s="259"/>
      <c r="GR37" s="145"/>
    </row>
    <row r="38" spans="1:217">
      <c r="B38" s="22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191">
        <v>216482071.74000004</v>
      </c>
      <c r="U38" s="36"/>
      <c r="V38" s="36"/>
      <c r="W38" s="36"/>
      <c r="X38" s="36"/>
      <c r="Y38" s="38"/>
      <c r="AG38" s="54"/>
      <c r="AH38" s="34">
        <f>AH36-AH37</f>
        <v>0</v>
      </c>
      <c r="AL38" s="36"/>
      <c r="AM38" s="36"/>
      <c r="AN38" s="36"/>
      <c r="AO38" s="36"/>
      <c r="AP38" s="36"/>
      <c r="AQ38" s="38">
        <f>AQ36-AQ37</f>
        <v>1546611160.7199996</v>
      </c>
      <c r="BO38" s="38">
        <f>BO37-BO36</f>
        <v>0</v>
      </c>
      <c r="CX38" s="161">
        <f>CU36+CX36</f>
        <v>7318189.9200000009</v>
      </c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Q38" s="38"/>
      <c r="FU38">
        <v>285097872.63</v>
      </c>
      <c r="GR38" s="146"/>
    </row>
    <row r="39" spans="1:217" ht="15" customHeight="1">
      <c r="L39" s="36"/>
      <c r="O39" s="38"/>
      <c r="W39" s="70"/>
      <c r="X39" s="70"/>
      <c r="Y39" s="70"/>
      <c r="Z39" s="70"/>
      <c r="AG39" t="s">
        <v>377</v>
      </c>
      <c r="AH39">
        <v>148462.65</v>
      </c>
      <c r="AL39" s="34"/>
      <c r="BD39" s="197"/>
      <c r="BE39" s="198"/>
      <c r="FU39" s="34">
        <f>FU37-FU38</f>
        <v>-148462.65000009537</v>
      </c>
    </row>
    <row r="40" spans="1:217" ht="15" customHeight="1">
      <c r="L40" s="36"/>
      <c r="O40" s="191">
        <f>O36-O38</f>
        <v>0</v>
      </c>
      <c r="W40" s="249"/>
      <c r="X40" s="249"/>
      <c r="Y40" s="250"/>
      <c r="Z40" s="250"/>
      <c r="AL40" s="34"/>
      <c r="BD40" s="197"/>
      <c r="BE40" s="198"/>
    </row>
    <row r="41" spans="1:217" ht="15" customHeight="1">
      <c r="L41" s="36"/>
      <c r="W41" s="190"/>
      <c r="X41" s="190"/>
      <c r="Y41" s="251"/>
      <c r="Z41" s="251"/>
      <c r="AB41" s="38"/>
      <c r="AC41" s="38"/>
      <c r="AE41" s="34"/>
      <c r="AF41" s="34"/>
      <c r="AG41" s="34"/>
      <c r="BD41" s="197"/>
      <c r="BE41" s="198"/>
    </row>
    <row r="42" spans="1:217" ht="15" customHeight="1">
      <c r="L42" s="36"/>
      <c r="S42" s="38"/>
      <c r="T42" s="38"/>
      <c r="W42" s="70"/>
      <c r="X42" s="70"/>
      <c r="Y42" s="251"/>
      <c r="Z42" s="251"/>
      <c r="AB42" s="38"/>
      <c r="AC42" s="38"/>
      <c r="AE42" s="34"/>
      <c r="AF42" s="34"/>
      <c r="AG42" s="34"/>
      <c r="BD42" s="197"/>
      <c r="BE42" s="198"/>
    </row>
    <row r="43" spans="1:217" ht="15" customHeight="1">
      <c r="L43" s="36"/>
      <c r="S43" s="38"/>
      <c r="T43" s="38"/>
      <c r="W43" s="70"/>
      <c r="X43" s="70"/>
      <c r="Y43" s="251"/>
      <c r="Z43" s="251"/>
      <c r="AB43" s="38"/>
      <c r="AC43" s="38"/>
      <c r="AE43" s="34"/>
      <c r="AF43" s="34"/>
      <c r="AG43" s="34"/>
      <c r="BD43" s="197"/>
      <c r="BE43" s="198"/>
    </row>
    <row r="44" spans="1:217" ht="15" customHeight="1">
      <c r="L44" s="36"/>
      <c r="S44" s="38"/>
      <c r="T44" s="38"/>
      <c r="W44" s="70"/>
      <c r="X44" s="70"/>
      <c r="Y44" s="251"/>
      <c r="Z44" s="251"/>
      <c r="AB44" s="38"/>
      <c r="AC44" s="38"/>
      <c r="AE44" s="34"/>
      <c r="AF44" s="34"/>
      <c r="AG44" s="34"/>
      <c r="BD44" s="197"/>
      <c r="BE44" s="198"/>
    </row>
    <row r="45" spans="1:217" ht="15" customHeight="1">
      <c r="L45" s="36"/>
      <c r="S45" s="38"/>
      <c r="T45" s="38"/>
      <c r="W45" s="70"/>
      <c r="X45" s="70"/>
      <c r="Y45" s="251"/>
      <c r="Z45" s="251"/>
      <c r="AB45" s="38"/>
      <c r="AC45" s="38"/>
      <c r="AE45" s="34"/>
      <c r="AF45" s="34"/>
      <c r="AG45" s="34"/>
      <c r="BD45" s="197"/>
      <c r="BE45" s="198"/>
    </row>
    <row r="46" spans="1:217" ht="15" customHeight="1">
      <c r="L46" s="36"/>
      <c r="S46" s="38"/>
      <c r="T46" s="38"/>
      <c r="W46" s="70"/>
      <c r="X46" s="70"/>
      <c r="Y46" s="251"/>
      <c r="Z46" s="251"/>
      <c r="AB46" s="38"/>
      <c r="AC46" s="38"/>
      <c r="AE46" s="34"/>
      <c r="AF46" s="34"/>
      <c r="AG46" s="34"/>
      <c r="BD46" s="197"/>
      <c r="BE46" s="198"/>
    </row>
    <row r="47" spans="1:217" ht="15" customHeight="1">
      <c r="L47" s="36"/>
      <c r="S47" s="38"/>
      <c r="T47" s="38"/>
      <c r="W47" s="70"/>
      <c r="X47" s="70"/>
      <c r="Y47" s="251"/>
      <c r="Z47" s="251"/>
      <c r="AB47" s="38"/>
      <c r="AC47" s="38"/>
      <c r="AE47" s="34"/>
      <c r="AF47" s="34"/>
      <c r="AG47" s="34"/>
      <c r="BD47" s="197"/>
      <c r="BE47" s="198"/>
      <c r="DR47" s="211"/>
    </row>
    <row r="48" spans="1:217" ht="15" customHeight="1">
      <c r="L48" s="36"/>
      <c r="S48" s="38"/>
      <c r="T48" s="38"/>
      <c r="W48" s="70"/>
      <c r="X48" s="70"/>
      <c r="Y48" s="251"/>
      <c r="Z48" s="251"/>
      <c r="AB48" s="38"/>
      <c r="AC48" s="38"/>
      <c r="AE48" s="34"/>
      <c r="AF48" s="34"/>
      <c r="AG48" s="34"/>
      <c r="BD48" s="197"/>
      <c r="BE48" s="198"/>
      <c r="DR48" s="211"/>
    </row>
    <row r="49" spans="12:122" ht="15" customHeight="1">
      <c r="L49" s="36"/>
      <c r="S49" s="38"/>
      <c r="T49" s="38"/>
      <c r="W49" s="70"/>
      <c r="X49" s="70"/>
      <c r="Y49" s="251"/>
      <c r="Z49" s="251"/>
      <c r="AB49" s="38"/>
      <c r="AC49" s="38"/>
      <c r="AE49" s="34"/>
      <c r="AF49" s="34"/>
      <c r="AG49" s="34"/>
      <c r="BD49" s="197"/>
      <c r="BE49" s="198"/>
      <c r="DR49" s="211"/>
    </row>
    <row r="50" spans="12:122" ht="15" customHeight="1">
      <c r="L50" s="36"/>
      <c r="S50" s="38"/>
      <c r="T50" s="38"/>
      <c r="W50" s="70"/>
      <c r="X50" s="70"/>
      <c r="Y50" s="251"/>
      <c r="Z50" s="251"/>
      <c r="AB50" s="38"/>
      <c r="AC50" s="38"/>
      <c r="AE50" s="34"/>
      <c r="AF50" s="34"/>
      <c r="AG50" s="34"/>
      <c r="BD50" s="197"/>
      <c r="BE50" s="198"/>
      <c r="DR50" s="211"/>
    </row>
    <row r="51" spans="12:122" ht="15" customHeight="1">
      <c r="L51" s="36"/>
      <c r="S51" s="38"/>
      <c r="T51" s="38"/>
      <c r="W51" s="70"/>
      <c r="X51" s="70"/>
      <c r="Y51" s="251"/>
      <c r="Z51" s="251"/>
      <c r="AB51" s="38"/>
      <c r="AC51" s="38"/>
      <c r="AE51" s="34"/>
      <c r="AF51" s="34"/>
      <c r="AG51" s="34"/>
      <c r="BD51" s="197"/>
      <c r="BE51" s="198"/>
      <c r="DR51" s="211"/>
    </row>
    <row r="52" spans="12:122">
      <c r="L52" s="36"/>
      <c r="S52" s="38"/>
      <c r="T52" s="38"/>
      <c r="W52" s="70"/>
      <c r="X52" s="70"/>
      <c r="Y52" s="251"/>
      <c r="Z52" s="251"/>
      <c r="AB52" s="38"/>
      <c r="AC52" s="38"/>
      <c r="AE52" s="34"/>
      <c r="AF52" s="34"/>
      <c r="AG52" s="34"/>
      <c r="BD52" s="197"/>
      <c r="BE52" s="198"/>
      <c r="DR52" s="211"/>
    </row>
    <row r="53" spans="12:122">
      <c r="L53" s="36"/>
      <c r="S53" s="38"/>
      <c r="T53" s="38"/>
      <c r="W53" s="70"/>
      <c r="X53" s="70"/>
      <c r="Y53" s="251"/>
      <c r="Z53" s="251"/>
      <c r="AB53" s="38"/>
      <c r="AC53" s="38"/>
      <c r="AE53" s="34"/>
      <c r="AF53" s="34"/>
      <c r="AG53" s="34"/>
      <c r="BD53" s="197"/>
      <c r="BE53" s="198"/>
      <c r="DR53" s="211"/>
    </row>
    <row r="54" spans="12:122">
      <c r="L54" s="36"/>
      <c r="S54" s="38"/>
      <c r="T54" s="38"/>
      <c r="W54" s="70"/>
      <c r="X54" s="70"/>
      <c r="Y54" s="251"/>
      <c r="Z54" s="251"/>
      <c r="AB54" s="38"/>
      <c r="AC54" s="38"/>
      <c r="AE54" s="34"/>
      <c r="AF54" s="34"/>
      <c r="AG54" s="34"/>
      <c r="BD54" s="197"/>
      <c r="BE54" s="198"/>
      <c r="DR54" s="211"/>
    </row>
    <row r="55" spans="12:122">
      <c r="L55" s="36"/>
      <c r="S55" s="38"/>
      <c r="T55" s="38"/>
      <c r="W55" s="70"/>
      <c r="X55" s="70"/>
      <c r="Y55" s="251"/>
      <c r="Z55" s="251"/>
      <c r="AB55" s="38"/>
      <c r="AC55" s="38"/>
      <c r="AE55" s="34"/>
      <c r="AF55" s="34"/>
      <c r="AG55" s="34"/>
      <c r="BD55" s="197"/>
      <c r="BE55" s="198"/>
      <c r="DR55" s="211"/>
    </row>
    <row r="56" spans="12:122">
      <c r="L56" s="36"/>
      <c r="S56" s="38"/>
      <c r="T56" s="38"/>
      <c r="W56" s="70"/>
      <c r="X56" s="70"/>
      <c r="Y56" s="251"/>
      <c r="Z56" s="251"/>
      <c r="AB56" s="38"/>
      <c r="AC56" s="38"/>
      <c r="AE56" s="34"/>
      <c r="AF56" s="34"/>
      <c r="AG56" s="34"/>
      <c r="BD56" s="197"/>
      <c r="BE56" s="198"/>
      <c r="DR56" s="211"/>
    </row>
    <row r="57" spans="12:122">
      <c r="L57" s="36"/>
      <c r="S57" s="38"/>
      <c r="T57" s="38"/>
      <c r="W57" s="70"/>
      <c r="X57" s="70"/>
      <c r="Y57" s="70"/>
      <c r="Z57" s="70"/>
      <c r="AB57" s="38"/>
      <c r="AC57" s="38"/>
      <c r="AE57" s="34"/>
      <c r="AF57" s="34"/>
      <c r="AG57" s="34"/>
      <c r="BD57" s="197"/>
      <c r="BE57" s="198"/>
      <c r="DR57" s="211"/>
    </row>
    <row r="58" spans="12:122">
      <c r="L58" s="36"/>
      <c r="S58" s="38"/>
      <c r="T58" s="38"/>
      <c r="W58" s="70"/>
      <c r="X58" s="70"/>
      <c r="Y58" s="251"/>
      <c r="Z58" s="251"/>
      <c r="AB58" s="38"/>
      <c r="AC58" s="38"/>
      <c r="AE58" s="34"/>
      <c r="AF58" s="34"/>
      <c r="AG58" s="34"/>
      <c r="BD58" s="197"/>
      <c r="BE58" s="198"/>
      <c r="DR58" s="211"/>
    </row>
    <row r="59" spans="12:122">
      <c r="L59" s="36"/>
      <c r="S59" s="38"/>
      <c r="T59" s="38"/>
      <c r="W59" s="70"/>
      <c r="X59" s="70"/>
      <c r="Y59" s="251"/>
      <c r="Z59" s="251"/>
      <c r="AB59" s="38"/>
      <c r="AC59" s="38"/>
      <c r="AE59" s="34"/>
      <c r="AF59" s="34"/>
      <c r="AG59" s="34"/>
      <c r="BD59" s="197"/>
      <c r="BE59" s="198"/>
      <c r="DR59" s="211"/>
    </row>
    <row r="60" spans="12:122">
      <c r="L60" s="36"/>
      <c r="S60" s="38"/>
      <c r="T60" s="38"/>
      <c r="W60" s="70"/>
      <c r="X60" s="70"/>
      <c r="Y60" s="251"/>
      <c r="Z60" s="251"/>
      <c r="AB60" s="38"/>
      <c r="AC60" s="38"/>
      <c r="AE60" s="34"/>
      <c r="AF60" s="34"/>
      <c r="AG60" s="34"/>
      <c r="BD60" s="197"/>
      <c r="BE60" s="198"/>
      <c r="DR60" s="211"/>
    </row>
    <row r="61" spans="12:122">
      <c r="L61" s="36"/>
      <c r="S61" s="38"/>
      <c r="T61" s="38"/>
      <c r="W61" s="70"/>
      <c r="X61" s="70"/>
      <c r="Y61" s="251"/>
      <c r="Z61" s="251"/>
      <c r="AB61" s="38"/>
      <c r="AC61" s="38"/>
      <c r="AE61" s="34"/>
      <c r="AF61" s="34"/>
      <c r="AG61" s="34"/>
      <c r="BE61" s="198"/>
      <c r="DR61" s="211"/>
    </row>
    <row r="62" spans="12:122">
      <c r="L62" s="36"/>
      <c r="S62" s="38"/>
      <c r="T62" s="38"/>
      <c r="W62" s="70"/>
      <c r="X62" s="70"/>
      <c r="Y62" s="251"/>
      <c r="Z62" s="251"/>
      <c r="AB62" s="38"/>
      <c r="AC62" s="38"/>
      <c r="AE62" s="34"/>
      <c r="AF62" s="34"/>
      <c r="AG62" s="34"/>
      <c r="BE62" s="198"/>
      <c r="DR62" s="211"/>
    </row>
    <row r="63" spans="12:122">
      <c r="L63" s="36"/>
      <c r="S63" s="38"/>
      <c r="T63" s="38"/>
      <c r="W63" s="70"/>
      <c r="X63" s="70"/>
      <c r="Y63" s="251"/>
      <c r="Z63" s="251"/>
      <c r="AB63" s="38"/>
      <c r="AC63" s="38"/>
      <c r="AE63" s="34"/>
      <c r="AF63" s="34"/>
      <c r="AG63" s="34"/>
      <c r="BE63" s="198"/>
      <c r="DR63" s="211"/>
    </row>
    <row r="64" spans="12:122">
      <c r="L64" s="36"/>
      <c r="S64" s="38"/>
      <c r="T64" s="38"/>
      <c r="W64" s="70"/>
      <c r="X64" s="70"/>
      <c r="Y64" s="251"/>
      <c r="Z64" s="251"/>
      <c r="AB64" s="38"/>
      <c r="AC64" s="38"/>
      <c r="AE64" s="34"/>
      <c r="AF64" s="34"/>
      <c r="AG64" s="34"/>
      <c r="BE64" s="198"/>
      <c r="DR64" s="211"/>
    </row>
    <row r="65" spans="12:122">
      <c r="L65" s="36"/>
      <c r="S65" s="38"/>
      <c r="T65" s="38"/>
      <c r="W65" s="70"/>
      <c r="X65" s="70"/>
      <c r="Y65" s="251"/>
      <c r="Z65" s="251"/>
      <c r="AB65" s="38"/>
      <c r="AC65" s="38"/>
      <c r="AE65" s="34"/>
      <c r="AF65" s="34"/>
      <c r="AG65" s="34"/>
      <c r="BE65" s="198"/>
      <c r="DR65" s="211"/>
    </row>
    <row r="66" spans="12:122">
      <c r="L66" s="36"/>
      <c r="S66" s="38"/>
      <c r="T66" s="38"/>
      <c r="W66" s="70"/>
      <c r="X66" s="70"/>
      <c r="Y66" s="70"/>
      <c r="Z66" s="70"/>
      <c r="AB66" s="38"/>
      <c r="AC66" s="38"/>
      <c r="AE66" s="34"/>
      <c r="AF66" s="34"/>
      <c r="AG66" s="34"/>
      <c r="BE66" s="198"/>
      <c r="DR66" s="211"/>
    </row>
    <row r="67" spans="12:122">
      <c r="L67" s="36"/>
      <c r="S67" s="38"/>
      <c r="T67" s="38"/>
      <c r="W67" s="70"/>
      <c r="X67" s="70"/>
      <c r="Y67" s="251"/>
      <c r="Z67" s="251"/>
      <c r="AB67" s="38"/>
      <c r="AC67" s="38"/>
      <c r="AE67" s="34"/>
      <c r="AF67" s="34"/>
      <c r="AG67" s="34"/>
      <c r="BE67" s="198"/>
      <c r="DR67" s="211"/>
    </row>
    <row r="68" spans="12:122">
      <c r="L68" s="36"/>
      <c r="S68" s="38"/>
      <c r="T68" s="38"/>
      <c r="W68" s="70"/>
      <c r="X68" s="70"/>
      <c r="Y68" s="70"/>
      <c r="Z68" s="70"/>
      <c r="AB68" s="38"/>
      <c r="AC68" s="38"/>
      <c r="AE68" s="34"/>
      <c r="AF68" s="34"/>
      <c r="AG68" s="34"/>
      <c r="BE68" s="198"/>
      <c r="DR68" s="211"/>
    </row>
    <row r="69" spans="12:122">
      <c r="L69" s="36"/>
      <c r="S69" s="38"/>
      <c r="T69" s="38"/>
      <c r="W69" s="70"/>
      <c r="X69" s="70"/>
      <c r="Y69" s="251"/>
      <c r="Z69" s="251"/>
      <c r="AB69" s="38"/>
      <c r="AC69" s="38"/>
      <c r="AE69" s="34"/>
      <c r="AF69" s="34"/>
      <c r="AG69" s="34"/>
      <c r="BE69" s="198"/>
      <c r="DR69" s="211"/>
    </row>
    <row r="70" spans="12:122">
      <c r="L70" s="36"/>
      <c r="S70" s="38"/>
      <c r="T70" s="38"/>
      <c r="W70" s="70"/>
      <c r="X70" s="70"/>
      <c r="Y70" s="251"/>
      <c r="Z70" s="251"/>
      <c r="AB70" s="38"/>
      <c r="AC70" s="38"/>
      <c r="AE70" s="34"/>
      <c r="AF70" s="34"/>
      <c r="AG70" s="34"/>
      <c r="BE70" s="198"/>
      <c r="DR70" s="211"/>
    </row>
    <row r="71" spans="12:122">
      <c r="L71" s="36"/>
      <c r="S71" s="38"/>
      <c r="T71" s="38"/>
      <c r="W71" s="70"/>
      <c r="X71" s="70"/>
      <c r="Y71" s="251"/>
      <c r="Z71" s="251"/>
      <c r="AB71" s="38"/>
      <c r="AC71" s="38"/>
      <c r="AE71" s="34"/>
      <c r="AF71" s="34"/>
      <c r="AG71" s="34"/>
      <c r="BE71" s="198"/>
      <c r="DR71" s="211"/>
    </row>
    <row r="72" spans="12:122">
      <c r="L72" s="36"/>
      <c r="S72" s="38"/>
      <c r="T72" s="38"/>
      <c r="W72" s="70"/>
      <c r="X72" s="70"/>
      <c r="Y72" s="251"/>
      <c r="Z72" s="251"/>
      <c r="AB72" s="38"/>
      <c r="AC72" s="38"/>
      <c r="AE72" s="34"/>
      <c r="AF72" s="34"/>
      <c r="AG72" s="34"/>
      <c r="BE72" s="198"/>
      <c r="DR72" s="211"/>
    </row>
    <row r="73" spans="12:122">
      <c r="L73" s="36"/>
      <c r="S73" s="38"/>
      <c r="T73" s="38"/>
      <c r="W73" s="70"/>
      <c r="X73" s="70"/>
      <c r="Y73" s="251"/>
      <c r="Z73" s="251"/>
      <c r="AB73" s="38"/>
      <c r="AC73" s="38"/>
      <c r="AE73" s="34"/>
      <c r="AF73" s="34"/>
      <c r="AG73" s="34"/>
      <c r="BE73" s="198"/>
      <c r="DR73" s="211"/>
    </row>
    <row r="74" spans="12:122">
      <c r="S74" s="38"/>
      <c r="T74" s="38"/>
      <c r="W74" s="70"/>
      <c r="X74" s="70"/>
      <c r="Y74" s="70"/>
      <c r="Z74" s="70"/>
      <c r="AB74" s="38">
        <f>W74+Y74</f>
        <v>0</v>
      </c>
      <c r="AC74" s="38">
        <f>X74+Z74</f>
        <v>0</v>
      </c>
      <c r="AD74">
        <v>871171.34</v>
      </c>
      <c r="AE74" s="34">
        <f>AD74-Y74-Z74</f>
        <v>871171.34</v>
      </c>
      <c r="AF74" s="34"/>
      <c r="AG74" s="34"/>
      <c r="BE74" s="34">
        <f>SUM(BE39:BE73)</f>
        <v>0</v>
      </c>
      <c r="DR74" s="211"/>
    </row>
    <row r="75" spans="12:122">
      <c r="W75" s="190"/>
      <c r="X75" s="190"/>
      <c r="Y75" s="251"/>
      <c r="Z75" s="251"/>
      <c r="AB75" s="38">
        <f>W75+Y75</f>
        <v>0</v>
      </c>
      <c r="AC75" s="38">
        <f>X75+Z75</f>
        <v>0</v>
      </c>
      <c r="AD75">
        <v>799000</v>
      </c>
      <c r="AE75" s="34">
        <f>AD75-Y75-Z75</f>
        <v>799000</v>
      </c>
      <c r="AF75" s="34"/>
      <c r="AG75" s="34"/>
      <c r="DR75" s="211"/>
    </row>
    <row r="76" spans="12:122">
      <c r="W76" s="47"/>
      <c r="X76" s="47"/>
      <c r="Y76" s="35"/>
      <c r="Z76" s="70"/>
      <c r="AB76" s="38">
        <f>SUM(AB41:AB75)</f>
        <v>0</v>
      </c>
      <c r="AC76" s="38">
        <f>SUM(AC41:AC75)</f>
        <v>0</v>
      </c>
      <c r="AD76" s="38">
        <v>34177000</v>
      </c>
      <c r="DR76" s="211"/>
    </row>
    <row r="77" spans="12:122">
      <c r="W77" s="70"/>
      <c r="X77" s="70"/>
      <c r="Y77" s="70"/>
      <c r="Z77" s="70"/>
      <c r="AD77">
        <v>26174532.929999992</v>
      </c>
      <c r="AE77">
        <v>7904252.919999999</v>
      </c>
      <c r="DR77" s="211"/>
    </row>
    <row r="78" spans="12:122">
      <c r="DR78" s="211"/>
    </row>
    <row r="79" spans="12:122">
      <c r="DR79" s="211"/>
    </row>
    <row r="80" spans="12:122">
      <c r="DR80" s="211"/>
    </row>
    <row r="81" spans="122:122">
      <c r="DR81" s="211"/>
    </row>
    <row r="82" spans="122:122">
      <c r="DR82" s="212">
        <f>SUM(DR47:DR81)</f>
        <v>0</v>
      </c>
    </row>
  </sheetData>
  <mergeCells count="51">
    <mergeCell ref="CX1:DA1"/>
    <mergeCell ref="FO1:FP1"/>
    <mergeCell ref="DC1:DD1"/>
    <mergeCell ref="EJ1:EK1"/>
    <mergeCell ref="CG1:CH1"/>
    <mergeCell ref="EA1:EB1"/>
    <mergeCell ref="DO1:DP1"/>
    <mergeCell ref="DS1:DU1"/>
    <mergeCell ref="EN1:ES1"/>
    <mergeCell ref="FD1:FI1"/>
    <mergeCell ref="FJ1:FM1"/>
    <mergeCell ref="DW1:DZ1"/>
    <mergeCell ref="ET1:EU1"/>
    <mergeCell ref="EX1:EZ1"/>
    <mergeCell ref="EE1:EH1"/>
    <mergeCell ref="CP1:CQ1"/>
    <mergeCell ref="AW1:AW2"/>
    <mergeCell ref="AX1:AX2"/>
    <mergeCell ref="AE1:AF1"/>
    <mergeCell ref="BE1:BL1"/>
    <mergeCell ref="AY1:AY2"/>
    <mergeCell ref="BA1:BA2"/>
    <mergeCell ref="BC1:BC2"/>
    <mergeCell ref="AZ1:AZ2"/>
    <mergeCell ref="BP1:BQ1"/>
    <mergeCell ref="BR1:BS1"/>
    <mergeCell ref="BZ1:CC1"/>
    <mergeCell ref="CE1:CF1"/>
    <mergeCell ref="CI1:CJ1"/>
    <mergeCell ref="A1:A2"/>
    <mergeCell ref="B1:B2"/>
    <mergeCell ref="D1:L1"/>
    <mergeCell ref="AS1:AU1"/>
    <mergeCell ref="AV1:AV2"/>
    <mergeCell ref="P1:R1"/>
    <mergeCell ref="S1:U1"/>
    <mergeCell ref="AA1:AB1"/>
    <mergeCell ref="Y1:Y2"/>
    <mergeCell ref="AJ1:AL1"/>
    <mergeCell ref="AI1:AI2"/>
    <mergeCell ref="AQ1:AQ2"/>
    <mergeCell ref="AC1:AD1"/>
    <mergeCell ref="V1:X1"/>
    <mergeCell ref="HA1:HB1"/>
    <mergeCell ref="GW1:GX1"/>
    <mergeCell ref="GY1:GZ1"/>
    <mergeCell ref="HC2:HE2"/>
    <mergeCell ref="FS1:FS2"/>
    <mergeCell ref="GL1:GL2"/>
    <mergeCell ref="GG1:GH1"/>
    <mergeCell ref="FW1:GB1"/>
  </mergeCells>
  <pageMargins left="0.70866141732283472" right="0.70866141732283472" top="0.74803149606299213" bottom="0.74803149606299213" header="0.31496062992125984" footer="0.31496062992125984"/>
  <pageSetup paperSize="9" scale="10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4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203</v>
      </c>
      <c r="C20" s="337"/>
      <c r="D20" s="337"/>
      <c r="E20" s="337"/>
      <c r="F20" s="337"/>
      <c r="G20" s="72" t="s">
        <v>189</v>
      </c>
      <c r="H20" s="118">
        <v>9105006976</v>
      </c>
    </row>
    <row r="21" spans="2:9">
      <c r="B21" s="7" t="s">
        <v>212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1">
        <f>Свод!BC11</f>
        <v>371426.22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73411699.340000004</v>
      </c>
      <c r="G32" s="62">
        <f>G34+G40+G45+G47+G54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59211149.100000001</v>
      </c>
      <c r="G40" s="62">
        <f>G42+G44</f>
        <v>0</v>
      </c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Свод!Y11</f>
        <v>55771029.100000001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Свод!AL11</f>
        <v>3440120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14200550.24</v>
      </c>
      <c r="G47" s="62">
        <f>G49+G50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Свод!AH11</f>
        <v>14200550.24</v>
      </c>
      <c r="G49" s="61">
        <f>Свод!GD11</f>
        <v>0</v>
      </c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73783125.560000002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45005120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Свод!S11+Свод!G11+Свод!AC11+Свод!V11</f>
        <v>34282734.729999997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Свод!P11+Свод!E11+Свод!AG11</f>
        <v>369000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10353385.27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Свод!H11+Свод!T11+Свод!AD11+Свод!W11</f>
        <v>10353385.27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3035463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Свод!J11</f>
        <v>3024399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Свод!K11</f>
        <v>10064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Свод!L11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25742542.559999999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141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61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Свод!AE11+Свод!M11+Свод!AF11+Свод!AZ11-Свод!BB11</f>
        <v>8878507.2400000002</v>
      </c>
      <c r="G110" s="61">
        <f>Свод!GD11</f>
        <v>0</v>
      </c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Свод!D11+Свод!Q11+Свод!AA11+Свод!AB11+Свод!AL11+Свод!AN11+Свод!BA11+Свод!AY11-Свод!AP11</f>
        <v>13970763.73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Свод!N11+Свод!AP11</f>
        <v>2893271.59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Свод!BB11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25742542.559999999</v>
      </c>
      <c r="H138" s="62">
        <f>H147+H142</f>
        <v>0</v>
      </c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Свод!AV11+Свод!AW11+Свод!AX11+G144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Свод!AY11+Свод!AZ11-F129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25742542.559999999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11237237.1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Свод!Q11+Свод!M11+Свод!D11-Свод!AV11+Свод!N11</f>
        <v>11237237.1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10693759.24</v>
      </c>
      <c r="H153" s="61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Свод!AA11+Свод!AB11+Свод!AE11-Свод!AW11+Свод!AF11</f>
        <v>10693759.24</v>
      </c>
      <c r="H155" s="61">
        <f>Свод!GD11</f>
        <v>0</v>
      </c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Свод!AI11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3811546.2199999997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Свод!AL11+Свод!AN11-Свод!AX11+Свод!BA11</f>
        <v>3811546.2199999997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25742542.559999999</v>
      </c>
      <c r="H175" s="62">
        <f>H147</f>
        <v>0</v>
      </c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25742542.559999999</v>
      </c>
      <c r="H176" s="61">
        <f>Свод!GD11</f>
        <v>0</v>
      </c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257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8"/>
  <sheetViews>
    <sheetView workbookViewId="0">
      <selection activeCell="B173" sqref="B173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213</v>
      </c>
      <c r="C20" s="337"/>
      <c r="D20" s="337"/>
      <c r="E20" s="337"/>
      <c r="F20" s="337"/>
      <c r="G20" s="72" t="s">
        <v>189</v>
      </c>
      <c r="H20" s="118">
        <v>9105008532</v>
      </c>
    </row>
    <row r="21" spans="2:9">
      <c r="B21" s="7" t="s">
        <v>214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Свод!BC12</f>
        <v>280944.39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69232343.420000002</v>
      </c>
      <c r="G32" s="62">
        <f>G34+G40+G45+G47+G54</f>
        <v>5000000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32042310.420000002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Свод!Y12</f>
        <v>30362130.420000002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Свод!AL12</f>
        <v>1680180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37190033</v>
      </c>
      <c r="G47" s="62">
        <f>G49+G50</f>
        <v>5000000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Свод!AH12</f>
        <v>37190033</v>
      </c>
      <c r="G49" s="62">
        <f>Свод!GE12</f>
        <v>5000000</v>
      </c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69513287.810000002</v>
      </c>
      <c r="G61" s="62">
        <f>G63+G83+G92+G107+G97+G105+G118</f>
        <v>5000000</v>
      </c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25676584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1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Свод!S12+Свод!G12+Свод!AC12+Свод!V12</f>
        <v>19554979.73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Свод!P12+Свод!E12+Свод!AG12</f>
        <v>216000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1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5905604.2699999996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Свод!H12+Свод!T12+Свод!AD12+Свод!W12</f>
        <v>5905604.2699999996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9669.99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Свод!K12</f>
        <v>7677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Свод!L12</f>
        <v>1992.99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43827033.82</v>
      </c>
      <c r="G107" s="62">
        <f>G110+G115+G118+G117</f>
        <v>5000000</v>
      </c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Свод!AE12+Свод!M12+Свод!AF12+Свод!AZ12-Свод!BB12</f>
        <v>34000000</v>
      </c>
      <c r="G110" s="62">
        <f>Свод!GE12</f>
        <v>5000000</v>
      </c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Свод!D12+Свод!Q12+Свод!AA12+Свод!AB12+Свод!AL12+Свод!AN12+Свод!BA12+Свод!AY12-Свод!AP12</f>
        <v>9337597.1500000004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Свод!N12+Свод!AP12</f>
        <v>489436.66999999993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3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Свод!BB12</f>
        <v>0</v>
      </c>
      <c r="G129" s="4"/>
      <c r="H129" s="4"/>
      <c r="I129" s="77" t="s">
        <v>8</v>
      </c>
    </row>
    <row r="130" spans="1:13" ht="15.75" thickBot="1">
      <c r="B130" s="4"/>
      <c r="C130" s="11"/>
      <c r="D130" s="4"/>
      <c r="E130" s="124"/>
      <c r="F130" s="62"/>
      <c r="G130" s="4"/>
      <c r="H130" s="4"/>
      <c r="I130" s="4"/>
    </row>
    <row r="131" spans="1:13">
      <c r="B131" s="86"/>
      <c r="C131" s="87"/>
      <c r="D131" s="86"/>
      <c r="E131" s="86"/>
      <c r="F131" s="86"/>
      <c r="G131" s="86"/>
      <c r="H131" s="86"/>
      <c r="I131" s="86"/>
    </row>
    <row r="132" spans="1:13">
      <c r="B132" s="6"/>
    </row>
    <row r="133" spans="1:13" ht="18.75">
      <c r="B133" s="8" t="s">
        <v>70</v>
      </c>
    </row>
    <row r="134" spans="1:13" ht="15.75" thickBot="1">
      <c r="B134" s="6"/>
    </row>
    <row r="135" spans="1:13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3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3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3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43827033.82</v>
      </c>
      <c r="H138" s="62">
        <f>H147+H142</f>
        <v>5000000</v>
      </c>
      <c r="I138" s="4"/>
      <c r="J138" s="4"/>
      <c r="L138" s="38">
        <f>F30+F32-F61-F129</f>
        <v>0</v>
      </c>
      <c r="M138" s="38">
        <f>G30+G32-G61-G129</f>
        <v>0</v>
      </c>
    </row>
    <row r="139" spans="1:13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  <c r="M139" s="34">
        <f>G107-H138</f>
        <v>0</v>
      </c>
    </row>
    <row r="140" spans="1:13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3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3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Свод!AV12+Свод!AW12+Свод!AX12+G144</f>
        <v>260423.67999999999</v>
      </c>
      <c r="H142" s="15"/>
      <c r="I142" s="15"/>
      <c r="J142" s="15"/>
    </row>
    <row r="143" spans="1:13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260423.67999999999</v>
      </c>
      <c r="H143" s="15"/>
      <c r="I143" s="15"/>
      <c r="J143" s="15"/>
    </row>
    <row r="144" spans="1:13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Свод!AY12+Свод!AZ12-F129</f>
        <v>260423.67999999999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43566610.140000001</v>
      </c>
      <c r="H147" s="65">
        <f>H149+H153+H158+H165</f>
        <v>5000000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6779747.4299999997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Свод!Q12+Свод!M12+Свод!D12-Свод!AV12+Свод!N12</f>
        <v>6779747.4299999997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35086162</v>
      </c>
      <c r="H153" s="62">
        <f>H155</f>
        <v>5000000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148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Свод!AA12+Свод!AB12+Свод!AE12-Свод!AW12+Свод!AF12</f>
        <v>35086162</v>
      </c>
      <c r="H155" s="62">
        <f>Свод!GE12</f>
        <v>5000000</v>
      </c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3">
        <f>Свод!GS12</f>
        <v>0</v>
      </c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1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Свод!AI12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1700700.71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Свод!AL12+Свод!AN12-Свод!AX12+Свод!BA12</f>
        <v>1700700.71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43566610.140000001</v>
      </c>
      <c r="H175" s="62">
        <f>H147</f>
        <v>5000000</v>
      </c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43566610.140000001</v>
      </c>
      <c r="H176" s="62">
        <f>H155</f>
        <v>5000000</v>
      </c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zoomScaleNormal="100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202</v>
      </c>
      <c r="C20" s="337"/>
      <c r="D20" s="337"/>
      <c r="E20" s="337"/>
      <c r="F20" s="337"/>
      <c r="G20" s="72" t="s">
        <v>189</v>
      </c>
      <c r="H20" s="114">
        <v>9105008733</v>
      </c>
    </row>
    <row r="21" spans="2:9">
      <c r="B21" s="7" t="s">
        <v>215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Свод!BC13</f>
        <v>280204.39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37230037.409999996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32889407.41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Свод!Y13</f>
        <v>32889407.41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Свод!AL13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4340630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Свод!AH13</f>
        <v>4340630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37510241.799999997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29124192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Свод!S13+Свод!G13+Свод!AC13+Свод!V13</f>
        <v>22189087.73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Свод!P13+Свод!E13+Свод!AG13</f>
        <v>234000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6701104.2699999996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Свод!H13+Свод!T13+Свод!AD13+Свод!W13</f>
        <v>6701104.2699999996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8245.0400000000009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Свод!K13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Свод!L13</f>
        <v>1097.04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>
        <f>Свод!I13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8377804.7599999998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Свод!AE13+Свод!M13+Свод!AF13+Свод!AZ13-Свод!BB13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Свод!D13+Свод!Q13+Свод!AA13+Свод!AB13+Свод!AL13+Свод!AN13+Свод!BA13+Свод!AY13-Свод!AP13</f>
        <v>7226651.5199999996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Свод!N13+Свод!AP13</f>
        <v>1151153.2399999998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Свод!BB13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8377804.7599999988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148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6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6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Свод!AV13+Свод!AW13+Свод!AX13+G144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81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Свод!AY13+Свод!AZ13-F129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81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81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8377804.7599999988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148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6503801.3699999992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148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Свод!Q13+Свод!M13+Свод!D13-Свод!AV13+Свод!N13</f>
        <v>6503801.3699999992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1593799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Свод!AA13+Свод!AB13+Свод!AE13-Свод!AW13+Свод!AF13</f>
        <v>1593799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1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2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1">
        <f>Свод!AI13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1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1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62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148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62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62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280204.39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Свод!AL13+Свод!AN13-Свод!AX13+Свод!BA13</f>
        <v>280204.39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8377804.7599999988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8377804.7599999988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302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35433070866141736" bottom="0.39370078740157483" header="0" footer="0"/>
  <pageSetup paperSize="9" scale="75" fitToHeight="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710937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202</v>
      </c>
      <c r="C20" s="337"/>
      <c r="D20" s="337"/>
      <c r="E20" s="337"/>
      <c r="F20" s="337"/>
      <c r="G20" s="72" t="s">
        <v>189</v>
      </c>
      <c r="H20" s="114">
        <v>9105009007</v>
      </c>
    </row>
    <row r="21" spans="2:9">
      <c r="B21" s="7" t="s">
        <v>309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Свод!BC14</f>
        <v>289287.01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69744251.810000002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37873798.030000001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Свод!Y14</f>
        <v>37873798.030000001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Свод!AL14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31870453.780000001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Свод!AH14</f>
        <v>31870453.780000001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70033538.819999993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31267684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Свод!S14+Свод!G14+Свод!AC14+Свод!V14</f>
        <v>23793920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Свод!P14+Свод!E14+Свод!AG14</f>
        <v>288000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7185764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Свод!H14+Свод!T14+Свод!AD14+Свод!W14</f>
        <v>7185764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8803.86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Свод!K14</f>
        <v>7456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Свод!L14</f>
        <v>1347.8600000000001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38757050.960000001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Свод!AE14+Свод!M14+Свод!AF14+Свод!AZ14-Свод!BB14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Свод!D14+Свод!Q14+Свод!AA14+Свод!AB14+Свод!AL14+Свод!AN14+Свод!BA14+Свод!AY14-Свод!AP14</f>
        <v>38457474.600000001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Свод!N14+Свод!AP14</f>
        <v>299576.36000000004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Свод!BB14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38757050.960000001</v>
      </c>
      <c r="H138" s="4"/>
      <c r="I138" s="4"/>
      <c r="J138" s="4"/>
      <c r="L138" s="38">
        <f>F30+F32-F61-F129</f>
        <v>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Свод!AV14+Свод!AW14+Свод!AX14+G144</f>
        <v>284071.12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284071.12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Свод!AY14+Свод!AZ14-F129</f>
        <v>284071.12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38472979.840000004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9853870.1699999981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Свод!Q14+Свод!M14+Свод!D14-Свод!AV14+Свод!N14</f>
        <v>9853870.1699999981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28613893.780000001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Свод!AA14+Свод!AB14+Свод!AE14-Свод!AW14+Свод!AF14</f>
        <v>28613893.780000001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Свод!AI14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5215.8900000000003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Свод!AL14+Свод!AN14-Свод!AX14+Свод!BA14</f>
        <v>5215.8900000000003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38472979.840000004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38472979.840000004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303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47244094488188981" bottom="0.39370078740157483" header="0" footer="0"/>
  <pageSetup paperSize="9" scale="76" fitToHeight="7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202</v>
      </c>
      <c r="C20" s="337"/>
      <c r="D20" s="337"/>
      <c r="E20" s="337"/>
      <c r="F20" s="337"/>
      <c r="G20" s="72" t="s">
        <v>189</v>
      </c>
      <c r="H20" s="114">
        <v>9105007095</v>
      </c>
    </row>
    <row r="21" spans="2:9">
      <c r="B21" s="7" t="s">
        <v>217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Свод!BC15</f>
        <v>655082.26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71587538.560000002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50896279.439999998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Свод!Y15</f>
        <v>47437579.439999998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Свод!AL15</f>
        <v>3458700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20691259.120000001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Свод!AH15</f>
        <v>20691259.120000001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72162620.819999993</v>
      </c>
      <c r="G61" s="4"/>
      <c r="H61" s="4"/>
      <c r="I61" s="11"/>
      <c r="J61" s="34">
        <f>F30+F32-F61</f>
        <v>80000.000000014901</v>
      </c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37338381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Свод!S15+Свод!G15+Свод!AC15+Свод!V15</f>
        <v>28484166.73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Свод!P15+Свод!E15+Свод!AG15</f>
        <v>252000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8602214.2699999996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Свод!H15+Свод!T15+Свод!AD15+Свод!W15</f>
        <v>8602214.2699999996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18108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Свод!J15</f>
        <v>9960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Свод!K15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34806131.82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Свод!AE15+Свод!M15+Свод!AF15+Свод!AZ15-Свод!BB15</f>
        <v>16209063.48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Свод!D15+Свод!Q15+Свод!AA15+Свод!AB15+Свод!AL15+Свод!AN15+Свод!BA15+Свод!AY15-Свод!AP15</f>
        <v>15581065.98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Свод!N15+Свод!AP15</f>
        <v>3016002.36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80000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Свод!BB15</f>
        <v>80000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34806131.82</v>
      </c>
      <c r="H138" s="4"/>
      <c r="I138" s="4"/>
      <c r="J138" s="4"/>
      <c r="L138" s="38">
        <f>F30+F32-F61-F127</f>
        <v>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Свод!AV15+Свод!AW15+Свод!AX15+G144</f>
        <v>300000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81">
        <f>G144</f>
        <v>300000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Свод!AY15+Свод!AZ15-F129</f>
        <v>300000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34506131.82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13158401.439999999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Свод!Q15+Свод!M15+Свод!D15-Свод!AV15+Свод!N15</f>
        <v>13158401.439999999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17613948.120000001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Свод!AA15+Свод!AB15+Свод!AE15-Свод!AW15+Свод!AF15</f>
        <v>17613948.120000001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Свод!AI15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3733782.26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Свод!AL15+Свод!AN15-Свод!AX15+Свод!BA15</f>
        <v>3733782.26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34506131.82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34506131.82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31496062992125984" right="0.31496062992125984" top="0.35433070866141736" bottom="0.35433070866141736" header="0.31496062992125984" footer="0.31496062992125984"/>
  <pageSetup paperSize="9" scale="75" fitToHeight="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202</v>
      </c>
      <c r="C20" s="337"/>
      <c r="D20" s="337"/>
      <c r="E20" s="337"/>
      <c r="F20" s="337"/>
      <c r="G20" s="72" t="s">
        <v>189</v>
      </c>
      <c r="H20" s="114">
        <v>9105007850</v>
      </c>
    </row>
    <row r="21" spans="2:9">
      <c r="B21" s="7" t="s">
        <v>218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Свод!BC16</f>
        <v>316809.39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42392700.509999998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30009202.309999999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Свод!Y16</f>
        <v>29839202.309999999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Свод!AL16</f>
        <v>170000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12383498.199999999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Свод!AH16</f>
        <v>12383498.199999999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42709509.899999999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24543666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Свод!S16+Свод!G16+Свод!AC16+Свод!V16</f>
        <v>18705580.73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Свод!P16+Свод!E16+Свод!AG16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5649085.2699999996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Свод!H16+Свод!T16+Свод!AD16+Свод!W16</f>
        <v>5649085.2699999996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11304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Свод!J16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Свод!K16</f>
        <v>10304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Свод!L16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18154539.899999999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Свод!AE16+Свод!M16+Свод!AF16+Свод!AZ16-Свод!BB16</f>
        <v>8688613.1999999993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Свод!D16+Свод!Q16+Свод!AA16+Свод!AB16+Свод!AL16+Свод!AN16+Свод!BA16+Свод!AY16-Свод!AP16</f>
        <v>7930056.2899999991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Свод!N16+Свод!AP16</f>
        <v>1535870.4100000001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Свод!BB16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18154539.899999999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Свод!AV16+Свод!AW16+Свод!AX16+G144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Свод!AY16+Свод!AZ16-F129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18154539.899999999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7361103.3099999996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Свод!Q16+Свод!M16+Свод!D16-Свод!AV16+Свод!N16</f>
        <v>7361103.3099999996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10306627.199999999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Свод!AA16+Свод!AB16+Свод!AE16-Свод!AW16+Свод!AF16</f>
        <v>10306627.199999999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Свод!AI16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486809.39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Свод!AL16+Свод!AN16-Свод!AX16+Свод!BA16</f>
        <v>486809.39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18154539.899999999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18154539.899999999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1496062992125984" bottom="0.39370078740157483" header="0" footer="0"/>
  <pageSetup paperSize="9" scale="77" fitToHeight="6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202</v>
      </c>
      <c r="C20" s="337"/>
      <c r="D20" s="337"/>
      <c r="E20" s="337"/>
      <c r="F20" s="337"/>
      <c r="G20" s="72" t="s">
        <v>189</v>
      </c>
      <c r="H20" s="114">
        <v>9105008162</v>
      </c>
    </row>
    <row r="21" spans="2:9">
      <c r="B21" s="7" t="s">
        <v>219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Свод!BC17</f>
        <v>277152.26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54772195.75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38149931.43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Свод!Y17</f>
        <v>38070931.43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Свод!AL17</f>
        <v>79000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16622264.32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Свод!AH17</f>
        <v>16622264.32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55049348.009999998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33188234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Свод!S17+Свод!G17+Свод!AC17+Свод!V17</f>
        <v>25255171.73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Свод!P17+Свод!E17+Свод!AG17</f>
        <v>306000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7627062.2699999996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Свод!H17+Свод!T17+Свод!AD17+Свод!W17</f>
        <v>7627062.2699999996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12243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Свод!J17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Свод!K17</f>
        <v>11243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Свод!L17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21848871.009999998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Свод!AE17+Свод!M17+Свод!AF17+Свод!AZ17-Свод!BB17</f>
        <v>11298666.32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Свод!D17+Свод!Q17+Свод!AA17+Свод!AB17+Свод!AL17+Свод!AN17+Свод!BA17+Свод!AY17-Свод!AP17</f>
        <v>8939003.3699999992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Свод!N17+Свод!AP17</f>
        <v>1611201.3199999998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Свод!BB17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21848871.010000002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3">
        <f>Свод!AV17+Свод!AW17+Свод!AX17+G144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Свод!AY17+Свод!AZ17-F129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21848871.010000002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8626725.4299999997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Свод!Q17+Свод!M17+Свод!D17-Свод!AV17+Свод!N17</f>
        <v>8626725.4299999997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12865993.32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Свод!AA17+Свод!AB17+Свод!AE17-Свод!AW17+Свод!AF17</f>
        <v>12865993.32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Свод!AI17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356152.26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Свод!AL17+Свод!AN17-Свод!AX17+Свод!BA17</f>
        <v>356152.26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21848871.010000002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21848871.010000002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88"/>
  <sheetViews>
    <sheetView topLeftCell="B1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140625" customWidth="1"/>
    <col min="7" max="7" width="17.140625" customWidth="1"/>
    <col min="8" max="8" width="12" customWidth="1"/>
    <col min="9" max="9" width="10.7109375" customWidth="1"/>
    <col min="12" max="12" width="11.855468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202</v>
      </c>
      <c r="C20" s="337"/>
      <c r="D20" s="337"/>
      <c r="E20" s="337"/>
      <c r="F20" s="337"/>
      <c r="G20" s="72" t="s">
        <v>189</v>
      </c>
      <c r="H20" s="117">
        <v>9105007585</v>
      </c>
    </row>
    <row r="21" spans="2:9">
      <c r="B21" s="7" t="s">
        <v>220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Свод!BC18</f>
        <v>389080.96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56234824.869999997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28066368.390000001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Свод!Y18</f>
        <v>27860368.390000001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Свод!AL18</f>
        <v>206000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28168456.479999997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Свод!AH18</f>
        <v>28168456.479999997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56243905.829999998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23177021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Свод!S18+Свод!G18+Свод!AC18+Свод!V18</f>
        <v>17662842.73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Свод!P18+Свод!E18+Свод!AG18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5334178.2699999996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Свод!H18+Свод!T18+Свод!AD18+Свод!W18</f>
        <v>5334178.2699999996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10584.99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Свод!J18</f>
        <v>1368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Свод!K18</f>
        <v>7736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Свод!L18</f>
        <v>1480.99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33056299.84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Свод!AE18+Свод!M18+Свод!AF18+Свод!AZ18-Свод!BB18</f>
        <v>24594711.079999998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Свод!D18+Свод!Q18+Свод!AA18+Свод!AB18+Свод!AL18+Свод!AN18+Свод!BA18+Свод!AY18-Свод!AP18</f>
        <v>8069385.4400000004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Свод!N18+Свод!AP18</f>
        <v>392203.32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380000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Свод!BB18</f>
        <v>380000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33056299.839999996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Свод!AV18+Свод!AW18+Свод!AX18+G144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Свод!AY18+Свод!AZ18-F129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33056299.839999996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6896873.4000000004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Свод!Q18+Свод!M18+Свод!D18-Свод!AV18+Свод!N18</f>
        <v>6896873.4000000004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25944345.479999997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Свод!AA18+Свод!AB18+Свод!AE18-Свод!AW18+Свод!AF18</f>
        <v>25944345.479999997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Свод!AI18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215080.95999999999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Свод!AL18+Свод!AN18-Свод!AX18+Свод!BA18</f>
        <v>215080.95999999999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33056299.839999996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33056299.839999996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" right="0" top="0.39370078740157483" bottom="0.39370078740157483" header="0" footer="0"/>
  <pageSetup paperSize="9" scale="9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202</v>
      </c>
      <c r="C20" s="337"/>
      <c r="D20" s="337"/>
      <c r="E20" s="337"/>
      <c r="F20" s="337"/>
      <c r="G20" s="72" t="s">
        <v>189</v>
      </c>
      <c r="H20" s="117">
        <v>9105007024</v>
      </c>
    </row>
    <row r="21" spans="2:9">
      <c r="B21" s="7" t="s">
        <v>221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Свод!BC19</f>
        <v>13880.84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1">
        <f>F34+F40+F45+F47+F54</f>
        <v>40627052.619999997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35474296.619999997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Свод!Y19</f>
        <v>35324296.619999997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Свод!AL19</f>
        <v>150000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5152756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Свод!AH19</f>
        <v>5152756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40640933.460000001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29904252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Свод!S19+Свод!G19+Свод!AC19+Свод!V19</f>
        <v>22758258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Свод!P19+Свод!E19+Свод!AG19</f>
        <v>273000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6872994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Свод!H19+Свод!T19+Свод!AD19+Свод!W19</f>
        <v>6872994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13984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Свод!J19</f>
        <v>5071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Свод!K19</f>
        <v>7913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Свод!L19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10722697.459999999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3">
        <f>Свод!AE19+Свод!M19+Свод!AF19+Свод!AZ19-Свод!BB19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Свод!D19+Свод!Q19+Свод!AA19+Свод!AB19+Свод!AL19+Свод!AN19+Свод!BA19+Свод!AY19-Свод!AP19</f>
        <v>9161215.3699999992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Свод!N19+Свод!AP19</f>
        <v>1561482.0899999999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Свод!BB19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10722697.459999999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3">
        <f>Свод!AV19+Свод!AW19+Свод!AX19+G144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Свод!AY19+Свод!AZ19-F129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10722697.459999999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8470380.6199999992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Свод!Q19+Свод!M19+Свод!D19-Свод!AV19+Свод!N19</f>
        <v>8470380.6199999992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2088436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Свод!AA19+Свод!AB19+Свод!AE19-Свод!AW19+Свод!AF19</f>
        <v>2088436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Свод!AI19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163880.84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Свод!AL19+Свод!AN19-Свод!AX19+Свод!BA19</f>
        <v>163880.84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10722697.459999999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10722697.459999999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237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9685039370078741" right="0.19685039370078741" top="0.15748031496062992" bottom="0.35433070866141736" header="0" footer="0"/>
  <pageSetup paperSize="9" scale="76" fitToHeight="6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202</v>
      </c>
      <c r="C20" s="337"/>
      <c r="D20" s="337"/>
      <c r="E20" s="337"/>
      <c r="F20" s="337"/>
      <c r="G20" s="72" t="s">
        <v>189</v>
      </c>
      <c r="H20" s="117">
        <v>9105008405</v>
      </c>
    </row>
    <row r="21" spans="2:9">
      <c r="B21" s="7" t="s">
        <v>222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4">
        <f>Свод!BC20</f>
        <v>17954.29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22932422.280000001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20498130.050000001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Свод!Y20</f>
        <v>20240130.050000001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Свод!AL20</f>
        <v>258000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2434292.23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Свод!AH20</f>
        <v>2434292.23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22950376.57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16375743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Свод!S20+Свод!G20+Свод!AC20+Свод!V20</f>
        <v>12515164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Свод!P20+Свод!E20+Свод!AG20</f>
        <v>81000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3779579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Свод!H20+Свод!T20+Свод!AD20+Свод!W20</f>
        <v>3779579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7199.29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Свод!J20</f>
        <v>3608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Свод!K20</f>
        <v>2241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Свод!L20</f>
        <v>1350.29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6567434.2800000003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Свод!AE20+Свод!M20+Свод!AF20+Свод!AZ20-Свод!BB20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Свод!D20+Свод!Q20+Свод!AA20+Свод!AB20+Свод!AL20+Свод!AN20+Свод!BA20+Свод!AY20-Свод!AP20</f>
        <v>6482024.6800000006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Свод!N20+Свод!AP20</f>
        <v>85409.60000000002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Свод!BB20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6567434.2800000003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Свод!AV20+Свод!AW20+Свод!AX20+G143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Свод!AY20+Свод!AZ20-F129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6567434.2800000003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5344347.7600000007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Свод!Q20+Свод!M20+Свод!D20-Свод!AV20+Свод!N20</f>
        <v>5344347.7600000007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947132.23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Свод!AA20+Свод!AB20+Свод!AE20-Свод!AW20+Свод!AF20</f>
        <v>947132.23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Свод!AI20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275954.28999999998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Свод!AL20+Свод!AN20-Свод!AX20+Свод!BA20</f>
        <v>275954.28999999998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6567434.2800000003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6567434.2800000003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5433070866141736" bottom="0.55118110236220474" header="0.31496062992125984" footer="0.31496062992125984"/>
  <pageSetup paperSize="9" scale="77" fitToHeight="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8"/>
  <sheetViews>
    <sheetView topLeftCell="C1" zoomScaleNormal="100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42578125" customWidth="1"/>
    <col min="6" max="6" width="12.7109375" customWidth="1"/>
    <col min="7" max="7" width="14" customWidth="1"/>
    <col min="8" max="8" width="12" customWidth="1"/>
    <col min="9" max="9" width="10.7109375" customWidth="1"/>
    <col min="12" max="12" width="13.14062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202</v>
      </c>
      <c r="C20" s="337"/>
      <c r="D20" s="337"/>
      <c r="E20" s="337"/>
      <c r="F20" s="337"/>
      <c r="G20" s="72" t="s">
        <v>189</v>
      </c>
      <c r="H20" s="115">
        <v>9105007962</v>
      </c>
    </row>
    <row r="21" spans="2:9" ht="15.75">
      <c r="B21" s="116" t="s">
        <v>204</v>
      </c>
      <c r="G21" s="72" t="s">
        <v>190</v>
      </c>
      <c r="H21" s="115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2" t="s">
        <v>1</v>
      </c>
      <c r="D27" s="332" t="s">
        <v>2</v>
      </c>
      <c r="E27" s="1" t="s">
        <v>3</v>
      </c>
      <c r="F27" s="330" t="s">
        <v>5</v>
      </c>
      <c r="G27" s="331"/>
      <c r="H27" s="331"/>
      <c r="I27" s="331"/>
    </row>
    <row r="28" spans="2:9" ht="90" customHeight="1" thickBot="1">
      <c r="B28" s="335"/>
      <c r="C28" s="333"/>
      <c r="D28" s="333"/>
      <c r="E28" s="2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Свод!BC3</f>
        <v>547572.65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123">
        <v>100</v>
      </c>
      <c r="E32" s="126">
        <v>100</v>
      </c>
      <c r="F32" s="61">
        <f>F34+F40+F45+F47+F51+F54</f>
        <v>67064002.789999999</v>
      </c>
      <c r="G32" s="4">
        <f>G34+G40+G45+G47+G51+G54</f>
        <v>0</v>
      </c>
      <c r="H32" s="4">
        <f>H34+H40+H45+H47+H51+H54</f>
        <v>0</v>
      </c>
      <c r="I32" s="4">
        <f>I34+I40+I45+I47+I51+I54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2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2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45821370.5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</f>
        <v>45639370.5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</f>
        <v>182000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21242632.289999999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</f>
        <v>21242632.289999999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67611575.439999998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41392688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61">
        <f>Свод!S3+Свод!G3+Свод!AC3+Свод!V3</f>
        <v>31515121.73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61">
        <f>Свод!P3+Свод!E3+Свод!AG3</f>
        <v>360000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5">
        <f>F70</f>
        <v>9517566.2699999996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62">
        <f>Свод!H3+Свод!T3+Свод!AD3+Свод!W3</f>
        <v>9517566.2699999996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2" t="s">
        <v>1</v>
      </c>
      <c r="D74" s="332" t="s">
        <v>2</v>
      </c>
      <c r="E74" s="1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2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2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9.25" customHeight="1" thickBot="1">
      <c r="B78" s="4" t="s">
        <v>262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4.75" customHeight="1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62">
        <f>Свод!F3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4180.88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62">
        <f>Свод!J3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62">
        <f>Свод!K3</f>
        <v>2412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62">
        <f>Свод!L3</f>
        <v>1768.88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6"/>
      <c r="F99" s="62"/>
      <c r="G99" s="4"/>
      <c r="H99" s="4"/>
      <c r="I99" s="9" t="s">
        <v>8</v>
      </c>
    </row>
    <row r="100" spans="2:9" ht="15.75" thickBot="1">
      <c r="B100" s="4" t="s">
        <v>264</v>
      </c>
      <c r="C100" s="9">
        <v>2420</v>
      </c>
      <c r="D100" s="9">
        <v>623</v>
      </c>
      <c r="E100" s="126"/>
      <c r="F100" s="62"/>
      <c r="G100" s="4"/>
      <c r="H100" s="4"/>
      <c r="I100" s="9"/>
    </row>
    <row r="101" spans="2:9" ht="26.25" thickBot="1">
      <c r="B101" s="4" t="s">
        <v>265</v>
      </c>
      <c r="C101" s="9">
        <v>2430</v>
      </c>
      <c r="D101" s="9">
        <v>634</v>
      </c>
      <c r="E101" s="126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26214706.559999999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Свод!AE3+Свод!M3+Свод!AF3+Свод!AZ3-Свод!BB3</f>
        <v>14727644.290000001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2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2">
        <v>1</v>
      </c>
      <c r="C114" s="2">
        <v>2</v>
      </c>
      <c r="D114" s="2">
        <v>3</v>
      </c>
      <c r="E114" s="2">
        <v>4</v>
      </c>
      <c r="F114" s="2">
        <v>5</v>
      </c>
      <c r="G114" s="2">
        <v>6</v>
      </c>
      <c r="H114" s="2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2">
        <v>244</v>
      </c>
      <c r="E115" s="131">
        <v>220</v>
      </c>
      <c r="F115" s="62">
        <f>Свод!D3+Свод!Q3+Свод!AA3+Свод!AB3+Свод!AL3+Свод!AN3+Свод!BA3+Свод!AY3-Свод!AP3</f>
        <v>10815459.509999998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6">
        <v>247</v>
      </c>
      <c r="E117" s="126">
        <v>223</v>
      </c>
      <c r="F117" s="62">
        <f>Свод!N3+Свод!AP3</f>
        <v>671602.76000000013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2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2">
        <v>407</v>
      </c>
      <c r="E121" s="89">
        <v>228</v>
      </c>
      <c r="F121" s="62">
        <f>Свод!AI3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2">
        <v>100</v>
      </c>
      <c r="E122" s="124"/>
      <c r="F122" s="62"/>
      <c r="G122" s="4"/>
      <c r="H122" s="4"/>
      <c r="I122" s="2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2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2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2" t="s">
        <v>8</v>
      </c>
    </row>
    <row r="127" spans="2:9" ht="15.75" thickBot="1">
      <c r="B127" s="4" t="s">
        <v>68</v>
      </c>
      <c r="C127" s="9">
        <v>4000</v>
      </c>
      <c r="D127" s="2" t="s">
        <v>8</v>
      </c>
      <c r="E127" s="124"/>
      <c r="F127" s="62">
        <f>F129</f>
        <v>0</v>
      </c>
      <c r="G127" s="4"/>
      <c r="H127" s="4"/>
      <c r="I127" s="2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2">
        <v>610</v>
      </c>
      <c r="E129" s="124">
        <v>610</v>
      </c>
      <c r="F129" s="62">
        <f>Свод!BB3</f>
        <v>0</v>
      </c>
      <c r="G129" s="4"/>
      <c r="H129" s="4"/>
      <c r="I129" s="2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0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2">
        <v>1</v>
      </c>
      <c r="B137" s="2">
        <v>2</v>
      </c>
      <c r="C137" s="2">
        <v>3</v>
      </c>
      <c r="D137" s="2">
        <v>4</v>
      </c>
      <c r="E137" s="16" t="s">
        <v>248</v>
      </c>
      <c r="F137" s="16" t="s">
        <v>284</v>
      </c>
      <c r="G137" s="2">
        <v>5</v>
      </c>
      <c r="H137" s="2">
        <v>6</v>
      </c>
      <c r="I137" s="2">
        <v>7</v>
      </c>
      <c r="J137" s="3">
        <v>8</v>
      </c>
    </row>
    <row r="138" spans="1:12" ht="15.75" thickBot="1">
      <c r="A138" s="2">
        <v>1</v>
      </c>
      <c r="B138" s="4" t="s">
        <v>74</v>
      </c>
      <c r="C138" s="2">
        <v>26000</v>
      </c>
      <c r="D138" s="2" t="s">
        <v>8</v>
      </c>
      <c r="E138" s="140" t="s">
        <v>255</v>
      </c>
      <c r="F138" s="140" t="s">
        <v>8</v>
      </c>
      <c r="G138" s="62">
        <f>G147+G142</f>
        <v>26214706.560000002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65">
        <f>Свод!AV3+Свод!AW3+Свод!AX3+Свод!AY3</f>
        <v>470773.28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5">
        <f>G144</f>
        <v>470773.28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65">
        <f>Свод!AY3+Свод!AZ3-F129</f>
        <v>470773.28</v>
      </c>
      <c r="H144" s="15"/>
      <c r="I144" s="15"/>
      <c r="J144" s="15"/>
    </row>
    <row r="145" spans="1:10" ht="14.25" customHeight="1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5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5"/>
      <c r="H146" s="15"/>
      <c r="I146" s="15"/>
      <c r="J146" s="15"/>
    </row>
    <row r="147" spans="1:10" ht="40.5" thickBot="1">
      <c r="A147" s="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25743933.280000001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8521492.620000001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62">
        <f>Свод!Q3+Свод!M3+Свод!D3-Свод!AV3+Свод!N3</f>
        <v>8521492.620000001</v>
      </c>
      <c r="H151" s="4"/>
      <c r="I151" s="4"/>
      <c r="J151" s="4"/>
    </row>
    <row r="152" spans="1:10" ht="15.75" thickBot="1">
      <c r="A152" s="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16963641.289999999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.75" thickBot="1">
      <c r="A155" s="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62">
        <f>Свод!AA3+Свод!AB3+Свод!AE3-Свод!AW3+Свод!AF3</f>
        <v>16963641.289999999</v>
      </c>
      <c r="H155" s="4"/>
      <c r="I155" s="4"/>
      <c r="J155" s="4"/>
    </row>
    <row r="156" spans="1:10" ht="15.75" thickBot="1">
      <c r="A156" s="187" t="s">
        <v>297</v>
      </c>
      <c r="B156" s="4" t="s">
        <v>298</v>
      </c>
      <c r="C156" s="9" t="s">
        <v>254</v>
      </c>
      <c r="D156" s="9" t="s">
        <v>8</v>
      </c>
      <c r="E156" s="9" t="s">
        <v>296</v>
      </c>
      <c r="F156" s="9" t="s">
        <v>8</v>
      </c>
      <c r="G156" s="62">
        <f>Свод!GS3</f>
        <v>0</v>
      </c>
      <c r="H156" s="4"/>
      <c r="I156" s="4"/>
      <c r="J156" s="4"/>
    </row>
    <row r="157" spans="1:10" ht="15.75" thickBot="1">
      <c r="A157" s="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61">
        <f>Свод!AI3</f>
        <v>0</v>
      </c>
      <c r="H158" s="4"/>
      <c r="I158" s="4"/>
      <c r="J158" s="4"/>
    </row>
    <row r="159" spans="1:10" ht="15.75" thickBot="1">
      <c r="A159" s="180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61"/>
      <c r="H159" s="4"/>
      <c r="I159" s="4"/>
      <c r="J159" s="4"/>
    </row>
    <row r="160" spans="1:10" ht="14.25" customHeight="1" thickBot="1">
      <c r="A160" s="180" t="s">
        <v>290</v>
      </c>
      <c r="B160" s="4" t="s">
        <v>281</v>
      </c>
      <c r="C160" s="9" t="s">
        <v>285</v>
      </c>
      <c r="D160" s="9"/>
      <c r="E160" s="9"/>
      <c r="F160" s="9"/>
      <c r="G160" s="15"/>
      <c r="H160" s="15"/>
      <c r="I160" s="15"/>
      <c r="J160" s="15"/>
    </row>
    <row r="161" spans="1:10" ht="15.75" thickBot="1">
      <c r="A161" s="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258799.37</v>
      </c>
      <c r="H165" s="4"/>
      <c r="I165" s="4"/>
      <c r="J165" s="4"/>
    </row>
    <row r="166" spans="1:10" ht="15.75" thickBot="1">
      <c r="A166" s="6"/>
    </row>
    <row r="167" spans="1:10" ht="15.75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0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2">
        <v>1</v>
      </c>
      <c r="B169" s="2">
        <v>2</v>
      </c>
      <c r="C169" s="2">
        <v>3</v>
      </c>
      <c r="D169" s="2">
        <v>4</v>
      </c>
      <c r="E169" s="142"/>
      <c r="F169" s="180"/>
      <c r="G169" s="2">
        <v>5</v>
      </c>
      <c r="H169" s="2">
        <v>6</v>
      </c>
      <c r="I169" s="2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0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62">
        <f>Свод!AL3+Свод!AN3-Свод!AX3+Свод!BA3</f>
        <v>258799.37</v>
      </c>
      <c r="H171" s="4"/>
      <c r="I171" s="4"/>
      <c r="J171" s="4"/>
    </row>
    <row r="172" spans="1:10" ht="15.75" thickBot="1">
      <c r="A172" s="180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14.25" customHeight="1" thickBot="1">
      <c r="A173" s="180" t="s">
        <v>293</v>
      </c>
      <c r="B173" s="4" t="s">
        <v>281</v>
      </c>
      <c r="C173" s="9" t="s">
        <v>286</v>
      </c>
      <c r="D173" s="9"/>
      <c r="E173" s="9"/>
      <c r="F173" s="9"/>
      <c r="G173" s="15"/>
      <c r="H173" s="15"/>
      <c r="I173" s="15"/>
      <c r="J173" s="15"/>
    </row>
    <row r="174" spans="1:10" ht="15.75" thickBot="1">
      <c r="A174" s="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25743933.280000001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25743933.280000001</v>
      </c>
      <c r="H176" s="4"/>
      <c r="I176" s="4"/>
      <c r="J176" s="4"/>
    </row>
    <row r="177" spans="1:10" ht="39" thickBot="1">
      <c r="A177" s="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B10:F10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B74:B75"/>
    <mergeCell ref="C74:C75"/>
    <mergeCell ref="D74:D75"/>
    <mergeCell ref="F74:I74"/>
    <mergeCell ref="B112:B113"/>
    <mergeCell ref="E167:E168"/>
    <mergeCell ref="B20:F20"/>
    <mergeCell ref="B27:B28"/>
    <mergeCell ref="C27:C28"/>
    <mergeCell ref="D27:D28"/>
    <mergeCell ref="F27:I27"/>
    <mergeCell ref="B37:B38"/>
    <mergeCell ref="C37:C38"/>
    <mergeCell ref="D37:D38"/>
    <mergeCell ref="E37:E38"/>
    <mergeCell ref="F37:I37"/>
    <mergeCell ref="G167:J167"/>
    <mergeCell ref="E135:E136"/>
    <mergeCell ref="C112:C113"/>
    <mergeCell ref="D112:D113"/>
    <mergeCell ref="F112:I112"/>
    <mergeCell ref="G135:J135"/>
  </mergeCells>
  <pageMargins left="0" right="0" top="0.35433070866141736" bottom="0.27559055118110237" header="0" footer="0"/>
  <pageSetup paperSize="9" scale="80" fitToHeight="6" orientation="landscape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B1" workbookViewId="0">
      <selection activeCell="F87" sqref="F87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203</v>
      </c>
      <c r="C20" s="337"/>
      <c r="D20" s="337"/>
      <c r="E20" s="337"/>
      <c r="F20" s="337"/>
      <c r="G20" s="72" t="s">
        <v>189</v>
      </c>
      <c r="H20" s="117">
        <v>9105006648</v>
      </c>
    </row>
    <row r="21" spans="2:9">
      <c r="B21" s="7" t="s">
        <v>223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Свод!BC21</f>
        <v>389354.93000000005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39791758.759999998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28225809.41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Свод!Y21</f>
        <v>27124329.41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Свод!AL21</f>
        <v>1101480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11565949.35</v>
      </c>
      <c r="G47" s="4"/>
      <c r="H47" s="4"/>
      <c r="I47" s="4"/>
      <c r="K47" s="66"/>
    </row>
    <row r="48" spans="2:11" ht="15.75" thickBot="1">
      <c r="B48" s="4" t="s">
        <v>261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Свод!AH21</f>
        <v>11565949.35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40181113.689999998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21388022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Свод!S21+Свод!G21+Свод!AC21+Свод!V21</f>
        <v>16295715.73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Свод!P21+Свод!E21+Свод!AG21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4921306.2699999996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Свод!H21+Свод!T21+Свод!AD21+Свод!W21</f>
        <v>4921306.2699999996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4298.05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Свод!K21</f>
        <v>2720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Свод!L21</f>
        <v>1578.05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18788793.640000001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Свод!AE21+Свод!M21+Свод!AF21+Свод!AZ21-Свод!BB21</f>
        <v>8696762.3499999996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Свод!D21+Свод!Q21+Свод!AA21+Свод!AB21+Свод!AL21+Свод!AN21+Свод!AM21+Свод!BA21+Свод!AY21-Свод!AP21</f>
        <v>9609693.5299999993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Свод!N21+Свод!AP21</f>
        <v>482337.75999999995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Свод!BB21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18788793.640000001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Свод!AV21+Свод!AW21+Свод!AX21+G144</f>
        <v>329558.34000000003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329558.34000000003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Свод!AY21+Свод!AZ21-F129</f>
        <v>329558.34000000003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18459235.300000001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7634640.3599999994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Свод!Q21+Свод!M21+Свод!D21-Свод!AV21+Свод!N21</f>
        <v>7634640.3599999994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9663318.3499999996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Свод!AA21+Свод!AB21+Свод!AE21-Свод!AW21+Свод!AF21</f>
        <v>9663318.3499999996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Свод!AI21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1161276.5900000001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Свод!AL21+Свод!AN21-Свод!AX21+Свод!AM21+Свод!BA21</f>
        <v>1161276.5900000001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18459235.300000001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18459235.300000001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70866141732283472" right="0.70866141732283472" top="0.74803149606299213" bottom="0.74803149606299213" header="0.31496062992125984" footer="0.31496062992125984"/>
  <pageSetup paperSize="9" scale="70" fitToHeight="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  <col min="12" max="12" width="11.570312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202</v>
      </c>
      <c r="C20" s="337"/>
      <c r="D20" s="337"/>
      <c r="E20" s="337"/>
      <c r="F20" s="337"/>
      <c r="G20" s="72" t="s">
        <v>189</v>
      </c>
      <c r="H20" s="117">
        <v>9105006743</v>
      </c>
    </row>
    <row r="21" spans="2:9">
      <c r="B21" s="7" t="s">
        <v>224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Свод!BC22</f>
        <v>542288.57999999996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61312673.769999996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36898763.379999995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Свод!Y22</f>
        <v>36191763.379999995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Свод!AL22</f>
        <v>707000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24413910.389999997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Свод!AH22</f>
        <v>24413910.389999997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61474962.349999994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32889034.600000001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Свод!S22+Свод!G22+Свод!AC22+Свод!V22</f>
        <v>25013824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Свод!P22+Свод!E22+Свод!AG22</f>
        <v>321035.59999999998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7554175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Свод!H22+Свод!T22+Свод!AD22+Свод!W22</f>
        <v>7554175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Свод!F22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7195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Свод!K22</f>
        <v>6195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28578732.749999996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Свод!AE22+Свод!M22+Свод!AF22+Свод!AZ22-Свод!BB22</f>
        <v>19491890.389999997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Свод!D22+Свод!Q22+Свод!AA22+Свод!AB22+Свод!AL22+Свод!AN22+Свод!BA22+Свод!AY22-Свод!AP22</f>
        <v>7715233.6599999992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Свод!N22+Свод!AP22</f>
        <v>1371608.7000000002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380000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Свод!BB22</f>
        <v>380000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28578732.749999993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Свод!AV22+Свод!AW22+Свод!AX22+G144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Свод!AY22+Свод!AZ22-F129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28578732.749999993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6534093.7799999993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Свод!Q22+Свод!M22+Свод!D22-Свод!AV22+Свод!N22</f>
        <v>6534093.7799999993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21175350.389999997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Свод!AA22+Свод!AB22+Свод!AE22-Свод!AW22+Свод!AF22</f>
        <v>21175350.389999997</v>
      </c>
      <c r="H155" s="4"/>
      <c r="I155" s="4"/>
      <c r="J155" s="4"/>
    </row>
    <row r="156" spans="1:10" ht="15.75" thickBot="1">
      <c r="A156" s="222" t="s">
        <v>297</v>
      </c>
      <c r="B156" s="4" t="s">
        <v>298</v>
      </c>
      <c r="C156" s="9" t="s">
        <v>254</v>
      </c>
      <c r="D156" s="9"/>
      <c r="E156" s="9"/>
      <c r="F156" s="9" t="s">
        <v>8</v>
      </c>
      <c r="G156" s="81">
        <f>Свод!GS22</f>
        <v>0</v>
      </c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Свод!AI22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869288.58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Свод!AL22+Свод!AN22-Свод!AX22+Свод!BA22</f>
        <v>869288.58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28578732.749999993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28578732.749999993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31496062992125984" right="0.31496062992125984" top="0.35433070866141736" bottom="0.55118110236220474" header="0" footer="0.11811023622047245"/>
  <pageSetup paperSize="9" scale="73" fitToHeight="6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88"/>
  <sheetViews>
    <sheetView topLeftCell="B1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28515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202</v>
      </c>
      <c r="C20" s="337"/>
      <c r="D20" s="337"/>
      <c r="E20" s="337"/>
      <c r="F20" s="337"/>
      <c r="G20" s="72" t="s">
        <v>189</v>
      </c>
      <c r="H20" s="117">
        <v>9105008540</v>
      </c>
    </row>
    <row r="21" spans="2:9">
      <c r="B21" s="7" t="s">
        <v>234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Свод!BC23</f>
        <v>14656.89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41189168.010000005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29278258.140000001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Свод!Y23</f>
        <v>28888258.140000001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Свод!AL23</f>
        <v>390000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11910909.870000001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Свод!AH23</f>
        <v>11910909.870000001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Свод!AI23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41203824.899999999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22866485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Свод!S23+Свод!G23+Свод!AC23+Свод!V23</f>
        <v>17424336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Свод!P23+Свод!E23+Свод!AG23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5262149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Свод!H23+Свод!T23+Свод!AD23+Свод!W23</f>
        <v>5262149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Свод!F23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46072.3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Свод!J23</f>
        <v>14285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Свод!K23</f>
        <v>29378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Свод!L23</f>
        <v>2409.3000000000002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18291267.599999998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Свод!AE23+Свод!M23+Свод!AF23+Свод!AZ23-Свод!BB23</f>
        <v>7672012.0499999998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Свод!D23+Свод!Q23+Свод!AA23+Свод!AB23+Свод!AL23+Свод!AN23+Свод!BA23+Свод!AY23-Свод!AP23</f>
        <v>10266525.310000001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Свод!N23+Свод!AP23</f>
        <v>352730.24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Свод!BB23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18291267.600000001</v>
      </c>
      <c r="H138" s="4"/>
      <c r="I138" s="4"/>
      <c r="J138" s="4"/>
      <c r="L138" s="38">
        <f>F30+F32-F61-F129</f>
        <v>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Свод!AV23+Свод!AW23+Свод!AX23+G144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Свод!AY23+Свод!AZ23-F129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18291267.600000001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7718100.8399999999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Свод!Q23+Свод!M23+Свод!D23-Свод!AV23+Свод!N23</f>
        <v>7718100.8399999999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10168509.870000001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Свод!AA23+Свод!AB23+Свод!AE23-Свод!AW23+Свод!AF23</f>
        <v>10168509.870000001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Свод!AI23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404656.89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Свод!AL23+Свод!AN23-Свод!AX23+Свод!BA23</f>
        <v>404656.89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18291267.600000001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18291267.600000001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9370078740157483" bottom="0.19685039370078741" header="0" footer="0"/>
  <pageSetup paperSize="9" scale="82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0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203</v>
      </c>
      <c r="C20" s="337"/>
      <c r="D20" s="337"/>
      <c r="E20" s="337"/>
      <c r="F20" s="337"/>
      <c r="G20" s="72" t="s">
        <v>189</v>
      </c>
      <c r="H20" s="117">
        <v>9105006750</v>
      </c>
    </row>
    <row r="21" spans="2:9">
      <c r="B21" s="7" t="s">
        <v>269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Свод!BC24</f>
        <v>598577.92999999993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47862980.829999998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26262162.550000001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Свод!Y24</f>
        <v>25163732.550000001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Свод!AL24</f>
        <v>1098430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21600818.280000001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Свод!AH24</f>
        <v>21600818.280000001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Свод!AI24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48461558.759999998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21398939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Свод!S24+Свод!G24+Свод!AC24+Свод!V24</f>
        <v>16317925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Свод!P24+Свод!E24+Свод!AG24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4928014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Свод!H24+Свод!T24+Свод!AD24+Свод!W24</f>
        <v>4928014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7007.48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Свод!K24</f>
        <v>5262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Свод!L24</f>
        <v>1745.48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27055612.279999997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Свод!AE24+Свод!M24+Свод!AF24+Свод!AZ24-Свод!BB24</f>
        <v>19136666.600000001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Свод!D24+Свод!Q24+Свод!AA24+Свод!AB24+Свод!AL24+Свод!AN24+Свод!BA24+Свод!AY24-Свод!AP24</f>
        <v>7415658.1199999992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Свод!N24+Свод!AP24</f>
        <v>503287.56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4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Свод!BB24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27055612.280000001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Свод!AV24+Свод!AW24+Свод!AX24+G144</f>
        <v>478658.16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478658.16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Свод!AY24+Свод!AZ24-F129</f>
        <v>478658.16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26576954.120000001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5316946.0699999994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Свод!Q24+Свод!M24+Свод!D24-Свод!AV24+Свод!N24</f>
        <v>5316946.0699999994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20041658.280000001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Свод!AA24+Свод!AB24+Свод!AE24-Свод!AW24+Свод!AF24</f>
        <v>20041658.280000001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Свод!AI24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1218349.77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Свод!AL24+Свод!AN24-Свод!AX24+Свод!BA24</f>
        <v>1218349.77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26576954.120000001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26576954.120000001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19685039370078741" bottom="0.15748031496062992" header="0" footer="0"/>
  <pageSetup paperSize="9" scale="76" fitToHeight="6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88"/>
  <sheetViews>
    <sheetView topLeftCell="A97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5703125" customWidth="1"/>
    <col min="6" max="6" width="12.7109375" customWidth="1"/>
    <col min="7" max="7" width="13.8554687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203</v>
      </c>
      <c r="C20" s="337"/>
      <c r="D20" s="337"/>
      <c r="E20" s="337"/>
      <c r="F20" s="337"/>
      <c r="G20" s="72" t="s">
        <v>189</v>
      </c>
      <c r="H20" s="117">
        <v>9105007144</v>
      </c>
    </row>
    <row r="21" spans="2:9">
      <c r="B21" s="7" t="s">
        <v>225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4">
        <f>Свод!BC25</f>
        <v>217732.43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1">
        <f>F34+F40+F45+F47+F54</f>
        <v>62686014.549999997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48399440.549999997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Свод!Y25</f>
        <v>45546630.549999997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Свод!AL25</f>
        <v>2852810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F49+F50</f>
        <v>14286574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Свод!AH25</f>
        <v>14286574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62903746.980000004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39314735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Свод!S25+Свод!G25+Свод!AC25+Свод!V25</f>
        <v>29974450.73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Свод!P25+Свод!E25+Свод!AG25</f>
        <v>288000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9052284.2699999996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Свод!H25+Свод!T25+Свод!AD25+Свод!W25</f>
        <v>9052284.2699999996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14898.31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Свод!J25</f>
        <v>802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Свод!K25</f>
        <v>11960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Свод!L25</f>
        <v>2136.31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F110+F115+F117</f>
        <v>23574113.670000002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Свод!AE25+Свод!M25+Свод!AF25+Свод!AZ25-Свод!BB25</f>
        <v>9738590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Свод!D25+Свод!Q25+Свод!AA25+Свод!AB25+Свод!AL25+Свод!AN25+Свод!BA25+Свод!AY25-Свод!AP25</f>
        <v>12383720.1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Свод!N25+Свод!AP25</f>
        <v>1451803.5699999998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Свод!AI25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4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Свод!BB25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23574113.670000002</v>
      </c>
      <c r="H138" s="4"/>
      <c r="I138" s="4"/>
      <c r="J138" s="4"/>
      <c r="L138" s="38">
        <f>F30+F32-F61-F129</f>
        <v>-7.4505805969238281E-9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Свод!AV25+Свод!AW25+Свод!AX25+G143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Свод!AY25+Свод!AZ25-F129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23574113.670000002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9174068.2400000002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Свод!Q25+Свод!M25+Свод!D25-Свод!AV25+Свод!N25</f>
        <v>9174068.2400000002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11329503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Свод!AA25+Свод!AB25+Свод!AE25-Свод!AW25+Свод!AF25</f>
        <v>11329503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3">
        <f>Свод!GS25</f>
        <v>0</v>
      </c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Свод!AI25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3070542.43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Свод!AL25+Свод!AN25-Свод!AX25+Свод!BA25</f>
        <v>3070542.43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3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3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23574113.670000002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23574113.670000002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318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F37:I37"/>
    <mergeCell ref="F74:I74"/>
    <mergeCell ref="B112:B113"/>
    <mergeCell ref="C112:C113"/>
    <mergeCell ref="D112:D113"/>
    <mergeCell ref="B37:B38"/>
    <mergeCell ref="C37:C38"/>
    <mergeCell ref="D37:D38"/>
    <mergeCell ref="E37:E38"/>
    <mergeCell ref="B74:B75"/>
    <mergeCell ref="C74:C75"/>
    <mergeCell ref="D74:D75"/>
    <mergeCell ref="F112:I112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E135:E136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11811023622047245" right="0.11811023622047245" top="0.39370078740157483" bottom="0.39370078740157483" header="0" footer="0"/>
  <pageSetup paperSize="9" scale="80" fitToHeight="6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202</v>
      </c>
      <c r="C20" s="337"/>
      <c r="D20" s="337"/>
      <c r="E20" s="337"/>
      <c r="F20" s="337"/>
      <c r="G20" s="72" t="s">
        <v>189</v>
      </c>
      <c r="H20" s="117">
        <v>9105008300</v>
      </c>
    </row>
    <row r="21" spans="2:9">
      <c r="B21" s="7" t="s">
        <v>226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Свод!BC26</f>
        <v>1104400.45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28673564.170000002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25844918.170000002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Свод!Y26</f>
        <v>25722918.170000002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Свод!AL26</f>
        <v>122000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F49+F50</f>
        <v>2828646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Свод!AH26</f>
        <v>2828646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29777964.620000001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21056352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Свод!S26+Свод!G26+Свод!AC26+Свод!V26</f>
        <v>16020240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Свод!P26+Свод!E26+Свод!AG26</f>
        <v>198000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4838112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Свод!H26+Свод!T26+Свод!AD26+Свод!W26</f>
        <v>4838112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8356.2900000000009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Свод!K26</f>
        <v>5320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Свод!L26</f>
        <v>3036.29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8713256.3300000019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Свод!AE26+Свод!M26+Свод!AF26+Свод!AZ26-Свод!BB26</f>
        <v>599000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Свод!D26+Свод!Q26+Свод!AA26+Свод!AB26+Свод!AL26+Свод!AN26+Свод!BA26+Свод!AY26-Свод!AP26</f>
        <v>7835462.6200000001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Свод!N26+Свод!AP26</f>
        <v>278793.70999999996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Свод!BB26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8713256.3300000001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Свод!AV26+Свод!AW26+Свод!AX26+G144</f>
        <v>1053129.78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1053129.78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Свод!AY26+Свод!AZ26-F129</f>
        <v>1053129.78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7660126.5499999998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6262369.8799999999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Свод!Q26+Свод!M26+Свод!D26-Свод!AV26+Свод!N26</f>
        <v>6262369.8799999999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1224486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Свод!AA26+Свод!AB26+Свод!AE26-Свод!AW26+Свод!AF26</f>
        <v>1224486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Свод!AI26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173270.66999999998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Свод!AL26+Свод!AN26-Свод!AX26+Свод!BA26</f>
        <v>173270.66999999998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7660126.5499999998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7660126.5499999998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A167:A168"/>
    <mergeCell ref="B167:B168"/>
    <mergeCell ref="C167:C168"/>
    <mergeCell ref="D167:D168"/>
    <mergeCell ref="E135:E136"/>
    <mergeCell ref="A135:A136"/>
    <mergeCell ref="B135:B136"/>
    <mergeCell ref="C135:C136"/>
    <mergeCell ref="D135:D136"/>
    <mergeCell ref="E167:E168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F37:I37"/>
  </mergeCells>
  <pageMargins left="0.70866141732283472" right="0.70866141732283472" top="0.35433070866141736" bottom="0.35433070866141736" header="0.31496062992125984" footer="0.31496062992125984"/>
  <pageSetup paperSize="9" scale="69" fitToHeight="6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202</v>
      </c>
      <c r="C20" s="337"/>
      <c r="D20" s="337"/>
      <c r="E20" s="337"/>
      <c r="F20" s="337"/>
      <c r="G20" s="72" t="s">
        <v>189</v>
      </c>
      <c r="H20" s="117">
        <v>9105008525</v>
      </c>
    </row>
    <row r="21" spans="2:9">
      <c r="B21" s="7" t="s">
        <v>235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Свод!BC27</f>
        <v>278480.03999999998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18506653.600000001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15974388.6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Свод!Y27</f>
        <v>15974388.6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Свод!AL27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F49+F50</f>
        <v>2532265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Свод!AH27</f>
        <v>2532265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18785133.640000001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16100605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Свод!S27+Свод!G27+Свод!AC27+Свод!V27</f>
        <v>12283106.73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Свод!P27+Свод!E27+Свод!AG27</f>
        <v>108000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3709498.27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Свод!H27+Свод!T27+Свод!AD27+Свод!W27</f>
        <v>3709498.27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1350.6100000000001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Свод!L27</f>
        <v>1350.6100000000001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2683178.0300000003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Свод!AE27+Свод!M27+Свод!AF27+Свод!AZ27-Свод!BB27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Свод!D27+Свод!Q27+Свод!AA27+Свод!AB27+Свод!AL27+Свод!AN27+Свод!BA27+Свод!AY27-Свод!AP27</f>
        <v>2459907.6100000003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Свод!N27+Свод!AP27</f>
        <v>223270.42000000004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Свод!BB27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2683178.0300000003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Свод!AV27+Свод!AW27+Свод!AX27+G144</f>
        <v>265501.61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265501.61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Свод!AY27+Свод!AZ27-F129</f>
        <v>265501.61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2417676.4200000004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1712063.9900000002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Свод!Q27+Свод!M27+Свод!D27-Свод!AV27+Свод!N27</f>
        <v>1712063.9900000002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692634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Свод!AA27+Свод!AB27+Свод!AE27-Свод!AW27+Свод!AF27</f>
        <v>692634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Свод!AI27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12978.43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Свод!AL27+Свод!AN27-Свод!AX27+Свод!BA27</f>
        <v>12978.43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2417676.4200000004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2417676.4200000004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0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4.140625" customWidth="1"/>
    <col min="8" max="8" width="13.5703125" customWidth="1"/>
    <col min="9" max="9" width="13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202</v>
      </c>
      <c r="C20" s="337"/>
      <c r="D20" s="337"/>
      <c r="E20" s="337"/>
      <c r="F20" s="337"/>
      <c r="G20" s="72" t="s">
        <v>189</v>
      </c>
      <c r="H20" s="117">
        <v>9105009060</v>
      </c>
    </row>
    <row r="21" spans="2:9">
      <c r="B21" s="7" t="s">
        <v>228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Свод!BC28</f>
        <v>11001622.949999999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49202680.219999999</v>
      </c>
      <c r="G32" s="62">
        <f>G34+G40+G45+G47+G54</f>
        <v>0</v>
      </c>
      <c r="H32" s="62">
        <f>H34+H40+H45+H47+H54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33123965.109999999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Свод!Y28</f>
        <v>32946965.109999999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Свод!AL28</f>
        <v>177000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16078715.110000001</v>
      </c>
      <c r="G47" s="61">
        <f>G48+G49</f>
        <v>0</v>
      </c>
      <c r="H47" s="61">
        <f>H48+H49</f>
        <v>0</v>
      </c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Свод!AH28</f>
        <v>16078715.110000001</v>
      </c>
      <c r="G49" s="62">
        <f>Свод!HC28+Свод!HD28</f>
        <v>0</v>
      </c>
      <c r="H49" s="62">
        <f>Свод!HE28</f>
        <v>0</v>
      </c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60204303.170000002</v>
      </c>
      <c r="G61" s="62">
        <f>G63+G83+G92+G107+G105</f>
        <v>0</v>
      </c>
      <c r="H61" s="62">
        <f>H63+H83+H92+H107+H105</f>
        <v>0</v>
      </c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28652541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Свод!S28+Свод!G28+Свод!AC28+Свод!V28</f>
        <v>21799187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Свод!P28+Свод!E28+Свод!AG28</f>
        <v>270000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6583354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Свод!T28+Свод!AD28+Свод!W28</f>
        <v>6583354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181652.72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Свод!J28</f>
        <v>165931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Свод!K28</f>
        <v>13840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Свод!L28</f>
        <v>1881.72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>
        <v>297</v>
      </c>
      <c r="F106" s="62">
        <f>Свод!I28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31370109.449999999</v>
      </c>
      <c r="G107" s="62">
        <f>G110+G115+G118+G117</f>
        <v>0</v>
      </c>
      <c r="H107" s="62">
        <f>H110+H115+H118+H117</f>
        <v>0</v>
      </c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Свод!AE28+Свод!M28+Свод!AF28+Свод!AZ28-Свод!BB28</f>
        <v>16041013.16</v>
      </c>
      <c r="G110" s="62">
        <f>Свод!HC28</f>
        <v>0</v>
      </c>
      <c r="H110" s="62">
        <f>Свод!HE28</f>
        <v>0</v>
      </c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Свод!D28+Свод!Q28+Свод!AA28+Свод!AB28+Свод!AL28+Свод!AN28+Свод!BA28+Свод!AY28-Свод!AP28</f>
        <v>14897799.770000001</v>
      </c>
      <c r="G115" s="62">
        <f>Свод!HD28</f>
        <v>0</v>
      </c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Свод!N28+Свод!AP28</f>
        <v>431296.51999999996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Свод!BB28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19" t="s">
        <v>325</v>
      </c>
      <c r="H136" s="219" t="s">
        <v>324</v>
      </c>
      <c r="I136" s="219" t="s">
        <v>323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31370109.449999999</v>
      </c>
      <c r="H138" s="62">
        <f>H147+H142</f>
        <v>0</v>
      </c>
      <c r="I138" s="62">
        <f>I147+I142</f>
        <v>0</v>
      </c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Свод!AV28+Свод!AW28+Свод!AX28+G144</f>
        <v>10579605.039999999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10579605.039999999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Свод!AY28+Свод!AZ28-F129</f>
        <v>10579605.039999999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20790504.41</v>
      </c>
      <c r="H147" s="65">
        <f>H149+H153+H158+H165</f>
        <v>0</v>
      </c>
      <c r="I147" s="65">
        <f>I149+I153+I158+I165</f>
        <v>0</v>
      </c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6726371.3899999997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Свод!Q28+Свод!M28+Свод!D28-Свод!AV28+Свод!N28</f>
        <v>6726371.3899999997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13465115.110000001</v>
      </c>
      <c r="H153" s="62">
        <f>H155</f>
        <v>0</v>
      </c>
      <c r="I153" s="62">
        <f>I155</f>
        <v>0</v>
      </c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Свод!AA28+Свод!AB28+Свод!AE28-Свод!AW28+Свод!AF28</f>
        <v>13465115.110000001</v>
      </c>
      <c r="H155" s="62">
        <f>Свод!HC28+Свод!HD28</f>
        <v>0</v>
      </c>
      <c r="I155" s="62">
        <f>Свод!HE28</f>
        <v>0</v>
      </c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Свод!AI28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599017.90999999992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Свод!AL28+Свод!AN28-Свод!AX28+Свод!BA28</f>
        <v>599017.90999999992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20790504.41</v>
      </c>
      <c r="H175" s="62">
        <f>H147</f>
        <v>0</v>
      </c>
      <c r="I175" s="62">
        <f>I147</f>
        <v>0</v>
      </c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20790504.41</v>
      </c>
      <c r="H176" s="62">
        <f>Свод!HC28+Свод!HD28</f>
        <v>0</v>
      </c>
      <c r="I176" s="4">
        <f>Свод!HE28</f>
        <v>0</v>
      </c>
      <c r="J176" s="4"/>
    </row>
    <row r="177" spans="1:10" ht="15.75" hidden="1" thickBot="1">
      <c r="A177" s="16"/>
      <c r="B177" s="4"/>
      <c r="C177" s="9" t="s">
        <v>314</v>
      </c>
      <c r="D177" s="11">
        <v>2024</v>
      </c>
      <c r="E177" s="140"/>
      <c r="F177" s="9"/>
      <c r="G177" s="62"/>
      <c r="H177" s="62"/>
      <c r="I177" s="4"/>
      <c r="J177" s="4"/>
    </row>
    <row r="178" spans="1:10" ht="15.75" hidden="1" thickBot="1">
      <c r="A178" s="16"/>
      <c r="B178" s="4"/>
      <c r="C178" s="9" t="s">
        <v>315</v>
      </c>
      <c r="D178" s="11">
        <v>2025</v>
      </c>
      <c r="E178" s="140"/>
      <c r="F178" s="9"/>
      <c r="G178" s="62"/>
      <c r="H178" s="4"/>
      <c r="I178" s="4"/>
      <c r="J178" s="4"/>
    </row>
    <row r="179" spans="1:10" ht="39" thickBot="1">
      <c r="A179" s="181" t="s">
        <v>105</v>
      </c>
      <c r="B179" s="4" t="s">
        <v>106</v>
      </c>
      <c r="C179" s="9">
        <v>26600</v>
      </c>
      <c r="D179" s="9" t="s">
        <v>8</v>
      </c>
      <c r="E179" s="9"/>
      <c r="F179" s="9" t="s">
        <v>8</v>
      </c>
      <c r="G179" s="4"/>
      <c r="H179" s="4"/>
      <c r="I179" s="4"/>
      <c r="J179" s="4"/>
    </row>
    <row r="180" spans="1:10" ht="15.75" thickBot="1">
      <c r="A180" s="4"/>
      <c r="B180" s="4" t="s">
        <v>104</v>
      </c>
      <c r="C180" s="9">
        <v>26610</v>
      </c>
      <c r="D180" s="11"/>
      <c r="E180" s="11"/>
      <c r="F180" s="9" t="s">
        <v>8</v>
      </c>
      <c r="G180" s="4"/>
      <c r="H180" s="4"/>
      <c r="I180" s="4"/>
      <c r="J180" s="4"/>
    </row>
    <row r="181" spans="1:10">
      <c r="A181" s="6"/>
    </row>
    <row r="182" spans="1:10">
      <c r="A182" s="7" t="s">
        <v>107</v>
      </c>
    </row>
    <row r="183" spans="1:10">
      <c r="A183" s="7" t="s">
        <v>180</v>
      </c>
    </row>
    <row r="184" spans="1:10">
      <c r="A184" s="7" t="s">
        <v>108</v>
      </c>
    </row>
    <row r="185" spans="1:10">
      <c r="A185" s="7"/>
    </row>
    <row r="186" spans="1:10">
      <c r="A186" s="7" t="s">
        <v>182</v>
      </c>
      <c r="B186" s="70"/>
    </row>
    <row r="187" spans="1:10">
      <c r="A187" s="7" t="s">
        <v>181</v>
      </c>
    </row>
    <row r="188" spans="1:10">
      <c r="A188" s="7" t="str">
        <f>D8</f>
        <v>"16"октября 2025 г.</v>
      </c>
    </row>
    <row r="189" spans="1:10">
      <c r="A189" s="6"/>
    </row>
    <row r="190" spans="1:10">
      <c r="A190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31496062992125984" right="0.31496062992125984" top="0.35433070866141736" bottom="0.35433070866141736" header="0.31496062992125984" footer="0.31496062992125984"/>
  <pageSetup paperSize="9" scale="72" fitToHeight="6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202</v>
      </c>
      <c r="C20" s="337"/>
      <c r="D20" s="337"/>
      <c r="E20" s="337"/>
      <c r="F20" s="337"/>
      <c r="G20" s="72" t="s">
        <v>189</v>
      </c>
      <c r="H20" s="117">
        <v>9105008500</v>
      </c>
    </row>
    <row r="21" spans="2:9">
      <c r="B21" s="7" t="s">
        <v>229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4">
        <f>Свод!BC29</f>
        <v>472762.26999999996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32489657.73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28738266.73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Свод!Y29</f>
        <v>28128266.73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Свод!AL29</f>
        <v>610000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3751391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Свод!AH29</f>
        <v>3751391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32962420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22519315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Свод!S29+Свод!G29+Свод!AC29+Свод!V29</f>
        <v>17164604.73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Свод!P29+Свод!E29+Свод!AG29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5183710.2699999996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Свод!H29+Свод!T29+Свод!AD29+Свод!W29</f>
        <v>5183710.2699999996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15624.48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Свод!K29</f>
        <v>14088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Свод!L29</f>
        <v>1536.48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10427480.520000001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2">
        <f>Свод!AE29+Свод!M29+Свод!AF29+Свод!AZ29-Свод!BB29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Свод!D29+Свод!Q29+Свод!AA29+Свод!AB29+Свод!AL29+Свод!AN29+Свод!BA29+Свод!AY29-Свод!AP29</f>
        <v>9971810.040000001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Свод!N29+Свод!AP29</f>
        <v>455670.47999999992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Свод!BB29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10427480.520000001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Свод!AV29+Свод!AW29+Свод!AX29+G144</f>
        <v>360047.72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360047.72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Свод!AY29+Свод!AZ29-F129</f>
        <v>360047.72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10067432.800000001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7964678.25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Свод!Q29+Свод!M29+Свод!D29-Свод!AV29+Свод!N29</f>
        <v>7964678.25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1380040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Свод!AA29+Свод!AB29+Свод!AE29-Свод!AW29+Свод!AF29</f>
        <v>1380040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Свод!AI29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722714.55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Свод!AL29+Свод!AN29-Свод!AX29+Свод!BA29</f>
        <v>722714.55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10067432.800000001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10067432.800000001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3.937007874015748E-2" top="0.35433070866141736" bottom="0.39370078740157483" header="0" footer="0"/>
  <pageSetup paperSize="9" scale="29" fitToHeight="2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203</v>
      </c>
      <c r="C20" s="337"/>
      <c r="D20" s="337"/>
      <c r="E20" s="337"/>
      <c r="F20" s="337"/>
      <c r="G20" s="72" t="s">
        <v>189</v>
      </c>
      <c r="H20" s="117">
        <v>9105008395</v>
      </c>
    </row>
    <row r="21" spans="2:9">
      <c r="B21" s="7" t="s">
        <v>227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Свод!BC30</f>
        <v>224904.09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37151558.899999999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33712859.899999999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Свод!Y30</f>
        <v>31961679.899999999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Свод!AL30</f>
        <v>1751180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Свод!AN30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3438699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Свод!AH30</f>
        <v>3438699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37376462.990000002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29180435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Свод!S30+Свод!G30+Свод!AC30+Свод!V30</f>
        <v>22225372.73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Свод!P30+Свод!E30+Свод!AG30</f>
        <v>243000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6712062.2699999996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Свод!H30+Свод!T30+Свод!AD30+Свод!W30</f>
        <v>6712062.2699999996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Свод!F30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6185.73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Свод!J30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Свод!K30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Свод!L30</f>
        <v>1449.73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8189842.2600000007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Свод!AE30+Свод!M30+Свод!AF30+Свод!AZ30-Свод!BB30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Свод!D30+Свод!Q30+Свод!AA30+Свод!AB30+Свод!AL30+Свод!AN30+Свод!BA30+Свод!AY30-Свод!AP30</f>
        <v>7826926.8600000003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1">
        <f>Свод!N30+Свод!AP30</f>
        <v>362915.40000000008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4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4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Свод!AI30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4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Свод!BB30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8189842.2600000007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Свод!AV30+Свод!AW30+Свод!AX30+G144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Свод!AY30+Свод!AZ30-F129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8189842.2600000007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5062170.1700000009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Свод!Q30+Свод!M30+Свод!D30-Свод!AV30+Свод!N30</f>
        <v>5062170.1700000009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1151588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Свод!AA30+Свод!AB30+Свод!AE30-Свод!AW30+Свод!AF30</f>
        <v>1151588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Свод!AI30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1976084.09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Свод!AL30+Свод!AN30-Свод!AX30+Свод!BA30</f>
        <v>1976084.09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8189842.2600000007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8189842.2600000007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5433070866141736" bottom="0.35433070866141736" header="0" footer="0"/>
  <pageSetup paperSize="9" scale="77" fitToHeight="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zoomScale="96" zoomScaleNormal="96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28515625" customWidth="1"/>
    <col min="7" max="7" width="15" customWidth="1"/>
    <col min="8" max="8" width="12" customWidth="1"/>
    <col min="9" max="9" width="10.7109375" customWidth="1"/>
    <col min="11" max="11" width="12.5703125" customWidth="1"/>
    <col min="12" max="12" width="12.4257812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202</v>
      </c>
      <c r="C20" s="337"/>
      <c r="D20" s="337"/>
      <c r="E20" s="337"/>
      <c r="F20" s="337"/>
      <c r="G20" s="72" t="s">
        <v>189</v>
      </c>
      <c r="H20" s="94">
        <v>9105008620</v>
      </c>
    </row>
    <row r="21" spans="2:9">
      <c r="B21" s="7" t="s">
        <v>205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90" customHeight="1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Свод!BC4</f>
        <v>759231.62999999989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58172410.82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27503465.600000001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Свод!Y4</f>
        <v>27377465.600000001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Свод!AL4</f>
        <v>126000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30668945.219999999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Свод!AH4</f>
        <v>30668945.219999999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58801642.450000003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24716587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62">
        <f>Свод!S4+Свод!G4+Свод!AC4+Свод!V4</f>
        <v>18838392.73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62">
        <f>Свод!P4+Свод!E4+Свод!AG4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5689194.2699999996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62">
        <f>Свод!H4+Свод!T4+Свод!AD4+Свод!W4</f>
        <v>5689194.2699999996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4" customHeight="1" thickBot="1">
      <c r="B78" s="4" t="s">
        <v>262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1714.51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Свод!K4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Свод!L4</f>
        <v>1714.51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6"/>
      <c r="F99" s="62"/>
      <c r="G99" s="4"/>
      <c r="H99" s="4"/>
      <c r="I99" s="9" t="s">
        <v>8</v>
      </c>
    </row>
    <row r="100" spans="2:9" ht="15.75" thickBot="1">
      <c r="B100" s="4" t="s">
        <v>264</v>
      </c>
      <c r="C100" s="9">
        <v>2420</v>
      </c>
      <c r="D100" s="9">
        <v>623</v>
      </c>
      <c r="E100" s="126"/>
      <c r="F100" s="62"/>
      <c r="G100" s="4"/>
      <c r="H100" s="4"/>
      <c r="I100" s="9"/>
    </row>
    <row r="101" spans="2:9" ht="26.25" thickBot="1">
      <c r="B101" s="4" t="s">
        <v>265</v>
      </c>
      <c r="C101" s="9">
        <v>2430</v>
      </c>
      <c r="D101" s="9">
        <v>634</v>
      </c>
      <c r="E101" s="126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34083340.940000005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Свод!AE4+Свод!M4+Свод!AF4+Свод!AZ4-Свод!BB4</f>
        <v>27089561.219999999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Свод!D4+Свод!Q4+Свод!AA4+Свод!AB4+Свод!AL4+Свод!AN4+Свод!BA4+Свод!AY4-Свод!AP4</f>
        <v>6668168.7700000005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Свод!N4+Свод!AP4</f>
        <v>325610.95000000007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129999.99999999999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Свод!BB4</f>
        <v>129999.99999999999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0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0">
        <v>1</v>
      </c>
      <c r="B137" s="180">
        <v>2</v>
      </c>
      <c r="C137" s="180">
        <v>3</v>
      </c>
      <c r="D137" s="180">
        <v>4</v>
      </c>
      <c r="E137" s="16" t="s">
        <v>248</v>
      </c>
      <c r="F137" s="16" t="s">
        <v>284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0">
        <v>1</v>
      </c>
      <c r="B138" s="4" t="s">
        <v>74</v>
      </c>
      <c r="C138" s="180">
        <v>26000</v>
      </c>
      <c r="D138" s="180" t="s">
        <v>8</v>
      </c>
      <c r="E138" s="140" t="s">
        <v>255</v>
      </c>
      <c r="F138" s="140" t="s">
        <v>8</v>
      </c>
      <c r="G138" s="62">
        <f>G147+G142</f>
        <v>34083340.939999998</v>
      </c>
      <c r="H138" s="4"/>
      <c r="I138" s="4"/>
      <c r="J138" s="4"/>
      <c r="K138" s="38"/>
      <c r="L138" s="38">
        <f>F30+F32-F61-F127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K139" s="34"/>
      <c r="L139" s="34">
        <f>F107-G138</f>
        <v>0</v>
      </c>
    </row>
    <row r="140" spans="1:12" ht="129.75" customHeight="1" thickBot="1">
      <c r="A140" s="180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0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0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Свод!AV4+Свод!AW4+Свод!AX4+G144</f>
        <v>611904.90999999992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611904.90999999992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Свод!AY4+Свод!AZ4-F129</f>
        <v>611904.90999999992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0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33471436.029999997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4892275.0900000008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0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Свод!Q4+Свод!M4+Свод!D4-Свод!AV4+Свод!N4</f>
        <v>4892275.0900000008</v>
      </c>
      <c r="H151" s="4"/>
      <c r="I151" s="4"/>
      <c r="J151" s="4"/>
    </row>
    <row r="152" spans="1:10" ht="15.75" thickBot="1">
      <c r="A152" s="180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0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28435834.219999999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0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Свод!AA4+Свод!AB4+Свод!AE4-Свод!AW4+Свод!AF4</f>
        <v>28435834.219999999</v>
      </c>
      <c r="H155" s="4"/>
      <c r="I155" s="4"/>
      <c r="J155" s="4"/>
    </row>
    <row r="156" spans="1:10" ht="15.75" thickBot="1">
      <c r="A156" s="180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0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0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Свод!AI4</f>
        <v>0</v>
      </c>
      <c r="H158" s="4"/>
      <c r="I158" s="4"/>
      <c r="J158" s="4"/>
    </row>
    <row r="159" spans="1:10" ht="15.75" thickBot="1">
      <c r="A159" s="180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0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0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0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0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0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143326.72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0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0">
        <v>1</v>
      </c>
      <c r="B169" s="180">
        <v>2</v>
      </c>
      <c r="C169" s="180">
        <v>3</v>
      </c>
      <c r="D169" s="180">
        <v>4</v>
      </c>
      <c r="E169" s="180"/>
      <c r="F169" s="180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0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62">
        <f>Свод!AL4+Свод!AN4-Свод!AX4+Свод!BA4</f>
        <v>143326.72</v>
      </c>
      <c r="H171" s="4"/>
      <c r="I171" s="4"/>
      <c r="J171" s="4"/>
    </row>
    <row r="172" spans="1:10" ht="15.75" thickBot="1">
      <c r="A172" s="180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80" t="s">
        <v>293</v>
      </c>
      <c r="B173" s="4" t="s">
        <v>281</v>
      </c>
      <c r="C173" s="9" t="s">
        <v>286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80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0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33471436.029999997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33471436.029999997</v>
      </c>
      <c r="H176" s="4"/>
      <c r="I176" s="4"/>
      <c r="J176" s="4"/>
    </row>
    <row r="177" spans="1:10" ht="39" thickBot="1">
      <c r="A177" s="180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" right="0" top="0.35433070866141736" bottom="0.35433070866141736" header="0" footer="0"/>
  <pageSetup paperSize="9" scale="43" fitToHeight="3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202</v>
      </c>
      <c r="C20" s="337"/>
      <c r="D20" s="337"/>
      <c r="E20" s="337"/>
      <c r="F20" s="337"/>
      <c r="G20" s="72" t="s">
        <v>189</v>
      </c>
      <c r="H20" s="117">
        <v>9105008331</v>
      </c>
    </row>
    <row r="21" spans="2:9">
      <c r="B21" s="7" t="s">
        <v>230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Свод!BC31</f>
        <v>18330.66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25541198.560000002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20119099.07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Свод!Y31</f>
        <v>19995099.07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Свод!AL31</f>
        <v>124000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Свод!AN31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5422099.4900000002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Свод!AH31</f>
        <v>5422099.4900000002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25559529.219999999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18710528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Свод!S31+Свод!G31+Свод!AC31+Свод!V31</f>
        <v>14260005.73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Свод!P31+Свод!E31+Свод!AG31</f>
        <v>144000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4306522.2699999996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Свод!H31+Свод!T31+Свод!AD31+Свод!W31</f>
        <v>4306522.2699999996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Свод!F31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14039.66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Свод!J31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Свод!K31</f>
        <v>12285.76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Свод!L31</f>
        <v>1753.9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6834961.5600000005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Свод!AE31+Свод!M31+Свод!AF31+Свод!AZ31-Свод!BB31</f>
        <v>2635051.12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Свод!D31+Свод!Q31+Свод!AA31+Свод!AB31+Свод!AL31+Свод!AN31+Свод!BA31+Свод!AY31-Свод!AP31</f>
        <v>4009446.04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Свод!N31+Свод!AP31</f>
        <v>190464.39999999997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Свод!AI31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Свод!BB31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6834961.5600000005</v>
      </c>
      <c r="H138" s="4"/>
      <c r="I138" s="4"/>
      <c r="J138" s="4"/>
      <c r="L138" s="38">
        <f>F30+F32-F61-F129</f>
        <v>3.7252902984619141E-9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Свод!AV31+Свод!AW31+Свод!AX31+G144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Свод!AY31+Свод!AZ31-F129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6834961.5600000005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3302402.4099999997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Свод!Q31+Свод!M31+Свод!D31-Свод!AV31+Свод!N31</f>
        <v>3302402.4099999997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3390228.49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Свод!AA31+Свод!AB31+Свод!AE31-Свод!AW31+Свод!AF31</f>
        <v>3390228.49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Свод!AI31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142330.66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Свод!AL31+Свод!AN31-Свод!AX31+Свод!BA31</f>
        <v>142330.66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6834961.5600000005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6834961.5600000005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1496062992125984" bottom="0.27559055118110237" header="0" footer="0"/>
  <pageSetup paperSize="9" scale="77" fitToHeight="1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203</v>
      </c>
      <c r="C20" s="337"/>
      <c r="D20" s="337"/>
      <c r="E20" s="337"/>
      <c r="F20" s="337"/>
      <c r="G20" s="72" t="s">
        <v>189</v>
      </c>
      <c r="H20" s="117">
        <v>9105008807</v>
      </c>
    </row>
    <row r="21" spans="2:9">
      <c r="B21" s="7" t="s">
        <v>231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Свод!BC32</f>
        <v>733404.52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25188452.579999998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22487168.579999998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Свод!Y32</f>
        <v>21520468.579999998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Свод!AL32</f>
        <v>966700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2701284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Свод!AH32</f>
        <v>2701284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25921857.100000001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20143862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Свод!S32+Свод!G32+Свод!AC32+Свод!V32</f>
        <v>15353964.73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Свод!P32+Свод!E32+Свод!AG32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5">
        <f>F70</f>
        <v>4636897.2699999996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Свод!H32+Свод!T32+Свод!AD32+Свод!W32</f>
        <v>4636897.2699999996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Свод!F32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1852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Свод!J32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Свод!K32</f>
        <v>852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5776143.0999999996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Свод!AE32+Свод!M32+Свод!AF32+Свод!AZ32-Свод!BB32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Свод!D32+Свод!Q32+Свод!AA32+Свод!AB32+Свод!AL32+Свод!AN32+Свод!BA32+Свод!AY32-Свод!AP32</f>
        <v>4355587.8999999994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Свод!N32+Свод!AP32</f>
        <v>1420555.1999999997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Свод!AI32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Свод!BB32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5776143.0999999996</v>
      </c>
      <c r="H138" s="4"/>
      <c r="I138" s="4"/>
      <c r="J138" s="4"/>
      <c r="L138" s="38">
        <f>F30+F32-F61-F129</f>
        <v>-3.7252902984619141E-9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Свод!AV32+Свод!AW32+Свод!AX32+G144</f>
        <v>403688.29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403688.29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Свод!AY32+Свод!AZ32-F129</f>
        <v>403688.29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5372454.8099999996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3259385.5799999996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Свод!Q32+Свод!M32+Свод!D32-Свод!AV32+Свод!N32</f>
        <v>3259385.5799999996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816653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Свод!AA32+Свод!AB32+Свод!AE32-Свод!AW32+Свод!AF32</f>
        <v>816653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Свод!AI32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1296416.23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Свод!AL32+Свод!AN32-Свод!AX32+Свод!BA32</f>
        <v>1296416.23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5372454.8099999996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5372454.8099999996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260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19685039370078741" bottom="0.15748031496062992" header="0" footer="0"/>
  <pageSetup paperSize="9" scale="77" fitToHeight="6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89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  <col min="12" max="12" width="11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202</v>
      </c>
      <c r="C20" s="337"/>
      <c r="D20" s="337"/>
      <c r="E20" s="337"/>
      <c r="F20" s="337"/>
      <c r="G20" s="72" t="s">
        <v>189</v>
      </c>
      <c r="H20" s="117">
        <v>9105008885</v>
      </c>
    </row>
    <row r="21" spans="2:9">
      <c r="B21" s="7" t="s">
        <v>236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4">
        <f>Свод!BC33</f>
        <v>401409.69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F34+F40+F45+F47+F55</f>
        <v>36100073.079999998</v>
      </c>
      <c r="G32" s="4">
        <f>G34+G40+G45+G47+G49+G55</f>
        <v>0</v>
      </c>
      <c r="H32" s="4">
        <f>H34+H40+H45+H47+H49+H55</f>
        <v>0</v>
      </c>
      <c r="I32" s="4">
        <f>I34+I40+I45+I47+I49+I55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22217057.07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Свод!Y33</f>
        <v>22083057.07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Свод!AL33</f>
        <v>134000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F48+F49+F51</f>
        <v>13883016.010000002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Свод!AH33</f>
        <v>13683016.010000002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Свод!AI33</f>
        <v>0</v>
      </c>
      <c r="G50" s="4"/>
      <c r="H50" s="4"/>
      <c r="I50" s="4"/>
      <c r="K50" s="66" t="s">
        <v>113</v>
      </c>
    </row>
    <row r="51" spans="2:11" ht="15.75" thickBot="1">
      <c r="B51" s="4" t="s">
        <v>386</v>
      </c>
      <c r="C51" s="9">
        <v>1430</v>
      </c>
      <c r="D51" s="9">
        <v>150</v>
      </c>
      <c r="E51" s="126">
        <v>155</v>
      </c>
      <c r="F51" s="63">
        <f>Свод!AM33</f>
        <v>200000</v>
      </c>
      <c r="G51" s="4"/>
      <c r="H51" s="4"/>
      <c r="I51" s="4"/>
      <c r="K51" s="66"/>
    </row>
    <row r="52" spans="2:11" ht="15.75" thickBot="1">
      <c r="B52" s="4" t="s">
        <v>23</v>
      </c>
      <c r="C52" s="9">
        <v>1500</v>
      </c>
      <c r="D52" s="9">
        <v>180</v>
      </c>
      <c r="E52" s="129"/>
      <c r="F52" s="61"/>
      <c r="G52" s="4"/>
      <c r="H52" s="4"/>
      <c r="I52" s="4"/>
      <c r="K52" s="66" t="s">
        <v>170</v>
      </c>
    </row>
    <row r="53" spans="2:11">
      <c r="B53" s="5" t="s">
        <v>11</v>
      </c>
      <c r="C53" s="10"/>
      <c r="D53" s="10"/>
      <c r="E53" s="130"/>
      <c r="F53" s="5"/>
      <c r="G53" s="5"/>
      <c r="H53" s="5"/>
      <c r="I53" s="5"/>
      <c r="K53" s="66"/>
    </row>
    <row r="54" spans="2:11" ht="15.75" thickBot="1">
      <c r="B54" s="4"/>
      <c r="C54" s="11"/>
      <c r="D54" s="11"/>
      <c r="E54" s="126"/>
      <c r="F54" s="4"/>
      <c r="G54" s="4"/>
      <c r="H54" s="4"/>
      <c r="I54" s="4"/>
    </row>
    <row r="55" spans="2:11" ht="15.75" thickBot="1">
      <c r="B55" s="4" t="s">
        <v>26</v>
      </c>
      <c r="C55" s="9">
        <v>1900</v>
      </c>
      <c r="D55" s="9">
        <v>440</v>
      </c>
      <c r="E55" s="126">
        <v>446</v>
      </c>
      <c r="F55" s="62">
        <f>Свод!AO33</f>
        <v>0</v>
      </c>
      <c r="G55" s="4"/>
      <c r="H55" s="4"/>
      <c r="I55" s="4"/>
    </row>
    <row r="56" spans="2:11" ht="15.75" thickBot="1">
      <c r="B56" s="4" t="s">
        <v>11</v>
      </c>
      <c r="C56" s="11"/>
      <c r="D56" s="11"/>
      <c r="E56" s="126"/>
      <c r="F56" s="4"/>
      <c r="G56" s="4"/>
      <c r="H56" s="4"/>
      <c r="I56" s="4"/>
    </row>
    <row r="57" spans="2:11" ht="15.75" thickBot="1">
      <c r="B57" s="4"/>
      <c r="C57" s="11"/>
      <c r="D57" s="11"/>
      <c r="E57" s="126"/>
      <c r="F57" s="4"/>
      <c r="G57" s="4"/>
      <c r="H57" s="4"/>
      <c r="I57" s="4"/>
    </row>
    <row r="58" spans="2:11" ht="15.75" thickBot="1">
      <c r="B58" s="4" t="s">
        <v>27</v>
      </c>
      <c r="C58" s="9">
        <v>1980</v>
      </c>
      <c r="D58" s="9" t="s">
        <v>8</v>
      </c>
      <c r="E58" s="126"/>
      <c r="F58" s="4"/>
      <c r="G58" s="4"/>
      <c r="H58" s="4"/>
      <c r="I58" s="4"/>
    </row>
    <row r="59" spans="2:11">
      <c r="B59" s="5" t="s">
        <v>28</v>
      </c>
      <c r="C59" s="10"/>
      <c r="D59" s="10"/>
      <c r="E59" s="128"/>
      <c r="F59" s="5"/>
      <c r="G59" s="5"/>
      <c r="H59" s="5"/>
      <c r="I59" s="5"/>
    </row>
    <row r="60" spans="2:11" ht="26.25" thickBot="1">
      <c r="B60" s="4" t="s">
        <v>29</v>
      </c>
      <c r="C60" s="9">
        <v>1981</v>
      </c>
      <c r="D60" s="9">
        <v>510</v>
      </c>
      <c r="E60" s="126"/>
      <c r="F60" s="4"/>
      <c r="G60" s="4"/>
      <c r="H60" s="4"/>
      <c r="I60" s="9" t="s">
        <v>8</v>
      </c>
    </row>
    <row r="61" spans="2:11" ht="9" customHeight="1" thickBot="1">
      <c r="B61" s="4"/>
      <c r="C61" s="11"/>
      <c r="D61" s="11"/>
      <c r="E61" s="126"/>
      <c r="F61" s="4"/>
      <c r="G61" s="4"/>
      <c r="H61" s="4"/>
      <c r="I61" s="11"/>
    </row>
    <row r="62" spans="2:11" ht="15.75" thickBot="1">
      <c r="B62" s="4" t="s">
        <v>30</v>
      </c>
      <c r="C62" s="9">
        <v>2000</v>
      </c>
      <c r="D62" s="9" t="s">
        <v>8</v>
      </c>
      <c r="E62" s="126">
        <v>200</v>
      </c>
      <c r="F62" s="62">
        <f>F64+F84+F93+F108+F98+F106+F119</f>
        <v>36501482.770000003</v>
      </c>
      <c r="G62" s="4"/>
      <c r="H62" s="4"/>
      <c r="I62" s="11"/>
    </row>
    <row r="63" spans="2:11">
      <c r="B63" s="5" t="s">
        <v>11</v>
      </c>
      <c r="C63" s="10"/>
      <c r="D63" s="10"/>
      <c r="E63" s="128"/>
      <c r="F63" s="5"/>
      <c r="G63" s="5"/>
      <c r="H63" s="5"/>
      <c r="I63" s="10"/>
    </row>
    <row r="64" spans="2:11" ht="15.75" thickBot="1">
      <c r="B64" s="4" t="s">
        <v>31</v>
      </c>
      <c r="C64" s="9">
        <v>2100</v>
      </c>
      <c r="D64" s="9">
        <v>100</v>
      </c>
      <c r="E64" s="126">
        <v>210</v>
      </c>
      <c r="F64" s="4">
        <f>F66+F67+F69</f>
        <v>19415908</v>
      </c>
      <c r="G64" s="4"/>
      <c r="H64" s="4"/>
      <c r="I64" s="9" t="s">
        <v>8</v>
      </c>
    </row>
    <row r="65" spans="2:9">
      <c r="B65" s="5" t="s">
        <v>11</v>
      </c>
      <c r="C65" s="10"/>
      <c r="D65" s="10"/>
      <c r="E65" s="128"/>
      <c r="F65" s="5"/>
      <c r="G65" s="5"/>
      <c r="H65" s="5"/>
      <c r="I65" s="10"/>
    </row>
    <row r="66" spans="2:9" ht="15.75" thickBot="1">
      <c r="B66" s="4" t="s">
        <v>32</v>
      </c>
      <c r="C66" s="9">
        <v>2110</v>
      </c>
      <c r="D66" s="9">
        <v>111</v>
      </c>
      <c r="E66" s="131">
        <v>211</v>
      </c>
      <c r="F66" s="83">
        <f>Свод!S33+Свод!G33+Свод!AC33+Свод!V33</f>
        <v>14794859.73</v>
      </c>
      <c r="G66" s="4"/>
      <c r="H66" s="4"/>
      <c r="I66" s="9" t="s">
        <v>8</v>
      </c>
    </row>
    <row r="67" spans="2:9" ht="15.75" thickBot="1">
      <c r="B67" s="4" t="s">
        <v>33</v>
      </c>
      <c r="C67" s="9">
        <v>2120</v>
      </c>
      <c r="D67" s="9">
        <v>112</v>
      </c>
      <c r="E67" s="131">
        <v>212</v>
      </c>
      <c r="F67" s="83">
        <f>Свод!P33+Свод!E33+Свод!AG33</f>
        <v>153000</v>
      </c>
      <c r="G67" s="4"/>
      <c r="H67" s="4"/>
      <c r="I67" s="9" t="s">
        <v>8</v>
      </c>
    </row>
    <row r="68" spans="2:9" ht="26.25" thickBot="1">
      <c r="B68" s="4" t="s">
        <v>34</v>
      </c>
      <c r="C68" s="9">
        <v>2130</v>
      </c>
      <c r="D68" s="9">
        <v>113</v>
      </c>
      <c r="E68" s="126">
        <v>213</v>
      </c>
      <c r="F68" s="4"/>
      <c r="G68" s="4"/>
      <c r="H68" s="4"/>
      <c r="I68" s="9" t="s">
        <v>8</v>
      </c>
    </row>
    <row r="69" spans="2:9" ht="26.25" thickBot="1">
      <c r="B69" s="4" t="s">
        <v>35</v>
      </c>
      <c r="C69" s="9">
        <v>2140</v>
      </c>
      <c r="D69" s="9">
        <v>119</v>
      </c>
      <c r="E69" s="129">
        <v>213</v>
      </c>
      <c r="F69" s="138">
        <f>F71</f>
        <v>4468048.2699999996</v>
      </c>
      <c r="G69" s="4"/>
      <c r="H69" s="4"/>
      <c r="I69" s="9" t="s">
        <v>8</v>
      </c>
    </row>
    <row r="70" spans="2:9">
      <c r="B70" s="5" t="s">
        <v>11</v>
      </c>
      <c r="C70" s="10"/>
      <c r="D70" s="10"/>
      <c r="E70" s="128"/>
      <c r="F70" s="5"/>
      <c r="G70" s="5"/>
      <c r="H70" s="5"/>
      <c r="I70" s="12" t="s">
        <v>8</v>
      </c>
    </row>
    <row r="71" spans="2:9" ht="15.75" thickBot="1">
      <c r="B71" s="4" t="s">
        <v>36</v>
      </c>
      <c r="C71" s="9">
        <v>2141</v>
      </c>
      <c r="D71" s="9">
        <v>119</v>
      </c>
      <c r="E71" s="131">
        <v>213</v>
      </c>
      <c r="F71" s="81">
        <f>Свод!H33+Свод!T33+Свод!AD33+Свод!W33</f>
        <v>4468048.2699999996</v>
      </c>
      <c r="G71" s="4"/>
      <c r="H71" s="4"/>
      <c r="I71" s="11"/>
    </row>
    <row r="72" spans="2:9" ht="15.75" thickBot="1">
      <c r="B72" s="4" t="s">
        <v>37</v>
      </c>
      <c r="C72" s="9">
        <v>2142</v>
      </c>
      <c r="D72" s="9">
        <v>119</v>
      </c>
      <c r="E72" s="124"/>
      <c r="F72" s="4"/>
      <c r="G72" s="4"/>
      <c r="H72" s="4"/>
      <c r="I72" s="9" t="s">
        <v>8</v>
      </c>
    </row>
    <row r="73" spans="2:9">
      <c r="B73" s="6"/>
    </row>
    <row r="74" spans="2:9" ht="15.75" thickBot="1">
      <c r="B74" s="6"/>
    </row>
    <row r="75" spans="2:9" ht="26.25" thickBot="1">
      <c r="B75" s="334" t="s">
        <v>0</v>
      </c>
      <c r="C75" s="332" t="s">
        <v>1</v>
      </c>
      <c r="D75" s="332" t="s">
        <v>2</v>
      </c>
      <c r="E75" s="122" t="s">
        <v>3</v>
      </c>
      <c r="F75" s="330" t="s">
        <v>5</v>
      </c>
      <c r="G75" s="331"/>
      <c r="H75" s="331"/>
      <c r="I75" s="331"/>
    </row>
    <row r="76" spans="2:9" ht="51.75" thickBot="1">
      <c r="B76" s="335"/>
      <c r="C76" s="333"/>
      <c r="D76" s="333"/>
      <c r="E76" s="123" t="s">
        <v>4</v>
      </c>
      <c r="F76" s="245" t="s">
        <v>365</v>
      </c>
      <c r="G76" s="245" t="s">
        <v>366</v>
      </c>
      <c r="H76" s="245" t="s">
        <v>367</v>
      </c>
      <c r="I76" s="3" t="s">
        <v>6</v>
      </c>
    </row>
    <row r="77" spans="2:9" ht="15.75" thickBot="1">
      <c r="B77" s="91">
        <v>1</v>
      </c>
      <c r="C77" s="91">
        <v>2</v>
      </c>
      <c r="D77" s="91">
        <v>3</v>
      </c>
      <c r="E77" s="123">
        <v>4</v>
      </c>
      <c r="F77" s="91">
        <v>5</v>
      </c>
      <c r="G77" s="91">
        <v>6</v>
      </c>
      <c r="H77" s="91">
        <v>7</v>
      </c>
      <c r="I77" s="3">
        <v>8</v>
      </c>
    </row>
    <row r="78" spans="2:9" ht="26.25" thickBot="1">
      <c r="B78" s="4" t="s">
        <v>38</v>
      </c>
      <c r="C78" s="9">
        <v>2150</v>
      </c>
      <c r="D78" s="9">
        <v>131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262</v>
      </c>
      <c r="C79" s="9">
        <v>2160</v>
      </c>
      <c r="D79" s="9">
        <v>133</v>
      </c>
      <c r="E79" s="126"/>
      <c r="F79" s="4"/>
      <c r="G79" s="4"/>
      <c r="H79" s="4"/>
      <c r="I79" s="9" t="s">
        <v>8</v>
      </c>
    </row>
    <row r="80" spans="2:9" ht="26.25" thickBot="1">
      <c r="B80" s="4" t="s">
        <v>39</v>
      </c>
      <c r="C80" s="9">
        <v>2170</v>
      </c>
      <c r="D80" s="9">
        <v>134</v>
      </c>
      <c r="E80" s="126"/>
      <c r="F80" s="4"/>
      <c r="G80" s="4"/>
      <c r="H80" s="4"/>
      <c r="I80" s="9" t="s">
        <v>8</v>
      </c>
    </row>
    <row r="81" spans="2:9" ht="25.5">
      <c r="B81" s="5" t="s">
        <v>40</v>
      </c>
      <c r="C81" s="12">
        <v>2180</v>
      </c>
      <c r="D81" s="12">
        <v>139</v>
      </c>
      <c r="E81" s="128"/>
      <c r="F81" s="5"/>
      <c r="G81" s="5"/>
      <c r="H81" s="5"/>
      <c r="I81" s="10"/>
    </row>
    <row r="82" spans="2:9" ht="15.75" thickBot="1">
      <c r="B82" s="4" t="s">
        <v>11</v>
      </c>
      <c r="C82" s="9">
        <v>2181</v>
      </c>
      <c r="D82" s="9">
        <v>139</v>
      </c>
      <c r="E82" s="126"/>
      <c r="F82" s="4"/>
      <c r="G82" s="4"/>
      <c r="H82" s="4"/>
      <c r="I82" s="9" t="s">
        <v>8</v>
      </c>
    </row>
    <row r="83" spans="2:9" ht="15.75" thickBot="1">
      <c r="B83" s="4" t="s">
        <v>41</v>
      </c>
      <c r="C83" s="9"/>
      <c r="D83" s="9"/>
      <c r="E83" s="126"/>
      <c r="F83" s="4"/>
      <c r="G83" s="4"/>
      <c r="H83" s="4"/>
      <c r="I83" s="9" t="s">
        <v>8</v>
      </c>
    </row>
    <row r="84" spans="2:9" ht="15.75" thickBot="1">
      <c r="B84" s="4" t="s">
        <v>42</v>
      </c>
      <c r="C84" s="9">
        <v>2200</v>
      </c>
      <c r="D84" s="9">
        <v>300</v>
      </c>
      <c r="E84" s="126">
        <v>262</v>
      </c>
      <c r="F84" s="4">
        <f>F88</f>
        <v>0</v>
      </c>
      <c r="G84" s="4"/>
      <c r="H84" s="4"/>
      <c r="I84" s="9" t="s">
        <v>8</v>
      </c>
    </row>
    <row r="85" spans="2:9">
      <c r="B85" s="5" t="s">
        <v>11</v>
      </c>
      <c r="C85" s="10"/>
      <c r="D85" s="10"/>
      <c r="E85" s="128"/>
      <c r="F85" s="5"/>
      <c r="G85" s="5"/>
      <c r="H85" s="5"/>
      <c r="I85" s="12" t="s">
        <v>8</v>
      </c>
    </row>
    <row r="86" spans="2:9" ht="26.25" thickBot="1">
      <c r="B86" s="4" t="s">
        <v>43</v>
      </c>
      <c r="C86" s="9">
        <v>2210</v>
      </c>
      <c r="D86" s="9">
        <v>320</v>
      </c>
      <c r="E86" s="126">
        <v>262</v>
      </c>
      <c r="F86" s="4">
        <f>F88</f>
        <v>0</v>
      </c>
      <c r="G86" s="4"/>
      <c r="H86" s="4"/>
      <c r="I86" s="11"/>
    </row>
    <row r="87" spans="2:9">
      <c r="B87" s="5" t="s">
        <v>28</v>
      </c>
      <c r="C87" s="10"/>
      <c r="D87" s="10"/>
      <c r="E87" s="128"/>
      <c r="F87" s="5"/>
      <c r="G87" s="5"/>
      <c r="H87" s="5"/>
      <c r="I87" s="10"/>
    </row>
    <row r="88" spans="2:9" ht="26.25" thickBot="1">
      <c r="B88" s="4" t="s">
        <v>44</v>
      </c>
      <c r="C88" s="9">
        <v>2211</v>
      </c>
      <c r="D88" s="9">
        <v>321</v>
      </c>
      <c r="E88" s="131">
        <v>262</v>
      </c>
      <c r="F88" s="81">
        <f>Свод!F33</f>
        <v>0</v>
      </c>
      <c r="G88" s="4"/>
      <c r="H88" s="4"/>
      <c r="I88" s="9" t="s">
        <v>8</v>
      </c>
    </row>
    <row r="89" spans="2:9" ht="15.75" thickBot="1">
      <c r="B89" s="4"/>
      <c r="C89" s="11"/>
      <c r="D89" s="11"/>
      <c r="E89" s="126"/>
      <c r="F89" s="4"/>
      <c r="G89" s="4"/>
      <c r="H89" s="4"/>
      <c r="I89" s="11"/>
    </row>
    <row r="90" spans="2:9" ht="26.25" thickBot="1">
      <c r="B90" s="4" t="s">
        <v>45</v>
      </c>
      <c r="C90" s="9">
        <v>2220</v>
      </c>
      <c r="D90" s="9">
        <v>340</v>
      </c>
      <c r="E90" s="126"/>
      <c r="F90" s="4"/>
      <c r="G90" s="4"/>
      <c r="H90" s="4"/>
      <c r="I90" s="9" t="s">
        <v>8</v>
      </c>
    </row>
    <row r="91" spans="2:9" ht="39" thickBot="1">
      <c r="B91" s="4" t="s">
        <v>46</v>
      </c>
      <c r="C91" s="9">
        <v>2230</v>
      </c>
      <c r="D91" s="9">
        <v>350</v>
      </c>
      <c r="E91" s="126"/>
      <c r="F91" s="4"/>
      <c r="G91" s="4"/>
      <c r="H91" s="4"/>
      <c r="I91" s="9" t="s">
        <v>8</v>
      </c>
    </row>
    <row r="92" spans="2:9" ht="26.25" thickBot="1">
      <c r="B92" s="4" t="s">
        <v>47</v>
      </c>
      <c r="C92" s="9">
        <v>2240</v>
      </c>
      <c r="D92" s="9">
        <v>360</v>
      </c>
      <c r="E92" s="126"/>
      <c r="F92" s="4"/>
      <c r="G92" s="4"/>
      <c r="H92" s="4"/>
      <c r="I92" s="9" t="s">
        <v>8</v>
      </c>
    </row>
    <row r="93" spans="2:9" ht="15.75" thickBot="1">
      <c r="B93" s="4" t="s">
        <v>48</v>
      </c>
      <c r="C93" s="9">
        <v>2300</v>
      </c>
      <c r="D93" s="9">
        <v>850</v>
      </c>
      <c r="E93" s="126">
        <v>290</v>
      </c>
      <c r="F93" s="61">
        <f>F95+F96+F97</f>
        <v>75980</v>
      </c>
      <c r="G93" s="4"/>
      <c r="H93" s="4"/>
      <c r="I93" s="9" t="s">
        <v>8</v>
      </c>
    </row>
    <row r="94" spans="2:9">
      <c r="B94" s="5" t="s">
        <v>28</v>
      </c>
      <c r="C94" s="10"/>
      <c r="D94" s="10"/>
      <c r="E94" s="128"/>
      <c r="F94" s="141"/>
      <c r="G94" s="5"/>
      <c r="H94" s="5"/>
      <c r="I94" s="12"/>
    </row>
    <row r="95" spans="2:9" ht="15.75" thickBot="1">
      <c r="B95" s="4" t="s">
        <v>49</v>
      </c>
      <c r="C95" s="9">
        <v>2310</v>
      </c>
      <c r="D95" s="9">
        <v>851</v>
      </c>
      <c r="E95" s="131">
        <v>291</v>
      </c>
      <c r="F95" s="83">
        <f>Свод!J33</f>
        <v>71600</v>
      </c>
      <c r="G95" s="4"/>
      <c r="H95" s="4"/>
      <c r="I95" s="9" t="s">
        <v>8</v>
      </c>
    </row>
    <row r="96" spans="2:9" ht="26.25" thickBot="1">
      <c r="B96" s="4" t="s">
        <v>50</v>
      </c>
      <c r="C96" s="9">
        <v>2320</v>
      </c>
      <c r="D96" s="9">
        <v>852</v>
      </c>
      <c r="E96" s="131">
        <v>292</v>
      </c>
      <c r="F96" s="83">
        <f>Свод!K33</f>
        <v>3380</v>
      </c>
      <c r="G96" s="4"/>
      <c r="H96" s="4"/>
      <c r="I96" s="9" t="s">
        <v>8</v>
      </c>
    </row>
    <row r="97" spans="2:9" ht="15.75" thickBot="1">
      <c r="B97" s="4" t="s">
        <v>51</v>
      </c>
      <c r="C97" s="9">
        <v>2330</v>
      </c>
      <c r="D97" s="9">
        <v>853</v>
      </c>
      <c r="E97" s="131">
        <v>293</v>
      </c>
      <c r="F97" s="83">
        <f>Свод!L33</f>
        <v>1000</v>
      </c>
      <c r="G97" s="4"/>
      <c r="H97" s="4"/>
      <c r="I97" s="9" t="s">
        <v>8</v>
      </c>
    </row>
    <row r="98" spans="2:9" ht="15.75" thickBot="1">
      <c r="B98" s="4" t="s">
        <v>52</v>
      </c>
      <c r="C98" s="9">
        <v>2400</v>
      </c>
      <c r="D98" s="9" t="s">
        <v>8</v>
      </c>
      <c r="E98" s="126"/>
      <c r="F98" s="4"/>
      <c r="G98" s="4"/>
      <c r="H98" s="4"/>
      <c r="I98" s="9" t="s">
        <v>8</v>
      </c>
    </row>
    <row r="99" spans="2:9">
      <c r="B99" s="5" t="s">
        <v>28</v>
      </c>
      <c r="C99" s="10"/>
      <c r="D99" s="10"/>
      <c r="E99" s="128"/>
      <c r="F99" s="5"/>
      <c r="G99" s="5"/>
      <c r="H99" s="5"/>
      <c r="I99" s="10"/>
    </row>
    <row r="100" spans="2:9" ht="15.75" thickBot="1">
      <c r="B100" s="4" t="s">
        <v>263</v>
      </c>
      <c r="C100" s="9">
        <v>2410</v>
      </c>
      <c r="D100" s="9">
        <v>613</v>
      </c>
      <c r="E100" s="128"/>
      <c r="F100" s="5"/>
      <c r="G100" s="5"/>
      <c r="H100" s="5"/>
      <c r="I100" s="10"/>
    </row>
    <row r="101" spans="2:9" ht="15.75" thickBot="1">
      <c r="B101" s="4" t="s">
        <v>264</v>
      </c>
      <c r="C101" s="9">
        <v>2420</v>
      </c>
      <c r="D101" s="9">
        <v>623</v>
      </c>
      <c r="E101" s="128"/>
      <c r="F101" s="5"/>
      <c r="G101" s="5"/>
      <c r="H101" s="5"/>
      <c r="I101" s="10"/>
    </row>
    <row r="102" spans="2:9" ht="26.25" thickBot="1">
      <c r="B102" s="4" t="s">
        <v>265</v>
      </c>
      <c r="C102" s="9">
        <v>2430</v>
      </c>
      <c r="D102" s="9">
        <v>634</v>
      </c>
      <c r="E102" s="128"/>
      <c r="F102" s="5"/>
      <c r="G102" s="5"/>
      <c r="H102" s="5"/>
      <c r="I102" s="10"/>
    </row>
    <row r="103" spans="2:9" ht="15.75" thickBot="1">
      <c r="B103" s="4" t="s">
        <v>53</v>
      </c>
      <c r="C103" s="9">
        <v>2440</v>
      </c>
      <c r="D103" s="9">
        <v>810</v>
      </c>
      <c r="E103" s="126"/>
      <c r="F103" s="4"/>
      <c r="G103" s="4"/>
      <c r="H103" s="4"/>
      <c r="I103" s="9" t="s">
        <v>8</v>
      </c>
    </row>
    <row r="104" spans="2:9" ht="15.75" thickBot="1">
      <c r="B104" s="4" t="s">
        <v>54</v>
      </c>
      <c r="C104" s="9">
        <v>2450</v>
      </c>
      <c r="D104" s="9">
        <v>862</v>
      </c>
      <c r="E104" s="126"/>
      <c r="F104" s="4"/>
      <c r="G104" s="4"/>
      <c r="H104" s="4"/>
      <c r="I104" s="9" t="s">
        <v>8</v>
      </c>
    </row>
    <row r="105" spans="2:9" ht="26.25" thickBot="1">
      <c r="B105" s="4" t="s">
        <v>55</v>
      </c>
      <c r="C105" s="9">
        <v>2460</v>
      </c>
      <c r="D105" s="9">
        <v>863</v>
      </c>
      <c r="E105" s="126"/>
      <c r="F105" s="4"/>
      <c r="G105" s="4"/>
      <c r="H105" s="4"/>
      <c r="I105" s="9" t="s">
        <v>8</v>
      </c>
    </row>
    <row r="106" spans="2:9" ht="15.75" thickBot="1">
      <c r="B106" s="4" t="s">
        <v>56</v>
      </c>
      <c r="C106" s="9">
        <v>2500</v>
      </c>
      <c r="D106" s="9" t="s">
        <v>8</v>
      </c>
      <c r="E106" s="126"/>
      <c r="F106" s="4"/>
      <c r="G106" s="4"/>
      <c r="H106" s="4"/>
      <c r="I106" s="9" t="s">
        <v>8</v>
      </c>
    </row>
    <row r="107" spans="2:9" ht="39" thickBot="1">
      <c r="B107" s="4" t="s">
        <v>57</v>
      </c>
      <c r="C107" s="9">
        <v>2520</v>
      </c>
      <c r="D107" s="9">
        <v>831</v>
      </c>
      <c r="E107" s="126"/>
      <c r="F107" s="4"/>
      <c r="G107" s="4"/>
      <c r="H107" s="4"/>
      <c r="I107" s="9" t="s">
        <v>8</v>
      </c>
    </row>
    <row r="108" spans="2:9" ht="15.75" thickBot="1">
      <c r="B108" s="4" t="s">
        <v>58</v>
      </c>
      <c r="C108" s="9">
        <v>2600</v>
      </c>
      <c r="D108" s="9" t="s">
        <v>8</v>
      </c>
      <c r="E108" s="126">
        <v>220</v>
      </c>
      <c r="F108" s="62">
        <f>F111+F116+F119+F118</f>
        <v>17009594.770000003</v>
      </c>
      <c r="G108" s="4"/>
      <c r="H108" s="4"/>
      <c r="I108" s="4"/>
    </row>
    <row r="109" spans="2:9">
      <c r="B109" s="5" t="s">
        <v>11</v>
      </c>
      <c r="C109" s="10"/>
      <c r="D109" s="10"/>
      <c r="E109" s="128"/>
      <c r="F109" s="5"/>
      <c r="G109" s="5"/>
      <c r="H109" s="5"/>
      <c r="I109" s="5"/>
    </row>
    <row r="110" spans="2:9" ht="26.25" thickBot="1">
      <c r="B110" s="4" t="s">
        <v>270</v>
      </c>
      <c r="C110" s="9">
        <v>2610</v>
      </c>
      <c r="D110" s="9">
        <v>241</v>
      </c>
      <c r="E110" s="126"/>
      <c r="F110" s="4"/>
      <c r="G110" s="4"/>
      <c r="H110" s="4"/>
      <c r="I110" s="4"/>
    </row>
    <row r="111" spans="2:9" ht="26.25" thickBot="1">
      <c r="B111" s="4" t="s">
        <v>59</v>
      </c>
      <c r="C111" s="9">
        <v>2630</v>
      </c>
      <c r="D111" s="9">
        <v>243</v>
      </c>
      <c r="E111" s="129">
        <v>220</v>
      </c>
      <c r="F111" s="81">
        <f>Свод!AE33+Свод!M33+Свод!AF33+Свод!AZ33-Свод!BB33</f>
        <v>10428345.010000002</v>
      </c>
      <c r="G111" s="4"/>
      <c r="H111" s="4"/>
      <c r="I111" s="4"/>
    </row>
    <row r="112" spans="2:9" ht="15.75" thickBot="1">
      <c r="B112" s="6"/>
    </row>
    <row r="113" spans="2:9" ht="26.25" customHeight="1" thickBot="1">
      <c r="B113" s="334" t="s">
        <v>0</v>
      </c>
      <c r="C113" s="332" t="s">
        <v>1</v>
      </c>
      <c r="D113" s="332" t="s">
        <v>2</v>
      </c>
      <c r="E113" s="167" t="s">
        <v>3</v>
      </c>
      <c r="F113" s="330" t="s">
        <v>5</v>
      </c>
      <c r="G113" s="331"/>
      <c r="H113" s="331"/>
      <c r="I113" s="331"/>
    </row>
    <row r="114" spans="2:9" ht="51.75" thickBot="1">
      <c r="B114" s="335"/>
      <c r="C114" s="333"/>
      <c r="D114" s="333"/>
      <c r="E114" s="168" t="s">
        <v>4</v>
      </c>
      <c r="F114" s="245" t="s">
        <v>365</v>
      </c>
      <c r="G114" s="245" t="s">
        <v>366</v>
      </c>
      <c r="H114" s="245" t="s">
        <v>367</v>
      </c>
      <c r="I114" s="3" t="s">
        <v>6</v>
      </c>
    </row>
    <row r="115" spans="2:9" ht="15.75" thickBot="1">
      <c r="B115" s="168">
        <v>1</v>
      </c>
      <c r="C115" s="168">
        <v>2</v>
      </c>
      <c r="D115" s="168">
        <v>3</v>
      </c>
      <c r="E115" s="168">
        <v>4</v>
      </c>
      <c r="F115" s="91">
        <v>5</v>
      </c>
      <c r="G115" s="91">
        <v>6</v>
      </c>
      <c r="H115" s="91">
        <v>7</v>
      </c>
      <c r="I115" s="3">
        <v>8</v>
      </c>
    </row>
    <row r="116" spans="2:9" ht="15.75" thickBot="1">
      <c r="B116" s="4" t="s">
        <v>60</v>
      </c>
      <c r="C116" s="9">
        <v>2640</v>
      </c>
      <c r="D116" s="168">
        <v>244</v>
      </c>
      <c r="E116" s="131">
        <v>220</v>
      </c>
      <c r="F116" s="81">
        <f>Свод!D33+Свод!Q33+Свод!AA33+Свод!AB33+Свод!AL33+Свод!AN33+Свод!BA33+Свод!AY33-Свод!AP33+Свод!AM33</f>
        <v>5510938.5300000003</v>
      </c>
      <c r="G116" s="4"/>
      <c r="H116" s="4"/>
      <c r="I116" s="4"/>
    </row>
    <row r="117" spans="2:9" ht="26.25" thickBot="1">
      <c r="B117" s="4" t="s">
        <v>271</v>
      </c>
      <c r="C117" s="9">
        <v>2650</v>
      </c>
      <c r="D117" s="9">
        <v>246</v>
      </c>
      <c r="E117" s="169">
        <v>220</v>
      </c>
      <c r="F117" s="62"/>
      <c r="G117" s="4"/>
      <c r="H117" s="4"/>
      <c r="I117" s="4"/>
    </row>
    <row r="118" spans="2:9" ht="15.75" thickBot="1">
      <c r="B118" s="4" t="s">
        <v>272</v>
      </c>
      <c r="C118" s="9">
        <v>2660</v>
      </c>
      <c r="D118" s="168">
        <v>247</v>
      </c>
      <c r="E118" s="126">
        <v>223</v>
      </c>
      <c r="F118" s="62">
        <f>Свод!N33+Свод!AP33</f>
        <v>1070311.23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9">
        <v>400</v>
      </c>
      <c r="E119" s="124"/>
      <c r="F119" s="62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25"/>
      <c r="F120" s="148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68">
        <v>406</v>
      </c>
      <c r="E121" s="89"/>
      <c r="F121" s="62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168">
        <v>407</v>
      </c>
      <c r="E122" s="89">
        <v>228</v>
      </c>
      <c r="F122" s="81">
        <f>Свод!AI33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91">
        <v>100</v>
      </c>
      <c r="E123" s="124"/>
      <c r="F123" s="62"/>
      <c r="G123" s="4"/>
      <c r="H123" s="4"/>
      <c r="I123" s="91" t="s">
        <v>8</v>
      </c>
    </row>
    <row r="124" spans="2:9">
      <c r="B124" s="5" t="s">
        <v>11</v>
      </c>
      <c r="C124" s="10"/>
      <c r="D124" s="5"/>
      <c r="E124" s="125"/>
      <c r="F124" s="148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124"/>
      <c r="F125" s="62"/>
      <c r="G125" s="4"/>
      <c r="H125" s="4"/>
      <c r="I125" s="91" t="s">
        <v>8</v>
      </c>
    </row>
    <row r="126" spans="2:9" ht="15.75" thickBot="1">
      <c r="B126" s="4" t="s">
        <v>66</v>
      </c>
      <c r="C126" s="9">
        <v>3020</v>
      </c>
      <c r="D126" s="4"/>
      <c r="E126" s="124"/>
      <c r="F126" s="62"/>
      <c r="G126" s="4"/>
      <c r="H126" s="4"/>
      <c r="I126" s="91" t="s">
        <v>8</v>
      </c>
    </row>
    <row r="127" spans="2:9" ht="15.75" thickBot="1">
      <c r="B127" s="4" t="s">
        <v>67</v>
      </c>
      <c r="C127" s="9">
        <v>3030</v>
      </c>
      <c r="D127" s="4"/>
      <c r="E127" s="124"/>
      <c r="F127" s="62"/>
      <c r="G127" s="4"/>
      <c r="H127" s="4"/>
      <c r="I127" s="91" t="s">
        <v>8</v>
      </c>
    </row>
    <row r="128" spans="2:9" ht="15.75" thickBot="1">
      <c r="B128" s="4" t="s">
        <v>68</v>
      </c>
      <c r="C128" s="9">
        <v>4000</v>
      </c>
      <c r="D128" s="91" t="s">
        <v>8</v>
      </c>
      <c r="E128" s="124"/>
      <c r="F128" s="62">
        <f>F130</f>
        <v>0</v>
      </c>
      <c r="G128" s="4"/>
      <c r="H128" s="4"/>
      <c r="I128" s="91" t="s">
        <v>8</v>
      </c>
    </row>
    <row r="129" spans="1:12">
      <c r="B129" s="5" t="s">
        <v>28</v>
      </c>
      <c r="C129" s="10"/>
      <c r="D129" s="5"/>
      <c r="E129" s="125"/>
      <c r="F129" s="148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91">
        <v>610</v>
      </c>
      <c r="E130" s="124">
        <v>610</v>
      </c>
      <c r="F130" s="62">
        <f>Свод!BB33</f>
        <v>0</v>
      </c>
      <c r="G130" s="4"/>
      <c r="H130" s="4"/>
      <c r="I130" s="91" t="s">
        <v>8</v>
      </c>
    </row>
    <row r="131" spans="1:12" ht="15.75" thickBot="1">
      <c r="B131" s="4"/>
      <c r="C131" s="11"/>
      <c r="D131" s="4"/>
      <c r="E131" s="124"/>
      <c r="F131" s="4"/>
      <c r="G131" s="4"/>
      <c r="H131" s="4"/>
      <c r="I131" s="4"/>
    </row>
    <row r="132" spans="1:12">
      <c r="B132" s="86"/>
      <c r="C132" s="87"/>
      <c r="D132" s="86"/>
      <c r="E132" s="86"/>
      <c r="F132" s="86"/>
      <c r="G132" s="86"/>
      <c r="H132" s="86"/>
      <c r="I132" s="86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334" t="s">
        <v>71</v>
      </c>
      <c r="B136" s="332" t="s">
        <v>0</v>
      </c>
      <c r="C136" s="332" t="s">
        <v>72</v>
      </c>
      <c r="D136" s="332" t="s">
        <v>73</v>
      </c>
      <c r="E136" s="332" t="s">
        <v>247</v>
      </c>
      <c r="F136" s="139"/>
      <c r="G136" s="330" t="s">
        <v>5</v>
      </c>
      <c r="H136" s="331"/>
      <c r="I136" s="331"/>
      <c r="J136" s="331"/>
    </row>
    <row r="137" spans="1:12" ht="77.25" thickBot="1">
      <c r="A137" s="335"/>
      <c r="B137" s="333"/>
      <c r="C137" s="333"/>
      <c r="D137" s="333"/>
      <c r="E137" s="333"/>
      <c r="F137" s="181" t="s">
        <v>283</v>
      </c>
      <c r="G137" s="245" t="s">
        <v>365</v>
      </c>
      <c r="H137" s="245" t="s">
        <v>366</v>
      </c>
      <c r="I137" s="245" t="s">
        <v>367</v>
      </c>
      <c r="J137" s="3" t="s">
        <v>6</v>
      </c>
    </row>
    <row r="138" spans="1:12" ht="15.75" thickBot="1">
      <c r="A138" s="181">
        <v>1</v>
      </c>
      <c r="B138" s="181">
        <v>2</v>
      </c>
      <c r="C138" s="181">
        <v>3</v>
      </c>
      <c r="D138" s="181">
        <v>4</v>
      </c>
      <c r="E138" s="16" t="s">
        <v>248</v>
      </c>
      <c r="F138" s="16" t="s">
        <v>284</v>
      </c>
      <c r="G138" s="91">
        <v>5</v>
      </c>
      <c r="H138" s="91">
        <v>6</v>
      </c>
      <c r="I138" s="91">
        <v>7</v>
      </c>
      <c r="J138" s="3">
        <v>8</v>
      </c>
    </row>
    <row r="139" spans="1:12" ht="15.75" thickBot="1">
      <c r="A139" s="181">
        <v>1</v>
      </c>
      <c r="B139" s="4" t="s">
        <v>74</v>
      </c>
      <c r="C139" s="181">
        <v>26000</v>
      </c>
      <c r="D139" s="181" t="s">
        <v>8</v>
      </c>
      <c r="E139" s="140" t="s">
        <v>255</v>
      </c>
      <c r="F139" s="140" t="s">
        <v>8</v>
      </c>
      <c r="G139" s="62">
        <f>G148+G143</f>
        <v>17009594.77</v>
      </c>
      <c r="H139" s="4"/>
      <c r="I139" s="4"/>
      <c r="J139" s="4"/>
      <c r="L139" s="38">
        <f>F30+F32-F62-F130</f>
        <v>-7.4505805969238281E-9</v>
      </c>
    </row>
    <row r="140" spans="1:12">
      <c r="A140" s="5"/>
      <c r="B140" s="5" t="s">
        <v>11</v>
      </c>
      <c r="C140" s="5"/>
      <c r="D140" s="5"/>
      <c r="E140" s="5"/>
      <c r="F140" s="5"/>
      <c r="G140" s="5"/>
      <c r="H140" s="5"/>
      <c r="I140" s="5"/>
      <c r="J140" s="5"/>
      <c r="L140" s="34">
        <f>F108-G139</f>
        <v>0</v>
      </c>
    </row>
    <row r="141" spans="1:12" ht="129.75" thickBot="1">
      <c r="A141" s="181" t="s">
        <v>75</v>
      </c>
      <c r="B141" s="4" t="s">
        <v>76</v>
      </c>
      <c r="C141" s="9">
        <v>26100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77</v>
      </c>
      <c r="B142" s="4" t="s">
        <v>78</v>
      </c>
      <c r="C142" s="9">
        <v>26200</v>
      </c>
      <c r="D142" s="9" t="s">
        <v>8</v>
      </c>
      <c r="E142" s="9"/>
      <c r="F142" s="9" t="s">
        <v>8</v>
      </c>
      <c r="G142" s="15"/>
      <c r="H142" s="15"/>
      <c r="I142" s="15"/>
      <c r="J142" s="15"/>
    </row>
    <row r="143" spans="1:12" ht="40.5" thickBot="1">
      <c r="A143" s="181" t="s">
        <v>79</v>
      </c>
      <c r="B143" s="4" t="s">
        <v>80</v>
      </c>
      <c r="C143" s="9">
        <v>26300</v>
      </c>
      <c r="D143" s="9" t="s">
        <v>8</v>
      </c>
      <c r="E143" s="140" t="s">
        <v>255</v>
      </c>
      <c r="F143" s="140" t="s">
        <v>8</v>
      </c>
      <c r="G143" s="14">
        <f>Свод!AV33+Свод!AW33+Свод!AX33+G144</f>
        <v>310578.24</v>
      </c>
      <c r="H143" s="15"/>
      <c r="I143" s="15"/>
      <c r="J143" s="15"/>
    </row>
    <row r="144" spans="1:12" ht="15.75" thickBot="1">
      <c r="A144" s="16" t="s">
        <v>249</v>
      </c>
      <c r="B144" s="4" t="s">
        <v>252</v>
      </c>
      <c r="C144" s="9">
        <v>26310</v>
      </c>
      <c r="D144" s="9"/>
      <c r="E144" s="9" t="s">
        <v>8</v>
      </c>
      <c r="F144" s="9" t="s">
        <v>8</v>
      </c>
      <c r="G144" s="14">
        <f>G145</f>
        <v>310578.24</v>
      </c>
      <c r="H144" s="15"/>
      <c r="I144" s="15"/>
      <c r="J144" s="15"/>
    </row>
    <row r="145" spans="1:10" ht="26.25" thickBot="1">
      <c r="A145" s="16" t="s">
        <v>287</v>
      </c>
      <c r="B145" s="4" t="s">
        <v>371</v>
      </c>
      <c r="C145" s="9" t="s">
        <v>251</v>
      </c>
      <c r="D145" s="9"/>
      <c r="E145" s="9"/>
      <c r="F145" s="9" t="s">
        <v>8</v>
      </c>
      <c r="G145" s="81">
        <f>Свод!AY33+Свод!AZ33-F130</f>
        <v>310578.24</v>
      </c>
      <c r="H145" s="15"/>
      <c r="I145" s="15"/>
      <c r="J145" s="15"/>
    </row>
    <row r="146" spans="1:10" ht="26.25" thickBot="1">
      <c r="A146" s="16" t="s">
        <v>288</v>
      </c>
      <c r="B146" s="4" t="s">
        <v>281</v>
      </c>
      <c r="C146" s="9" t="s">
        <v>282</v>
      </c>
      <c r="D146" s="9"/>
      <c r="E146" s="9"/>
      <c r="F146" s="9"/>
      <c r="G146" s="14"/>
      <c r="H146" s="15"/>
      <c r="I146" s="15"/>
      <c r="J146" s="15"/>
    </row>
    <row r="147" spans="1:10" ht="15.75" thickBot="1">
      <c r="A147" s="16" t="s">
        <v>250</v>
      </c>
      <c r="B147" s="4" t="s">
        <v>101</v>
      </c>
      <c r="C147" s="9">
        <v>26320</v>
      </c>
      <c r="D147" s="9"/>
      <c r="E147" s="9" t="s">
        <v>8</v>
      </c>
      <c r="F147" s="9" t="s">
        <v>8</v>
      </c>
      <c r="G147" s="14"/>
      <c r="H147" s="15"/>
      <c r="I147" s="15"/>
      <c r="J147" s="15"/>
    </row>
    <row r="148" spans="1:10" ht="40.5" thickBot="1">
      <c r="A148" s="181" t="s">
        <v>81</v>
      </c>
      <c r="B148" s="4" t="s">
        <v>82</v>
      </c>
      <c r="C148" s="9">
        <v>26400</v>
      </c>
      <c r="D148" s="9" t="s">
        <v>8</v>
      </c>
      <c r="E148" s="140" t="s">
        <v>255</v>
      </c>
      <c r="F148" s="9" t="s">
        <v>8</v>
      </c>
      <c r="G148" s="65">
        <f>G150+G154+G159+G166</f>
        <v>16699016.530000001</v>
      </c>
      <c r="H148" s="15"/>
      <c r="I148" s="15"/>
      <c r="J148" s="15"/>
    </row>
    <row r="149" spans="1:10">
      <c r="A149" s="5"/>
      <c r="B149" s="5" t="s">
        <v>11</v>
      </c>
      <c r="C149" s="10"/>
      <c r="D149" s="10"/>
      <c r="E149" s="10"/>
      <c r="F149" s="10"/>
      <c r="G149" s="5"/>
      <c r="H149" s="5"/>
      <c r="I149" s="5"/>
      <c r="J149" s="5"/>
    </row>
    <row r="150" spans="1:10" ht="26.25" thickBot="1">
      <c r="A150" s="16" t="s">
        <v>114</v>
      </c>
      <c r="B150" s="4" t="s">
        <v>83</v>
      </c>
      <c r="C150" s="9">
        <v>26410</v>
      </c>
      <c r="D150" s="9" t="s">
        <v>8</v>
      </c>
      <c r="E150" s="140" t="s">
        <v>255</v>
      </c>
      <c r="F150" s="9" t="s">
        <v>8</v>
      </c>
      <c r="G150" s="62">
        <f>G152</f>
        <v>4475800.07</v>
      </c>
      <c r="H150" s="4"/>
      <c r="I150" s="4"/>
      <c r="J150" s="4"/>
    </row>
    <row r="151" spans="1:10">
      <c r="A151" s="5"/>
      <c r="B151" s="5" t="s">
        <v>11</v>
      </c>
      <c r="C151" s="10"/>
      <c r="D151" s="10"/>
      <c r="E151" s="10"/>
      <c r="F151" s="10"/>
      <c r="G151" s="5"/>
      <c r="H151" s="5"/>
      <c r="I151" s="5"/>
      <c r="J151" s="5"/>
    </row>
    <row r="152" spans="1:10" ht="15.75" thickBot="1">
      <c r="A152" s="181" t="s">
        <v>84</v>
      </c>
      <c r="B152" s="4" t="s">
        <v>85</v>
      </c>
      <c r="C152" s="9">
        <v>26411</v>
      </c>
      <c r="D152" s="9" t="s">
        <v>8</v>
      </c>
      <c r="E152" s="140" t="s">
        <v>255</v>
      </c>
      <c r="F152" s="9" t="s">
        <v>8</v>
      </c>
      <c r="G152" s="81">
        <f>Свод!Q33+Свод!M33+Свод!D33-Свод!AV33+Свод!N33</f>
        <v>4475800.07</v>
      </c>
      <c r="H152" s="4"/>
      <c r="I152" s="4"/>
      <c r="J152" s="4"/>
    </row>
    <row r="153" spans="1:10" ht="15.75" thickBot="1">
      <c r="A153" s="181" t="s">
        <v>86</v>
      </c>
      <c r="B153" s="4" t="s">
        <v>87</v>
      </c>
      <c r="C153" s="9">
        <v>26412</v>
      </c>
      <c r="D153" s="9" t="s">
        <v>8</v>
      </c>
      <c r="E153" s="9"/>
      <c r="F153" s="9" t="s">
        <v>8</v>
      </c>
      <c r="G153" s="4"/>
      <c r="H153" s="4"/>
      <c r="I153" s="4"/>
      <c r="J153" s="4"/>
    </row>
    <row r="154" spans="1:10" ht="26.25" thickBot="1">
      <c r="A154" s="181" t="s">
        <v>88</v>
      </c>
      <c r="B154" s="4" t="s">
        <v>89</v>
      </c>
      <c r="C154" s="9">
        <v>26420</v>
      </c>
      <c r="D154" s="9" t="s">
        <v>8</v>
      </c>
      <c r="E154" s="140" t="s">
        <v>255</v>
      </c>
      <c r="F154" s="9" t="s">
        <v>8</v>
      </c>
      <c r="G154" s="61">
        <f>G156</f>
        <v>11798385.010000002</v>
      </c>
      <c r="H154" s="4"/>
      <c r="I154" s="4"/>
      <c r="J154" s="4"/>
    </row>
    <row r="155" spans="1:10">
      <c r="A155" s="5"/>
      <c r="B155" s="5" t="s">
        <v>11</v>
      </c>
      <c r="C155" s="10"/>
      <c r="D155" s="10"/>
      <c r="E155" s="10"/>
      <c r="F155" s="10"/>
      <c r="G155" s="141"/>
      <c r="H155" s="5"/>
      <c r="I155" s="5"/>
      <c r="J155" s="5"/>
    </row>
    <row r="156" spans="1:10" ht="15.75" thickBot="1">
      <c r="A156" s="181" t="s">
        <v>90</v>
      </c>
      <c r="B156" s="4" t="s">
        <v>85</v>
      </c>
      <c r="C156" s="9">
        <v>26421</v>
      </c>
      <c r="D156" s="9" t="s">
        <v>8</v>
      </c>
      <c r="E156" s="140" t="s">
        <v>255</v>
      </c>
      <c r="F156" s="9" t="s">
        <v>8</v>
      </c>
      <c r="G156" s="83">
        <f>Свод!AA33+Свод!AB33+Свод!AE33-Свод!AW33+Свод!AF33</f>
        <v>11798385.010000002</v>
      </c>
      <c r="H156" s="4"/>
      <c r="I156" s="4"/>
      <c r="J156" s="4"/>
    </row>
    <row r="157" spans="1:10" ht="15.75" thickBot="1">
      <c r="A157" s="181"/>
      <c r="B157" s="4" t="s">
        <v>28</v>
      </c>
      <c r="C157" s="9" t="s">
        <v>254</v>
      </c>
      <c r="D157" s="9"/>
      <c r="E157" s="9"/>
      <c r="F157" s="9" t="s">
        <v>8</v>
      </c>
      <c r="G157" s="82"/>
      <c r="H157" s="4"/>
      <c r="I157" s="4"/>
      <c r="J157" s="4"/>
    </row>
    <row r="158" spans="1:10" ht="15.75" thickBot="1">
      <c r="A158" s="181" t="s">
        <v>91</v>
      </c>
      <c r="B158" s="4" t="s">
        <v>87</v>
      </c>
      <c r="C158" s="9">
        <v>26422</v>
      </c>
      <c r="D158" s="9" t="s">
        <v>8</v>
      </c>
      <c r="E158" s="9"/>
      <c r="F158" s="9" t="s">
        <v>8</v>
      </c>
      <c r="G158" s="4"/>
      <c r="H158" s="4"/>
      <c r="I158" s="4"/>
      <c r="J158" s="4"/>
    </row>
    <row r="159" spans="1:10" ht="27.75" thickBot="1">
      <c r="A159" s="181" t="s">
        <v>92</v>
      </c>
      <c r="B159" s="4" t="s">
        <v>93</v>
      </c>
      <c r="C159" s="9">
        <v>26430</v>
      </c>
      <c r="D159" s="9" t="s">
        <v>8</v>
      </c>
      <c r="E159" s="9"/>
      <c r="F159" s="9" t="s">
        <v>8</v>
      </c>
      <c r="G159" s="83">
        <f>Свод!AI33</f>
        <v>0</v>
      </c>
      <c r="H159" s="4"/>
      <c r="I159" s="4"/>
      <c r="J159" s="4"/>
    </row>
    <row r="160" spans="1:10" ht="15.75" thickBot="1">
      <c r="A160" s="181" t="s">
        <v>289</v>
      </c>
      <c r="B160" s="4" t="s">
        <v>28</v>
      </c>
      <c r="C160" s="9" t="s">
        <v>253</v>
      </c>
      <c r="D160" s="9"/>
      <c r="E160" s="9"/>
      <c r="F160" s="9" t="s">
        <v>8</v>
      </c>
      <c r="G160" s="83"/>
      <c r="H160" s="4"/>
      <c r="I160" s="4"/>
      <c r="J160" s="4"/>
    </row>
    <row r="161" spans="1:10" ht="26.25" thickBot="1">
      <c r="A161" s="181" t="s">
        <v>290</v>
      </c>
      <c r="B161" s="4" t="s">
        <v>281</v>
      </c>
      <c r="C161" s="9" t="s">
        <v>285</v>
      </c>
      <c r="D161" s="9"/>
      <c r="E161" s="9"/>
      <c r="F161" s="9"/>
      <c r="G161" s="83"/>
      <c r="H161" s="4"/>
      <c r="I161" s="4"/>
      <c r="J161" s="4"/>
    </row>
    <row r="162" spans="1:10" ht="15.75" thickBot="1">
      <c r="A162" s="181" t="s">
        <v>94</v>
      </c>
      <c r="B162" s="4" t="s">
        <v>95</v>
      </c>
      <c r="C162" s="9">
        <v>26440</v>
      </c>
      <c r="D162" s="9" t="s">
        <v>8</v>
      </c>
      <c r="E162" s="9"/>
      <c r="F162" s="9" t="s">
        <v>8</v>
      </c>
      <c r="G162" s="4"/>
      <c r="H162" s="4"/>
      <c r="I162" s="4"/>
      <c r="J162" s="4"/>
    </row>
    <row r="163" spans="1:10">
      <c r="A163" s="5"/>
      <c r="B163" s="5" t="s">
        <v>11</v>
      </c>
      <c r="C163" s="10"/>
      <c r="D163" s="10"/>
      <c r="E163" s="10"/>
      <c r="F163" s="10"/>
      <c r="G163" s="5"/>
      <c r="H163" s="5"/>
      <c r="I163" s="5"/>
      <c r="J163" s="5"/>
    </row>
    <row r="164" spans="1:10" ht="15.75" thickBot="1">
      <c r="A164" s="181" t="s">
        <v>96</v>
      </c>
      <c r="B164" s="4" t="s">
        <v>85</v>
      </c>
      <c r="C164" s="9">
        <v>26441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97</v>
      </c>
      <c r="B165" s="4" t="s">
        <v>87</v>
      </c>
      <c r="C165" s="9">
        <v>26442</v>
      </c>
      <c r="D165" s="9" t="s">
        <v>8</v>
      </c>
      <c r="E165" s="9"/>
      <c r="F165" s="9" t="s">
        <v>8</v>
      </c>
      <c r="G165" s="4"/>
      <c r="H165" s="4"/>
      <c r="I165" s="4"/>
      <c r="J165" s="4"/>
    </row>
    <row r="166" spans="1:10" ht="15.75" thickBot="1">
      <c r="A166" s="181" t="s">
        <v>98</v>
      </c>
      <c r="B166" s="4" t="s">
        <v>99</v>
      </c>
      <c r="C166" s="9">
        <v>26450</v>
      </c>
      <c r="D166" s="9" t="s">
        <v>8</v>
      </c>
      <c r="E166" s="140" t="s">
        <v>255</v>
      </c>
      <c r="F166" s="9" t="s">
        <v>8</v>
      </c>
      <c r="G166" s="62">
        <f>G172</f>
        <v>424831.45</v>
      </c>
      <c r="H166" s="4"/>
      <c r="I166" s="4"/>
      <c r="J166" s="4"/>
    </row>
    <row r="167" spans="1:10" ht="15.75" thickBot="1">
      <c r="A167" s="6"/>
    </row>
    <row r="168" spans="1:10" ht="15.75" customHeight="1" thickBot="1">
      <c r="A168" s="334" t="s">
        <v>71</v>
      </c>
      <c r="B168" s="332" t="s">
        <v>0</v>
      </c>
      <c r="C168" s="332" t="s">
        <v>72</v>
      </c>
      <c r="D168" s="332" t="s">
        <v>73</v>
      </c>
      <c r="E168" s="332" t="s">
        <v>247</v>
      </c>
      <c r="F168" s="139"/>
      <c r="G168" s="330" t="s">
        <v>5</v>
      </c>
      <c r="H168" s="331"/>
      <c r="I168" s="331"/>
      <c r="J168" s="331"/>
    </row>
    <row r="169" spans="1:10" ht="77.25" thickBot="1">
      <c r="A169" s="335"/>
      <c r="B169" s="333"/>
      <c r="C169" s="333"/>
      <c r="D169" s="333"/>
      <c r="E169" s="333"/>
      <c r="F169" s="181" t="s">
        <v>283</v>
      </c>
      <c r="G169" s="245" t="s">
        <v>365</v>
      </c>
      <c r="H169" s="245" t="s">
        <v>366</v>
      </c>
      <c r="I169" s="245" t="s">
        <v>367</v>
      </c>
      <c r="J169" s="3" t="s">
        <v>6</v>
      </c>
    </row>
    <row r="170" spans="1:10" ht="15.75" thickBot="1">
      <c r="A170" s="181">
        <v>1</v>
      </c>
      <c r="B170" s="181">
        <v>2</v>
      </c>
      <c r="C170" s="181">
        <v>3</v>
      </c>
      <c r="D170" s="181">
        <v>4</v>
      </c>
      <c r="E170" s="181"/>
      <c r="F170" s="181"/>
      <c r="G170" s="91">
        <v>5</v>
      </c>
      <c r="H170" s="91">
        <v>6</v>
      </c>
      <c r="I170" s="91">
        <v>7</v>
      </c>
      <c r="J170" s="3">
        <v>8</v>
      </c>
    </row>
    <row r="171" spans="1:10">
      <c r="A171" s="5"/>
      <c r="B171" s="5" t="s">
        <v>11</v>
      </c>
      <c r="C171" s="5"/>
      <c r="D171" s="10"/>
      <c r="E171" s="10"/>
      <c r="F171" s="10"/>
      <c r="G171" s="5"/>
      <c r="H171" s="5"/>
      <c r="I171" s="5"/>
      <c r="J171" s="5"/>
    </row>
    <row r="172" spans="1:10" ht="15.75" thickBot="1">
      <c r="A172" s="181" t="s">
        <v>291</v>
      </c>
      <c r="B172" s="4" t="s">
        <v>85</v>
      </c>
      <c r="C172" s="9">
        <v>26451</v>
      </c>
      <c r="D172" s="9" t="s">
        <v>8</v>
      </c>
      <c r="E172" s="140" t="s">
        <v>255</v>
      </c>
      <c r="F172" s="9" t="s">
        <v>8</v>
      </c>
      <c r="G172" s="81">
        <f>Свод!AL33+Свод!AN33-Свод!AX33+Свод!BA33+Свод!AM33</f>
        <v>424831.45</v>
      </c>
      <c r="H172" s="4"/>
      <c r="I172" s="4"/>
      <c r="J172" s="4"/>
    </row>
    <row r="173" spans="1:10" ht="15.75" thickBot="1">
      <c r="A173" s="181" t="s">
        <v>292</v>
      </c>
      <c r="B173" s="4" t="s">
        <v>28</v>
      </c>
      <c r="C173" s="9">
        <v>26451.1</v>
      </c>
      <c r="D173" s="9"/>
      <c r="E173" s="9"/>
      <c r="F173" s="9" t="s">
        <v>8</v>
      </c>
      <c r="G173" s="81"/>
      <c r="H173" s="4"/>
      <c r="I173" s="4"/>
      <c r="J173" s="4"/>
    </row>
    <row r="174" spans="1:10" ht="26.25" thickBot="1">
      <c r="A174" s="181" t="s">
        <v>293</v>
      </c>
      <c r="B174" s="4" t="s">
        <v>281</v>
      </c>
      <c r="C174" s="9" t="s">
        <v>286</v>
      </c>
      <c r="D174" s="9"/>
      <c r="E174" s="9"/>
      <c r="F174" s="9"/>
      <c r="G174" s="81"/>
      <c r="H174" s="4"/>
      <c r="I174" s="4"/>
      <c r="J174" s="4"/>
    </row>
    <row r="175" spans="1:10" ht="15.75" thickBot="1">
      <c r="A175" s="181" t="s">
        <v>100</v>
      </c>
      <c r="B175" s="4" t="s">
        <v>101</v>
      </c>
      <c r="C175" s="9">
        <v>26452</v>
      </c>
      <c r="D175" s="9" t="s">
        <v>8</v>
      </c>
      <c r="E175" s="9"/>
      <c r="F175" s="9" t="s">
        <v>8</v>
      </c>
      <c r="G175" s="4"/>
      <c r="H175" s="4"/>
      <c r="I175" s="4"/>
      <c r="J175" s="4"/>
    </row>
    <row r="176" spans="1:10" ht="40.5" thickBot="1">
      <c r="A176" s="181" t="s">
        <v>102</v>
      </c>
      <c r="B176" s="4" t="s">
        <v>103</v>
      </c>
      <c r="C176" s="9">
        <v>26500</v>
      </c>
      <c r="D176" s="9" t="s">
        <v>8</v>
      </c>
      <c r="E176" s="140" t="s">
        <v>255</v>
      </c>
      <c r="F176" s="9" t="s">
        <v>8</v>
      </c>
      <c r="G176" s="62">
        <f>G148</f>
        <v>16699016.530000001</v>
      </c>
      <c r="H176" s="4"/>
      <c r="I176" s="4"/>
      <c r="J176" s="4"/>
    </row>
    <row r="177" spans="1:10" ht="15.75" thickBot="1">
      <c r="A177" s="16" t="s">
        <v>241</v>
      </c>
      <c r="B177" s="4" t="s">
        <v>104</v>
      </c>
      <c r="C177" s="9" t="s">
        <v>240</v>
      </c>
      <c r="D177" s="11">
        <v>2025</v>
      </c>
      <c r="E177" s="140" t="s">
        <v>255</v>
      </c>
      <c r="F177" s="9" t="s">
        <v>8</v>
      </c>
      <c r="G177" s="62">
        <f>G176</f>
        <v>16699016.530000001</v>
      </c>
      <c r="H177" s="4"/>
      <c r="I177" s="4"/>
      <c r="J177" s="4"/>
    </row>
    <row r="178" spans="1:10" ht="39" thickBot="1">
      <c r="A178" s="181" t="s">
        <v>105</v>
      </c>
      <c r="B178" s="4" t="s">
        <v>106</v>
      </c>
      <c r="C178" s="9">
        <v>26600</v>
      </c>
      <c r="D178" s="9" t="s">
        <v>8</v>
      </c>
      <c r="E178" s="9"/>
      <c r="F178" s="9" t="s">
        <v>8</v>
      </c>
      <c r="G178" s="4"/>
      <c r="H178" s="4"/>
      <c r="I178" s="4"/>
      <c r="J178" s="4"/>
    </row>
    <row r="179" spans="1:10" ht="15.75" thickBot="1">
      <c r="A179" s="4"/>
      <c r="B179" s="4" t="s">
        <v>104</v>
      </c>
      <c r="C179" s="9">
        <v>26610</v>
      </c>
      <c r="D179" s="11"/>
      <c r="E179" s="11"/>
      <c r="F179" s="9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107</v>
      </c>
    </row>
    <row r="182" spans="1:10">
      <c r="A182" s="7" t="s">
        <v>180</v>
      </c>
    </row>
    <row r="183" spans="1:10">
      <c r="A183" s="7" t="s">
        <v>108</v>
      </c>
    </row>
    <row r="184" spans="1:10">
      <c r="A184" s="7"/>
    </row>
    <row r="185" spans="1:10">
      <c r="A185" s="7" t="s">
        <v>182</v>
      </c>
      <c r="B185" s="70"/>
    </row>
    <row r="186" spans="1:10">
      <c r="A186" s="7" t="s">
        <v>181</v>
      </c>
    </row>
    <row r="187" spans="1:10">
      <c r="A187" s="7" t="str">
        <f>D8</f>
        <v>"16"октября 2025 г.</v>
      </c>
    </row>
    <row r="188" spans="1:10">
      <c r="A188" s="6"/>
    </row>
    <row r="189" spans="1:10">
      <c r="A189" s="6"/>
    </row>
  </sheetData>
  <mergeCells count="31">
    <mergeCell ref="G168:J168"/>
    <mergeCell ref="E168:E169"/>
    <mergeCell ref="A168:A169"/>
    <mergeCell ref="B168:B169"/>
    <mergeCell ref="C168:C169"/>
    <mergeCell ref="D168:D169"/>
    <mergeCell ref="A136:A137"/>
    <mergeCell ref="B136:B137"/>
    <mergeCell ref="C136:C137"/>
    <mergeCell ref="D136:D137"/>
    <mergeCell ref="F75:I75"/>
    <mergeCell ref="B113:B114"/>
    <mergeCell ref="C113:C114"/>
    <mergeCell ref="D113:D114"/>
    <mergeCell ref="F113:I113"/>
    <mergeCell ref="E136:E137"/>
    <mergeCell ref="B75:B76"/>
    <mergeCell ref="C75:C76"/>
    <mergeCell ref="D75:D76"/>
    <mergeCell ref="G136:J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9370078740157483" bottom="0.39370078740157483" header="0" footer="0"/>
  <pageSetup paperSize="9" scale="9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203</v>
      </c>
      <c r="C20" s="337"/>
      <c r="D20" s="337"/>
      <c r="E20" s="337"/>
      <c r="F20" s="337"/>
      <c r="G20" s="72" t="s">
        <v>189</v>
      </c>
      <c r="H20" s="117">
        <v>9105008966</v>
      </c>
    </row>
    <row r="21" spans="2:9">
      <c r="B21" s="7" t="s">
        <v>266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1">
        <f>Свод!BC34</f>
        <v>867436.64999999991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61346512.269999996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37779523.25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Свод!Y34</f>
        <v>35277643.25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Свод!AL34</f>
        <v>2501880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23566989.02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Свод!AH34</f>
        <v>23566989.02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62213948.920000002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28799758.899999999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Свод!S34+Свод!G34+Свод!AC34+Свод!V34</f>
        <v>21926082.329999998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Свод!P34+Свод!E34+Свод!AG34</f>
        <v>252000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6621676.5700000003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Свод!H34+Свод!T34+Свод!AD34+Свод!W34</f>
        <v>6621676.5700000003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1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1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Свод!F34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9116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Свод!J34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Свод!K34</f>
        <v>8116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Свод!L34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33405074.020000003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Свод!AE34+Свод!M34+Свод!AF34+Свод!AZ34-Свод!BB34</f>
        <v>19836955.120000001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3">
        <f>Свод!D34+Свод!Q34+Свод!AA34+Свод!AB34+Свод!AL34+Свод!AN34+Свод!BA34+Свод!AY34-Свод!AP34</f>
        <v>10173234.140000001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1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1">
        <f>Свод!N34+Свод!AP34</f>
        <v>3394884.7600000007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1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Свод!AI34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1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1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1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1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1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Свод!BB34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61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33405074.020000003</v>
      </c>
      <c r="H138" s="4"/>
      <c r="I138" s="4"/>
      <c r="J138" s="4"/>
      <c r="L138" s="38">
        <f>F30+F32-F61-F129</f>
        <v>-7.4505805969238281E-9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G144</f>
        <v>264096.96000000002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264096.96000000002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Свод!AY34+Свод!AZ34-F129</f>
        <v>264096.96000000002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33140977.060000002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8921129.25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Свод!Q34+Свод!M34+Свод!D34-Свод!AV34+Свод!N34</f>
        <v>8921129.25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21114628.120000001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Свод!AA34+Свод!AB34+Свод!AE34-Свод!AW34+Свод!AF34</f>
        <v>21114628.120000001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Свод!AI34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3105219.69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Свод!AL34+Свод!AN34-Свод!AX34+Свод!BA34</f>
        <v>3105219.69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33140977.060000002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33140977.060000002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5433070866141736" bottom="0.35433070866141736" header="0" footer="0"/>
  <pageSetup paperSize="9" scale="82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00" workbookViewId="0">
      <selection activeCell="C18" sqref="C18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85546875" customWidth="1"/>
    <col min="7" max="7" width="15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203</v>
      </c>
      <c r="C20" s="337"/>
      <c r="D20" s="337"/>
      <c r="E20" s="337"/>
      <c r="F20" s="337"/>
      <c r="G20" s="72" t="s">
        <v>189</v>
      </c>
      <c r="H20" s="117">
        <v>9105008596</v>
      </c>
    </row>
    <row r="21" spans="2:9">
      <c r="B21" s="7" t="s">
        <v>232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4">
        <f>Свод!BC35</f>
        <v>59327.57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36469195.229999997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25622137.899999999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Свод!Y35</f>
        <v>24741557.899999999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Свод!AL35</f>
        <v>880580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10847057.33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Свод!AH35</f>
        <v>10847057.33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Свод!AI35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36528522.799999997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21643772.149999999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Свод!S35+Свод!G35+Свод!AC35+Свод!V35</f>
        <v>16492144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Свод!P35+Свод!E35+Свод!AG35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4980628.1499999985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Свод!H35+Свод!T35+Свод!AD35+Свод!W35</f>
        <v>4980628.1499999985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1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1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Свод!F35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9406.74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Свод!J35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Свод!K35</f>
        <v>7856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Свод!L35</f>
        <v>1550.74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14875343.91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3">
        <f>Свод!AE35+Свод!M35+Свод!AF35+Свод!AZ35-Свод!BB35</f>
        <v>8065370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273</v>
      </c>
      <c r="C115" s="9">
        <v>2640</v>
      </c>
      <c r="D115" s="168">
        <v>244</v>
      </c>
      <c r="E115" s="131">
        <v>220</v>
      </c>
      <c r="F115" s="83">
        <f>Свод!D35+Свод!Q35+Свод!AA35+Свод!AB35+Свод!AL35+Свод!AN35+Свод!BA35+Свод!AY35-Свод!AP35</f>
        <v>6372868.5199999996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1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1">
        <f>Свод!N35+Свод!AP35</f>
        <v>437105.39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1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Свод!AI35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1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1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1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1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1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Свод!BB35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14875343.91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Свод!AV35+Свод!AW35+Свод!AX35+G143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Свод!AY35+Свод!AZ35-F129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14875343.91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4821779.0099999988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Свод!Q35+Свод!M35+Свод!D35-Свод!AV35+Свод!N35</f>
        <v>4821779.0099999988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9113657.3300000001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Свод!AA35+Свод!AB35+Свод!AE35-Свод!AW35+Свод!AF35</f>
        <v>9113657.3300000001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1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Свод!AI35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939907.57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Свод!AL35+Свод!AN35-Свод!AX35+Свод!BA35</f>
        <v>939907.57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14875343.91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14875343.91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3" sqref="L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3.140625" customWidth="1"/>
    <col min="8" max="8" width="13.28515625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203</v>
      </c>
      <c r="C20" s="337"/>
      <c r="D20" s="337"/>
      <c r="E20" s="337"/>
      <c r="F20" s="337"/>
      <c r="G20" s="72" t="s">
        <v>189</v>
      </c>
      <c r="H20" s="94">
        <v>9105008998</v>
      </c>
    </row>
    <row r="21" spans="2:9">
      <c r="B21" s="7" t="s">
        <v>206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90" customHeight="1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Свод!BC5</f>
        <v>279136.83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77082624.400000006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66192473.670000002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Свод!Y5</f>
        <v>61531193.670000002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Свод!AL5</f>
        <v>4661280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10890150.73</v>
      </c>
      <c r="G47" s="62">
        <f>Свод!GV5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Свод!AH5</f>
        <v>10890150.73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77361761.230000004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52215300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Свод!S5+Свод!G5+Свод!AC5+Свод!V5</f>
        <v>39744469.729999997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Свод!P5+Свод!E5+Свод!AG5</f>
        <v>468000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12002830.27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62">
        <f>Свод!H5+Свод!T5+Свод!AD5+Свод!W5</f>
        <v>12002830.27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30456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Свод!J5</f>
        <v>15580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Свод!K5</f>
        <v>13876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25116005.23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Свод!AE5+Свод!M5+Свод!AF5+Свод!AZ5-Свод!BB5</f>
        <v>3486445.21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Свод!D5+Свод!Q5+Свод!AA5+Свод!AB5+Свод!AL5+Свод!AN5+Свод!BA5+Свод!AY5-Свод!AP5</f>
        <v>15579329.450000001</v>
      </c>
      <c r="G115" s="62">
        <f>Свод!GV5</f>
        <v>0</v>
      </c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Свод!N5+Свод!AP5</f>
        <v>6050230.5699999994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Свод!BB5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25116005.229999997</v>
      </c>
      <c r="H138" s="62">
        <f>H147+H142</f>
        <v>0</v>
      </c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Свод!AV5+Свод!AW5+Свод!AX5+G144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Свод!AY5+Свод!AZ5-F129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25116005.229999997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13359948.67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Свод!Q5+Свод!M5+Свод!D5-Свод!AV5+Свод!N5</f>
        <v>13359948.67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6815639.7300000004</v>
      </c>
      <c r="H153" s="62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Свод!AA5+Свод!AB5+Свод!AE5-Свод!AW5+Свод!AF5</f>
        <v>6815639.7300000004</v>
      </c>
      <c r="H155" s="62">
        <f>Свод!GV5</f>
        <v>0</v>
      </c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Свод!AI5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4940416.83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62">
        <f>Свод!AL5+Свод!AN5-Свод!AX5+Свод!BA5</f>
        <v>4940416.83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25116005.229999997</v>
      </c>
      <c r="H175" s="62">
        <f>H147</f>
        <v>0</v>
      </c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25116005.229999997</v>
      </c>
      <c r="H176" s="62">
        <f>Свод!GV5</f>
        <v>0</v>
      </c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11811023622047245" right="0.11811023622047245" top="0.39370078740157483" bottom="0.35433070866141736" header="0" footer="0"/>
  <pageSetup paperSize="9" scale="82" fitToHeight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203</v>
      </c>
      <c r="C20" s="337"/>
      <c r="D20" s="337"/>
      <c r="E20" s="337"/>
      <c r="F20" s="337"/>
      <c r="G20" s="72" t="s">
        <v>189</v>
      </c>
      <c r="H20" s="114">
        <v>9105009952</v>
      </c>
    </row>
    <row r="21" spans="2:9">
      <c r="B21" s="7" t="s">
        <v>207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90" customHeight="1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Свод!BC6</f>
        <v>695728.51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34921727.18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31896404.539999999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Свод!Y6</f>
        <v>29816934.539999999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Свод!AL6</f>
        <v>2079470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3025322.64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Свод!AH6</f>
        <v>3025322.64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35617455.689999998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25403163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Свод!S6+Свод!G6+Свод!AC6+Свод!V6</f>
        <v>19338067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Свод!P6+Свод!E6+Свод!AG6</f>
        <v>225000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5840096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Свод!H6+Свод!T6+Свод!AD6+Свод!W6</f>
        <v>5840096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7100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Свод!K6</f>
        <v>6100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10207192.690000001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Свод!AE6+Свод!M6+Свод!AF6+Свод!AZ6-Свод!BB6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Свод!D6+Свод!Q6+Свод!AA6+Свод!AB6+Свод!AL6+Свод!AN6+Свод!BA6+Свод!AY6-Свод!AP6</f>
        <v>8583829.7300000004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Свод!N6+Свод!AP6</f>
        <v>1623362.96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Свод!BB6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51.75" customHeight="1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10207192.689999999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Свод!AV6+Свод!AW6+Свод!AX6+G144</f>
        <v>357731.02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357731.02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Свод!AY6+Свод!AZ6-F129</f>
        <v>357731.02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9849461.6699999999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6037831.54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Свод!Q6+Свод!M6+Свод!D6-Свод!AV6+Свод!N6</f>
        <v>6037831.54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1394162.6400000001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Свод!AA6+Свод!AB6+Свод!AE6-Свод!AW6+Свод!AF6</f>
        <v>1394162.6400000001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1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Свод!AI6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2417467.4900000002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Свод!AL6+Свод!AN6-Свод!AX6+Свод!BA6</f>
        <v>2417467.4900000002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9849461.6699999999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9849461.6699999999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11811023622047245" right="0.11811023622047245" top="0.35433070866141736" bottom="0.35433070866141736" header="0" footer="0"/>
  <pageSetup paperSize="9" scale="75" fitToHeight="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203</v>
      </c>
      <c r="C20" s="337"/>
      <c r="D20" s="337"/>
      <c r="E20" s="337"/>
      <c r="F20" s="337"/>
      <c r="G20" s="72" t="s">
        <v>189</v>
      </c>
      <c r="H20" s="118">
        <v>9105007627</v>
      </c>
    </row>
    <row r="21" spans="2:9">
      <c r="B21" s="7" t="s">
        <v>208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90" customHeight="1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Свод!BC7</f>
        <v>269414.28000000003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48537990.519999996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34984938.519999996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Свод!Y7</f>
        <v>32212328.52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Свод!AL7</f>
        <v>2772610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13553052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Свод!AH7</f>
        <v>13553052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48807404.799999997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27986020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Свод!S7+Свод!G7+Свод!AC7+Свод!V7</f>
        <v>21280353.73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Свод!P7+Свод!E7+Свод!AG7</f>
        <v>279000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6426666.2699999996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Свод!H7+Свод!T7+Свод!AD7+Свод!W7</f>
        <v>6426666.2699999996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20820384.800000001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Свод!AE7+Свод!M7+Свод!AF7+Свод!AZ7-Свод!BB7</f>
        <v>10250690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Свод!D7+Свод!Q7+Свод!AA7+Свод!AB7+Свод!AL7+Свод!AN7+Свод!BA7+Свод!AY7-Свод!AP7</f>
        <v>7740309.1000000006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Свод!N7+Свод!AP7</f>
        <v>2829385.6999999997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Свод!BB7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20820384.800000001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Свод!AV7+Свод!AW7+Свод!AX7+G144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Свод!AY7+Свод!AZ7-F129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20820384.800000001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6392179.5199999996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Свод!Q7+Свод!M7+Свод!D7-Свод!AV7+Свод!N7</f>
        <v>6392179.5199999996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11386181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Свод!AA7+Свод!AB7+Свод!AE7-Свод!AW7+Свод!AF7</f>
        <v>11386181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Свод!AI7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3042024.2800000003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Свод!AL7+Свод!AN7-Свод!AX7+Свод!BA7</f>
        <v>3042024.2800000003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20820384.800000001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20820384.800000001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6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119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202</v>
      </c>
      <c r="C20" s="337"/>
      <c r="D20" s="337"/>
      <c r="E20" s="337"/>
      <c r="F20" s="337"/>
      <c r="G20" s="72" t="s">
        <v>189</v>
      </c>
      <c r="H20" s="114">
        <v>9105006768</v>
      </c>
    </row>
    <row r="21" spans="2:9">
      <c r="B21" s="7" t="s">
        <v>209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90" customHeight="1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Свод!BC8</f>
        <v>39832.79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50773704.240000002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22870509.670000002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Свод!Y8</f>
        <v>22306509.670000002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Свод!AL8</f>
        <v>564000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27903194.57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Свод!AH8</f>
        <v>27903194.57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50813537.030000001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19564873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Свод!S8+Свод!G8+Свод!AC8+Свод!V8</f>
        <v>14916569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Свод!P8+Свод!E8+Свод!AG8</f>
        <v>143500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4504804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Свод!H8+Свод!T8+Свод!AD8+Свод!W8</f>
        <v>4504804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11977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Свод!J8</f>
        <v>10977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Свод!K8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Свод!L8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31236687.029999997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Свод!AE8+Свод!M8+Свод!AF8+Свод!AZ8-Свод!BB8</f>
        <v>24997666.57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Свод!D8+Свод!Q8+Свод!AA8+Свод!AB8+Свод!AL8+Свод!AN8+Свод!BA8+Свод!AY8-Свод!AP8</f>
        <v>4771663.26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Свод!N8+Свод!AP8</f>
        <v>1467357.2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Свод!BB8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31236687.030000001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Свод!AV8+Свод!AW8+Свод!AX8+G144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Свод!AY8+Свод!AZ8-F129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31236687.030000001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4409059.67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Свод!Q8+Свод!M8+Свод!D8-Свод!AV8+Свод!N8</f>
        <v>4409059.67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26223794.57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Свод!AA8+Свод!AB8+Свод!AE8-Свод!AW8+Свод!AF8</f>
        <v>26223794.57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Свод!AI8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603832.79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Свод!AL8+Свод!AN8-Свод!AX8+Свод!BA8</f>
        <v>603832.79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31236687.030000001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31236687.030000001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28515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202</v>
      </c>
      <c r="C20" s="337"/>
      <c r="D20" s="337"/>
      <c r="E20" s="337"/>
      <c r="F20" s="337"/>
      <c r="G20" s="72" t="s">
        <v>189</v>
      </c>
      <c r="H20" s="114">
        <v>9105007810</v>
      </c>
    </row>
    <row r="21" spans="2:9">
      <c r="B21" s="7" t="s">
        <v>210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90" customHeight="1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Свод!BC9</f>
        <v>38347.51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41249625.300000004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30336208.060000002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Свод!Y9</f>
        <v>30184208.060000002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Свод!AL9</f>
        <v>152000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10913417.24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Свод!AH9</f>
        <v>10913417.24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41287972.810000002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22419947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Свод!S9+Свод!G9+Свод!AC9+Свод!V9</f>
        <v>17074460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Свод!P9+Свод!E9+Свод!AG9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5156487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Свод!H9+Свод!T9+Свод!AD9+Свод!W9</f>
        <v>5156487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262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11711.15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Свод!K9</f>
        <v>10184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Свод!L9</f>
        <v>1527.15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18856314.66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Свод!AE9+Свод!M9+Свод!AF9+Свод!AZ9-Свод!BB9</f>
        <v>7416191.2400000002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Свод!D9+Свод!Q9+Свод!AA9+Свод!AB9+Свод!AL9+Свод!AN9+Свод!BA9+Свод!AY9-Свод!AP9</f>
        <v>11083919.220000001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Свод!N9+Свод!AP9</f>
        <v>356204.19999999995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Свод!BB9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170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18856314.66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Свод!AV9+Свод!AW9+Свод!AX9+G144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Свод!AY9+Свод!AZ9-F129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18856314.66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9816429.9100000001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Свод!Q9+Свод!M9+Свод!D9-Свод!AV9+Свод!N9</f>
        <v>9816429.9100000001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8849537.2400000002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Свод!AA9+Свод!AB9+Свод!AE9-Свод!AW9+Свод!AF9</f>
        <v>8849537.2400000002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Свод!AI9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190347.51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Свод!AL9+Свод!AN9-Свод!AX9+Свод!BA9</f>
        <v>190347.51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18856314.66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18856314.66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31496062992125984" right="0.31496062992125984" top="0.35433070866141736" bottom="0.35433070866141736" header="0.31496062992125984" footer="0.31496062992125984"/>
  <pageSetup paperSize="9" scale="74" fitToHeight="6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388</v>
      </c>
      <c r="E2" s="274"/>
      <c r="F2" s="274"/>
      <c r="G2" s="274"/>
      <c r="H2" s="274"/>
    </row>
    <row r="3" spans="2:8">
      <c r="B3" s="69"/>
      <c r="C3" s="69"/>
      <c r="D3" s="275" t="s">
        <v>389</v>
      </c>
      <c r="E3" s="275"/>
      <c r="F3" s="275"/>
      <c r="G3" s="275"/>
      <c r="H3" s="275"/>
    </row>
    <row r="4" spans="2:8">
      <c r="B4" s="7" t="s">
        <v>13</v>
      </c>
      <c r="D4" s="274" t="s">
        <v>390</v>
      </c>
      <c r="E4" s="274"/>
      <c r="F4" s="274"/>
      <c r="G4" s="274"/>
      <c r="H4" s="274"/>
    </row>
    <row r="5" spans="2:8">
      <c r="B5" s="68" t="s">
        <v>14</v>
      </c>
      <c r="D5" s="275" t="s">
        <v>391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392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"16"октября 2025 г.</v>
      </c>
    </row>
    <row r="9" spans="2:8">
      <c r="B9" s="6"/>
    </row>
    <row r="10" spans="2:8" ht="15.75">
      <c r="B10" s="336" t="s">
        <v>364</v>
      </c>
      <c r="C10" s="336"/>
      <c r="D10" s="336"/>
      <c r="E10" s="336"/>
      <c r="F10" s="336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"16"октября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37" t="s">
        <v>202</v>
      </c>
      <c r="C20" s="337"/>
      <c r="D20" s="337"/>
      <c r="E20" s="337"/>
      <c r="F20" s="337"/>
      <c r="G20" s="72" t="s">
        <v>189</v>
      </c>
      <c r="H20" s="114">
        <v>9105007031</v>
      </c>
    </row>
    <row r="21" spans="2:9">
      <c r="B21" s="7" t="s">
        <v>211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2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3" t="s">
        <v>4</v>
      </c>
      <c r="F28" s="245" t="s">
        <v>365</v>
      </c>
      <c r="G28" s="245" t="s">
        <v>366</v>
      </c>
      <c r="H28" s="245" t="s">
        <v>367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1">
        <f>Свод!BC10</f>
        <v>40522.6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27131866.640000001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45" t="s">
        <v>365</v>
      </c>
      <c r="G38" s="245" t="s">
        <v>366</v>
      </c>
      <c r="H38" s="245" t="s">
        <v>367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21840810.719999999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Свод!Y10</f>
        <v>21518810.719999999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Свод!AL10</f>
        <v>322000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5291055.92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Свод!AH10</f>
        <v>5291055.92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27172389.240000002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19322050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Свод!S10+Свод!G10+Свод!AC10+Свод!V10</f>
        <v>14729684.73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Свод!P10+Свод!E10+Свод!AG10</f>
        <v>144000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4448365.2699999996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Свод!H10+Свод!T10+Свод!AD10+Свод!W10</f>
        <v>4448365.2699999996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2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3" t="s">
        <v>4</v>
      </c>
      <c r="F75" s="245" t="s">
        <v>365</v>
      </c>
      <c r="G75" s="245" t="s">
        <v>366</v>
      </c>
      <c r="H75" s="245" t="s">
        <v>367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1"/>
      <c r="G77" s="4"/>
      <c r="H77" s="4"/>
      <c r="I77" s="9" t="s">
        <v>8</v>
      </c>
    </row>
    <row r="78" spans="2:9" ht="26.25" thickBot="1">
      <c r="B78" s="4" t="s">
        <v>262</v>
      </c>
      <c r="C78" s="9">
        <v>2160</v>
      </c>
      <c r="D78" s="9">
        <v>133</v>
      </c>
      <c r="E78" s="126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1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Свод!K10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Свод!L10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263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264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265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7849339.2400000002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270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Свод!AE10+Свод!M10+Свод!AF10+Свод!AZ10-Свод!BB10</f>
        <v>2087461.92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67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68" t="s">
        <v>4</v>
      </c>
      <c r="F113" s="245" t="s">
        <v>365</v>
      </c>
      <c r="G113" s="245" t="s">
        <v>366</v>
      </c>
      <c r="H113" s="245" t="s">
        <v>367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Свод!D10+Свод!Q10+Свод!AA10+Свод!AB10+Свод!AL10+Свод!AN10+Свод!BA10+Свод!AY10-Свод!AP10</f>
        <v>3941281.46</v>
      </c>
      <c r="G115" s="4"/>
      <c r="H115" s="4"/>
      <c r="I115" s="4"/>
    </row>
    <row r="116" spans="2:9" ht="26.25" thickBot="1">
      <c r="B116" s="4" t="s">
        <v>271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272</v>
      </c>
      <c r="C117" s="9">
        <v>2660</v>
      </c>
      <c r="D117" s="168">
        <v>247</v>
      </c>
      <c r="E117" s="126">
        <v>223</v>
      </c>
      <c r="F117" s="62">
        <f>Свод!N10+Свод!AP10</f>
        <v>1820595.8599999999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Свод!BB10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247</v>
      </c>
      <c r="F135" s="139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1" t="s">
        <v>283</v>
      </c>
      <c r="G136" s="245" t="s">
        <v>365</v>
      </c>
      <c r="H136" s="245" t="s">
        <v>366</v>
      </c>
      <c r="I136" s="245" t="s">
        <v>367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284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7849339.2399999993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Свод!AV10+Свод!AW10+Свод!AX10+G144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287</v>
      </c>
      <c r="B144" s="4" t="s">
        <v>371</v>
      </c>
      <c r="C144" s="9" t="s">
        <v>251</v>
      </c>
      <c r="D144" s="9"/>
      <c r="E144" s="9"/>
      <c r="F144" s="9" t="s">
        <v>8</v>
      </c>
      <c r="G144" s="81">
        <f>Свод!AY10+Свод!AZ10-F129</f>
        <v>0</v>
      </c>
      <c r="H144" s="15"/>
      <c r="I144" s="15"/>
      <c r="J144" s="15"/>
    </row>
    <row r="145" spans="1:10" ht="26.25" thickBot="1">
      <c r="A145" s="16" t="s">
        <v>288</v>
      </c>
      <c r="B145" s="4" t="s">
        <v>281</v>
      </c>
      <c r="C145" s="9" t="s">
        <v>282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7849339.2399999993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4383871.72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Свод!Q10+Свод!M10+Свод!D10-Свод!AV10+Свод!N10</f>
        <v>4383871.72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3102944.92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Свод!AA10+Свод!AB10+Свод!AE10-Свод!AW10+Свод!AF10</f>
        <v>3102944.92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3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Свод!AI10</f>
        <v>0</v>
      </c>
      <c r="H158" s="4"/>
      <c r="I158" s="4"/>
      <c r="J158" s="4"/>
    </row>
    <row r="159" spans="1:10" ht="15.75" thickBot="1">
      <c r="A159" s="181" t="s">
        <v>289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290</v>
      </c>
      <c r="B160" s="4" t="s">
        <v>281</v>
      </c>
      <c r="C160" s="9" t="s">
        <v>285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362522.6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247</v>
      </c>
      <c r="F167" s="139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1" t="s">
        <v>283</v>
      </c>
      <c r="G168" s="245" t="s">
        <v>365</v>
      </c>
      <c r="H168" s="245" t="s">
        <v>366</v>
      </c>
      <c r="I168" s="245" t="s">
        <v>367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291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Свод!AL10+Свод!AN10-Свод!AX10+Свод!BA10</f>
        <v>362522.6</v>
      </c>
      <c r="H171" s="4"/>
      <c r="I171" s="4"/>
      <c r="J171" s="4"/>
    </row>
    <row r="172" spans="1:10" ht="15.75" thickBot="1">
      <c r="A172" s="181" t="s">
        <v>292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293</v>
      </c>
      <c r="B173" s="4" t="s">
        <v>281</v>
      </c>
      <c r="C173" s="9" t="s">
        <v>286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7849339.2399999993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7849339.2399999993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"16"октября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35</vt:i4>
      </vt:variant>
    </vt:vector>
  </HeadingPairs>
  <TitlesOfParts>
    <vt:vector size="35" baseType="lpstr">
      <vt:lpstr>Свод</vt:lpstr>
      <vt:lpstr>Азов</vt:lpstr>
      <vt:lpstr>Вольн</vt:lpstr>
      <vt:lpstr>З-ленин</vt:lpstr>
      <vt:lpstr>ЗаречКТ</vt:lpstr>
      <vt:lpstr>Зареч</vt:lpstr>
      <vt:lpstr>Изум</vt:lpstr>
      <vt:lpstr>Кондр</vt:lpstr>
      <vt:lpstr>Крым</vt:lpstr>
      <vt:lpstr>Лобан</vt:lpstr>
      <vt:lpstr>Луган</vt:lpstr>
      <vt:lpstr>Майск</vt:lpstr>
      <vt:lpstr>МайскКТ</vt:lpstr>
      <vt:lpstr>Масл</vt:lpstr>
      <vt:lpstr>Медвед</vt:lpstr>
      <vt:lpstr>Мирн</vt:lpstr>
      <vt:lpstr>Н-крым</vt:lpstr>
      <vt:lpstr>Н-степ</vt:lpstr>
      <vt:lpstr>Овощ</vt:lpstr>
      <vt:lpstr>Пахар</vt:lpstr>
      <vt:lpstr>Побед</vt:lpstr>
      <vt:lpstr>Прост</vt:lpstr>
      <vt:lpstr>Роск</vt:lpstr>
      <vt:lpstr>Рощин</vt:lpstr>
      <vt:lpstr>Светл</vt:lpstr>
      <vt:lpstr>Солен</vt:lpstr>
      <vt:lpstr>Стал</vt:lpstr>
      <vt:lpstr>Столб</vt:lpstr>
      <vt:lpstr>Табач</vt:lpstr>
      <vt:lpstr>Целин</vt:lpstr>
      <vt:lpstr>Чайк</vt:lpstr>
      <vt:lpstr>Ярков</vt:lpstr>
      <vt:lpstr>Яркопол</vt:lpstr>
      <vt:lpstr>Ясноп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УОМС</dc:creator>
  <cp:lastModifiedBy>УОМС</cp:lastModifiedBy>
  <cp:lastPrinted>2025-08-21T11:04:36Z</cp:lastPrinted>
  <dcterms:created xsi:type="dcterms:W3CDTF">2019-05-20T08:14:48Z</dcterms:created>
  <dcterms:modified xsi:type="dcterms:W3CDTF">2025-10-15T10:21:14Z</dcterms:modified>
</cp:coreProperties>
</file>