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989"/>
  </bookViews>
  <sheets>
    <sheet name="10_дней 7-11" sheetId="1" r:id="rId1"/>
  </sheets>
  <definedNames>
    <definedName name="Excel_BuiltIn_Print_Area" localSheetId="0">'10_дней 7-11'!$A$5:$H$355</definedName>
    <definedName name="_xlnm.Print_Area" localSheetId="0">'10_дней 7-11'!$A$1:$G$358</definedName>
  </definedNames>
  <calcPr calcId="125725"/>
</workbook>
</file>

<file path=xl/calcChain.xml><?xml version="1.0" encoding="utf-8"?>
<calcChain xmlns="http://schemas.openxmlformats.org/spreadsheetml/2006/main">
  <c r="G264" i="1"/>
  <c r="F264"/>
  <c r="E264"/>
  <c r="D264"/>
  <c r="G152"/>
  <c r="F152"/>
  <c r="E152"/>
  <c r="D152"/>
  <c r="G336"/>
  <c r="F336"/>
  <c r="E336"/>
  <c r="D336"/>
  <c r="G284"/>
  <c r="F284"/>
  <c r="E284"/>
  <c r="D284"/>
  <c r="G270"/>
  <c r="F270"/>
  <c r="E270"/>
  <c r="D270"/>
  <c r="G252"/>
  <c r="F252"/>
  <c r="E252"/>
  <c r="D252"/>
  <c r="G236"/>
  <c r="F236"/>
  <c r="E236"/>
  <c r="D236"/>
  <c r="G293"/>
  <c r="F293"/>
  <c r="E293"/>
  <c r="D293"/>
  <c r="G297"/>
  <c r="F297"/>
  <c r="E297"/>
  <c r="D297"/>
  <c r="G345"/>
  <c r="F345"/>
  <c r="E345"/>
  <c r="D345"/>
  <c r="G55"/>
  <c r="F55"/>
  <c r="E55"/>
  <c r="D55"/>
  <c r="G88"/>
  <c r="F88"/>
  <c r="E88"/>
  <c r="D88"/>
  <c r="G137"/>
  <c r="F137"/>
  <c r="E137"/>
  <c r="D137"/>
  <c r="G171"/>
  <c r="F171"/>
  <c r="E171"/>
  <c r="D171"/>
  <c r="G253"/>
  <c r="F253"/>
  <c r="E253"/>
  <c r="D253"/>
  <c r="G285"/>
  <c r="F285"/>
  <c r="E285"/>
  <c r="D285"/>
  <c r="G337"/>
  <c r="F337"/>
  <c r="E337"/>
  <c r="D337"/>
  <c r="G356"/>
  <c r="F356"/>
  <c r="E356"/>
  <c r="D356"/>
  <c r="G271"/>
  <c r="F271"/>
  <c r="E271"/>
  <c r="D271"/>
  <c r="G189"/>
  <c r="F189"/>
  <c r="E189"/>
  <c r="D189"/>
  <c r="G155"/>
  <c r="F155"/>
  <c r="E155"/>
  <c r="D155"/>
  <c r="G71"/>
  <c r="F71"/>
  <c r="E71"/>
  <c r="D71"/>
  <c r="G39"/>
  <c r="F39"/>
  <c r="E39"/>
  <c r="D39"/>
  <c r="F237"/>
  <c r="E237"/>
  <c r="D237"/>
  <c r="G237"/>
  <c r="G267"/>
  <c r="F267"/>
  <c r="E267"/>
  <c r="D267"/>
  <c r="G266"/>
  <c r="F266"/>
  <c r="E266"/>
  <c r="D266"/>
  <c r="G133"/>
  <c r="F133"/>
  <c r="E133"/>
  <c r="G299"/>
  <c r="F299"/>
  <c r="E299"/>
  <c r="G298"/>
  <c r="F298"/>
  <c r="E298"/>
  <c r="D298"/>
  <c r="G268"/>
  <c r="F268"/>
  <c r="E268"/>
  <c r="D268"/>
  <c r="G132"/>
  <c r="F132"/>
  <c r="E132"/>
  <c r="D132"/>
  <c r="G85"/>
  <c r="F85"/>
  <c r="E85"/>
  <c r="D85"/>
  <c r="F353"/>
  <c r="E353"/>
  <c r="D353"/>
  <c r="G353"/>
  <c r="G351"/>
  <c r="F351"/>
  <c r="E351"/>
  <c r="D351"/>
  <c r="G352"/>
  <c r="F352"/>
  <c r="E352"/>
  <c r="D352"/>
  <c r="G300"/>
  <c r="F300"/>
  <c r="E300"/>
  <c r="D300"/>
  <c r="G333"/>
  <c r="F333"/>
  <c r="E333"/>
  <c r="D333"/>
  <c r="G67"/>
  <c r="F67"/>
  <c r="E67"/>
  <c r="D67"/>
  <c r="G312"/>
  <c r="F312"/>
  <c r="E312"/>
  <c r="D312"/>
  <c r="D308"/>
  <c r="G309"/>
  <c r="F309"/>
  <c r="E309"/>
  <c r="D309"/>
  <c r="F143"/>
  <c r="G143"/>
  <c r="E143"/>
  <c r="D143"/>
  <c r="D142"/>
  <c r="D130"/>
  <c r="G183"/>
  <c r="F183"/>
  <c r="E183"/>
  <c r="D183"/>
  <c r="G149"/>
  <c r="F149"/>
  <c r="E149"/>
  <c r="D149"/>
  <c r="G17"/>
  <c r="F17"/>
  <c r="F24"/>
  <c r="F25"/>
  <c r="E17"/>
  <c r="D17"/>
  <c r="D24"/>
  <c r="D25"/>
  <c r="G349"/>
  <c r="F349"/>
  <c r="E349"/>
  <c r="D349"/>
  <c r="G265"/>
  <c r="F265"/>
  <c r="E265"/>
  <c r="D265"/>
  <c r="G231"/>
  <c r="F231"/>
  <c r="E231"/>
  <c r="D231"/>
  <c r="D238"/>
  <c r="G165"/>
  <c r="F165"/>
  <c r="E165"/>
  <c r="D165"/>
  <c r="G82"/>
  <c r="F82"/>
  <c r="E82"/>
  <c r="D82"/>
  <c r="G245"/>
  <c r="F245"/>
  <c r="E245"/>
  <c r="D246"/>
  <c r="G216"/>
  <c r="F216"/>
  <c r="E216"/>
  <c r="D216"/>
  <c r="C15"/>
  <c r="D15"/>
  <c r="E15"/>
  <c r="F15"/>
  <c r="G15"/>
  <c r="D22"/>
  <c r="E22"/>
  <c r="F22"/>
  <c r="G22"/>
  <c r="C24"/>
  <c r="E24"/>
  <c r="E25"/>
  <c r="C31"/>
  <c r="D31"/>
  <c r="E31"/>
  <c r="F31"/>
  <c r="G31"/>
  <c r="D38"/>
  <c r="D40"/>
  <c r="D41"/>
  <c r="E38"/>
  <c r="E40"/>
  <c r="E41"/>
  <c r="F38"/>
  <c r="F40"/>
  <c r="F41"/>
  <c r="G38"/>
  <c r="G40"/>
  <c r="G41"/>
  <c r="C40"/>
  <c r="C41"/>
  <c r="C48"/>
  <c r="D48"/>
  <c r="E48"/>
  <c r="F48"/>
  <c r="G48"/>
  <c r="D54"/>
  <c r="D57"/>
  <c r="D58"/>
  <c r="E54"/>
  <c r="E57"/>
  <c r="E58"/>
  <c r="F54"/>
  <c r="F57"/>
  <c r="F58"/>
  <c r="G54"/>
  <c r="G57"/>
  <c r="G58"/>
  <c r="C57"/>
  <c r="C58"/>
  <c r="C64"/>
  <c r="D64"/>
  <c r="E64"/>
  <c r="F64"/>
  <c r="F73"/>
  <c r="G64"/>
  <c r="D70"/>
  <c r="D72"/>
  <c r="D73"/>
  <c r="E70"/>
  <c r="E72"/>
  <c r="E73"/>
  <c r="F70"/>
  <c r="G70"/>
  <c r="G72"/>
  <c r="G73"/>
  <c r="C72"/>
  <c r="C73"/>
  <c r="F72"/>
  <c r="C80"/>
  <c r="D80"/>
  <c r="E80"/>
  <c r="F80"/>
  <c r="G80"/>
  <c r="D87"/>
  <c r="E87"/>
  <c r="E89"/>
  <c r="E90"/>
  <c r="F87"/>
  <c r="G87"/>
  <c r="G89"/>
  <c r="G90"/>
  <c r="C89"/>
  <c r="F89"/>
  <c r="F90"/>
  <c r="C96"/>
  <c r="D96"/>
  <c r="E96"/>
  <c r="E105"/>
  <c r="F96"/>
  <c r="G96"/>
  <c r="D102"/>
  <c r="D104"/>
  <c r="D105"/>
  <c r="E102"/>
  <c r="F102"/>
  <c r="F104"/>
  <c r="F105"/>
  <c r="G102"/>
  <c r="G104"/>
  <c r="G105"/>
  <c r="C104"/>
  <c r="E104"/>
  <c r="C112"/>
  <c r="D112"/>
  <c r="E112"/>
  <c r="F112"/>
  <c r="G112"/>
  <c r="D118"/>
  <c r="E118"/>
  <c r="E120"/>
  <c r="E121"/>
  <c r="F118"/>
  <c r="G118"/>
  <c r="G120"/>
  <c r="G121"/>
  <c r="C120"/>
  <c r="D120"/>
  <c r="D121"/>
  <c r="F120"/>
  <c r="F121"/>
  <c r="C121"/>
  <c r="C128"/>
  <c r="D128"/>
  <c r="E128"/>
  <c r="F128"/>
  <c r="G128"/>
  <c r="D136"/>
  <c r="E136"/>
  <c r="F136"/>
  <c r="F138"/>
  <c r="F139"/>
  <c r="G136"/>
  <c r="C138"/>
  <c r="C139"/>
  <c r="G138"/>
  <c r="G139"/>
  <c r="C147"/>
  <c r="D147"/>
  <c r="E147"/>
  <c r="E157"/>
  <c r="F147"/>
  <c r="G147"/>
  <c r="G157"/>
  <c r="D154"/>
  <c r="D156"/>
  <c r="E154"/>
  <c r="E156"/>
  <c r="F154"/>
  <c r="G154"/>
  <c r="G156"/>
  <c r="C156"/>
  <c r="C163"/>
  <c r="D163"/>
  <c r="E163"/>
  <c r="F163"/>
  <c r="G163"/>
  <c r="D170"/>
  <c r="D173"/>
  <c r="D174"/>
  <c r="E170"/>
  <c r="F170"/>
  <c r="F173"/>
  <c r="F174"/>
  <c r="G170"/>
  <c r="G173"/>
  <c r="G174"/>
  <c r="C173"/>
  <c r="E173"/>
  <c r="E174"/>
  <c r="C181"/>
  <c r="D181"/>
  <c r="E181"/>
  <c r="F181"/>
  <c r="G181"/>
  <c r="D186"/>
  <c r="D190"/>
  <c r="D191"/>
  <c r="E186"/>
  <c r="F186"/>
  <c r="F190"/>
  <c r="F191"/>
  <c r="G186"/>
  <c r="D188"/>
  <c r="E188"/>
  <c r="F188"/>
  <c r="G188"/>
  <c r="C190"/>
  <c r="C191"/>
  <c r="C197"/>
  <c r="D197"/>
  <c r="E197"/>
  <c r="F197"/>
  <c r="G197"/>
  <c r="D204"/>
  <c r="D206"/>
  <c r="D207"/>
  <c r="E204"/>
  <c r="E206"/>
  <c r="E207"/>
  <c r="F204"/>
  <c r="F206"/>
  <c r="F207"/>
  <c r="G204"/>
  <c r="G206"/>
  <c r="G207"/>
  <c r="C206"/>
  <c r="C207"/>
  <c r="C214"/>
  <c r="D214"/>
  <c r="E214"/>
  <c r="F214"/>
  <c r="G214"/>
  <c r="D220"/>
  <c r="D222"/>
  <c r="E220"/>
  <c r="E222"/>
  <c r="E223"/>
  <c r="F220"/>
  <c r="G220"/>
  <c r="G222"/>
  <c r="G223"/>
  <c r="C222"/>
  <c r="C223"/>
  <c r="F222"/>
  <c r="C229"/>
  <c r="D229"/>
  <c r="E229"/>
  <c r="E239"/>
  <c r="F229"/>
  <c r="G229"/>
  <c r="F238"/>
  <c r="F239"/>
  <c r="G238"/>
  <c r="G239"/>
  <c r="C238"/>
  <c r="E238"/>
  <c r="C246"/>
  <c r="E246"/>
  <c r="F246"/>
  <c r="G246"/>
  <c r="D254"/>
  <c r="D255"/>
  <c r="E254"/>
  <c r="E255"/>
  <c r="G254"/>
  <c r="G255"/>
  <c r="C254"/>
  <c r="F254"/>
  <c r="F255"/>
  <c r="C262"/>
  <c r="D262"/>
  <c r="D273"/>
  <c r="E262"/>
  <c r="F262"/>
  <c r="F273"/>
  <c r="G262"/>
  <c r="D272"/>
  <c r="F272"/>
  <c r="G272"/>
  <c r="C272"/>
  <c r="E272"/>
  <c r="E273"/>
  <c r="C279"/>
  <c r="C287"/>
  <c r="D279"/>
  <c r="D287"/>
  <c r="E279"/>
  <c r="F279"/>
  <c r="F287"/>
  <c r="G279"/>
  <c r="E286"/>
  <c r="G286"/>
  <c r="G287"/>
  <c r="C286"/>
  <c r="D286"/>
  <c r="F286"/>
  <c r="C294"/>
  <c r="D294"/>
  <c r="E294"/>
  <c r="F294"/>
  <c r="G294"/>
  <c r="D302"/>
  <c r="D304"/>
  <c r="D305"/>
  <c r="E302"/>
  <c r="E304"/>
  <c r="E305"/>
  <c r="F302"/>
  <c r="F304"/>
  <c r="F305"/>
  <c r="G302"/>
  <c r="G304"/>
  <c r="G305"/>
  <c r="C304"/>
  <c r="C305"/>
  <c r="C313"/>
  <c r="D313"/>
  <c r="E313"/>
  <c r="F313"/>
  <c r="G313"/>
  <c r="D319"/>
  <c r="D321"/>
  <c r="E319"/>
  <c r="E321"/>
  <c r="E322"/>
  <c r="F319"/>
  <c r="G319"/>
  <c r="G321"/>
  <c r="G322"/>
  <c r="C321"/>
  <c r="C322"/>
  <c r="F321"/>
  <c r="F322"/>
  <c r="C330"/>
  <c r="D330"/>
  <c r="D339"/>
  <c r="E330"/>
  <c r="F330"/>
  <c r="F339"/>
  <c r="G330"/>
  <c r="D338"/>
  <c r="F338"/>
  <c r="C338"/>
  <c r="C339"/>
  <c r="G338"/>
  <c r="G339"/>
  <c r="C347"/>
  <c r="D347"/>
  <c r="E347"/>
  <c r="F347"/>
  <c r="G347"/>
  <c r="D355"/>
  <c r="E355"/>
  <c r="E357"/>
  <c r="E358"/>
  <c r="F355"/>
  <c r="G355"/>
  <c r="G357"/>
  <c r="G358"/>
  <c r="C357"/>
  <c r="C358"/>
  <c r="D357"/>
  <c r="F357"/>
  <c r="F358"/>
  <c r="D358"/>
  <c r="E287"/>
  <c r="C90"/>
  <c r="C255"/>
  <c r="E138"/>
  <c r="E139"/>
  <c r="G24"/>
  <c r="G25"/>
  <c r="C273"/>
  <c r="C239"/>
  <c r="C174"/>
  <c r="C157"/>
  <c r="C105"/>
  <c r="C25"/>
  <c r="F156"/>
  <c r="E338"/>
  <c r="E339"/>
  <c r="G190"/>
  <c r="G191"/>
  <c r="E190"/>
  <c r="E191"/>
  <c r="D89"/>
  <c r="D90"/>
  <c r="D322"/>
  <c r="F157"/>
  <c r="D157"/>
  <c r="D138"/>
  <c r="D139"/>
  <c r="G273"/>
  <c r="F223"/>
  <c r="D223"/>
  <c r="D239"/>
</calcChain>
</file>

<file path=xl/sharedStrings.xml><?xml version="1.0" encoding="utf-8"?>
<sst xmlns="http://schemas.openxmlformats.org/spreadsheetml/2006/main" count="385" uniqueCount="112">
  <si>
    <t>Примерное двухнедельное меню для пришкольного лагеря</t>
  </si>
  <si>
    <t>Возрастная категория:  с 7 до 11 лет</t>
  </si>
  <si>
    <t>№ рецептуры</t>
  </si>
  <si>
    <t>Наименование блюд</t>
  </si>
  <si>
    <t xml:space="preserve">Масса порции </t>
  </si>
  <si>
    <t>Пищевые вещества (г)</t>
  </si>
  <si>
    <t>Белки</t>
  </si>
  <si>
    <t>Жиры</t>
  </si>
  <si>
    <t>Углеводы</t>
  </si>
  <si>
    <t>Ккал</t>
  </si>
  <si>
    <t>1 день</t>
  </si>
  <si>
    <t>Завтрак</t>
  </si>
  <si>
    <t xml:space="preserve">Каша молочная </t>
  </si>
  <si>
    <t>Хлеб пшеничный</t>
  </si>
  <si>
    <t>Бутерброд с маслом сливочным и сыром</t>
  </si>
  <si>
    <t>30/5/15</t>
  </si>
  <si>
    <t>Кофейный напиток с молоком</t>
  </si>
  <si>
    <t>ИТОГО за завтрак:</t>
  </si>
  <si>
    <t>Обед</t>
  </si>
  <si>
    <t>Овощи по - сезону</t>
  </si>
  <si>
    <t>Суп с рыбными консервами</t>
  </si>
  <si>
    <t>Тефтели мясные I вариант</t>
  </si>
  <si>
    <t>60/50</t>
  </si>
  <si>
    <t>Макаронные изделия отварные</t>
  </si>
  <si>
    <t>Хлеб ржаной</t>
  </si>
  <si>
    <t>Сок овощной, фруктовый, ягодный</t>
  </si>
  <si>
    <t>ИТОГО за обед:</t>
  </si>
  <si>
    <t>Итого за весь день:</t>
  </si>
  <si>
    <t>2 день</t>
  </si>
  <si>
    <t>Оладьи из творога со сгущенным молоком</t>
  </si>
  <si>
    <t>150/20</t>
  </si>
  <si>
    <t>Кисломолочный продукт</t>
  </si>
  <si>
    <t>Фрукты свежие</t>
  </si>
  <si>
    <t>Борщ с фасолью и картофелем</t>
  </si>
  <si>
    <t>Рыба тушенная с овощами</t>
  </si>
  <si>
    <t>Каша рассыпчатая</t>
  </si>
  <si>
    <t>Компот из смеси сухофруктов</t>
  </si>
  <si>
    <t xml:space="preserve">      3 день</t>
  </si>
  <si>
    <t>Каша  молочная</t>
  </si>
  <si>
    <t>Какао с молоком</t>
  </si>
  <si>
    <t>Суп картофельный с клецками</t>
  </si>
  <si>
    <t>Котлеты рубленные из птицы</t>
  </si>
  <si>
    <t xml:space="preserve">Капуста тушенная </t>
  </si>
  <si>
    <t>Компот из свежих плодов</t>
  </si>
  <si>
    <t>Кондитерское изделие</t>
  </si>
  <si>
    <t>50</t>
  </si>
  <si>
    <t>4 день</t>
  </si>
  <si>
    <t>Запеканка из творога со сгущенным молоком</t>
  </si>
  <si>
    <t>Чай с сахаром</t>
  </si>
  <si>
    <t>Овощи натуральные свежие</t>
  </si>
  <si>
    <t>Суп картофельный вегетарианский</t>
  </si>
  <si>
    <t>Жаркое по - домашнему</t>
  </si>
  <si>
    <t>50/150</t>
  </si>
  <si>
    <t>5 день</t>
  </si>
  <si>
    <t>Суп картофельный с рыбными фрикадельками</t>
  </si>
  <si>
    <t>Птица тушенная в соусе</t>
  </si>
  <si>
    <t>Картофельное пюре</t>
  </si>
  <si>
    <t>6 день</t>
  </si>
  <si>
    <t>Сырники из творога со сметаной</t>
  </si>
  <si>
    <t>Борщ с картофелем</t>
  </si>
  <si>
    <t>Плов из птицы</t>
  </si>
  <si>
    <t>7 день</t>
  </si>
  <si>
    <t>Макаронные изделия отварные с сыром</t>
  </si>
  <si>
    <t>150/15/5</t>
  </si>
  <si>
    <t>Суп с бобовыми</t>
  </si>
  <si>
    <t>Голубцы ленивые</t>
  </si>
  <si>
    <t>8 день</t>
  </si>
  <si>
    <t xml:space="preserve">   Завтрак</t>
  </si>
  <si>
    <t>Овощи свежие</t>
  </si>
  <si>
    <t>Борщ с капустой и картофелем</t>
  </si>
  <si>
    <t>Котлеты или биточки рыбные</t>
  </si>
  <si>
    <t>Соус томатный с овощами</t>
  </si>
  <si>
    <t>9 день</t>
  </si>
  <si>
    <t>Омлет натуральный</t>
  </si>
  <si>
    <t>Чай с сахаром и лимоном</t>
  </si>
  <si>
    <t>200</t>
  </si>
  <si>
    <t>Бутерброд с джемом или повидлом</t>
  </si>
  <si>
    <t>30/5/20</t>
  </si>
  <si>
    <t>Суп картофельный с макаронными изделиями</t>
  </si>
  <si>
    <t>Гуляш из отварной говядины</t>
  </si>
  <si>
    <t>10 день</t>
  </si>
  <si>
    <t>Оладьи с  яблоками со сгущенным молоком</t>
  </si>
  <si>
    <t xml:space="preserve">Овощи свежие </t>
  </si>
  <si>
    <t>30</t>
  </si>
  <si>
    <t>ИТОГО за обед :</t>
  </si>
  <si>
    <t>11 день</t>
  </si>
  <si>
    <t>100/50</t>
  </si>
  <si>
    <t>12 день</t>
  </si>
  <si>
    <t>Овощи  свежие</t>
  </si>
  <si>
    <t>80/50</t>
  </si>
  <si>
    <t xml:space="preserve">      13 день</t>
  </si>
  <si>
    <t>Птица, тушенная в соусе</t>
  </si>
  <si>
    <t>Картофель отварной</t>
  </si>
  <si>
    <t>14 день</t>
  </si>
  <si>
    <t>15 день</t>
  </si>
  <si>
    <t>Рагу овощное</t>
  </si>
  <si>
    <t>16 день</t>
  </si>
  <si>
    <r>
      <t>Каша молочная</t>
    </r>
    <r>
      <rPr>
        <b/>
        <sz val="8"/>
        <rFont val="Times New Roman"/>
        <family val="1"/>
        <charset val="204"/>
      </rPr>
      <t xml:space="preserve"> </t>
    </r>
  </si>
  <si>
    <t>Суп с макаронными изделиями</t>
  </si>
  <si>
    <t>Шницель рыбный натуральный</t>
  </si>
  <si>
    <t>17 день</t>
  </si>
  <si>
    <t>18 день</t>
  </si>
  <si>
    <t>19 день</t>
  </si>
  <si>
    <t>Суп картофельный с крупой</t>
  </si>
  <si>
    <t>Птица отварная</t>
  </si>
  <si>
    <t>90</t>
  </si>
  <si>
    <t>20 день</t>
  </si>
  <si>
    <t>50/180</t>
  </si>
  <si>
    <t>21 день</t>
  </si>
  <si>
    <t>180</t>
  </si>
  <si>
    <t xml:space="preserve">       Согласовано
Директор муниципального бюджетного образовательного учреждения                                             «                                                           СОШ»
     «___» ___________ 2026 г
</t>
  </si>
  <si>
    <t xml:space="preserve">    Утверждаю
   Индивидульный предприматель                                                                                                              
     «___» ___________ 2026 г
</t>
  </si>
</sst>
</file>

<file path=xl/styles.xml><?xml version="1.0" encoding="utf-8"?>
<styleSheet xmlns="http://schemas.openxmlformats.org/spreadsheetml/2006/main">
  <numFmts count="1">
    <numFmt numFmtId="164" formatCode="_-* #,##0.00_р_._-;\-* #,##0.00_р_._-;_-* \-??_р_._-;_-@_-"/>
  </numFmts>
  <fonts count="10"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34"/>
      </patternFill>
    </fill>
  </fills>
  <borders count="10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164" fontId="1" fillId="0" borderId="0" applyFill="0" applyBorder="0" applyAlignment="0" applyProtection="0"/>
  </cellStyleXfs>
  <cellXfs count="454">
    <xf numFmtId="0" fontId="0" fillId="0" borderId="0" xfId="0"/>
    <xf numFmtId="4" fontId="2" fillId="0" borderId="0" xfId="0" applyNumberFormat="1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2" fillId="0" borderId="4" xfId="4" applyFont="1" applyFill="1" applyBorder="1" applyAlignment="1">
      <alignment horizontal="center" vertical="center"/>
    </xf>
    <xf numFmtId="0" fontId="2" fillId="0" borderId="4" xfId="4" applyFont="1" applyFill="1" applyBorder="1" applyAlignment="1">
      <alignment horizontal="left" vertical="center" wrapText="1"/>
    </xf>
    <xf numFmtId="0" fontId="2" fillId="0" borderId="5" xfId="4" applyFont="1" applyFill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0" fontId="2" fillId="0" borderId="9" xfId="4" applyFont="1" applyFill="1" applyBorder="1" applyAlignment="1">
      <alignment horizontal="center" vertical="center"/>
    </xf>
    <xf numFmtId="0" fontId="2" fillId="0" borderId="10" xfId="2" applyFont="1" applyBorder="1" applyAlignment="1">
      <alignment horizontal="left" vertical="center" wrapText="1"/>
    </xf>
    <xf numFmtId="0" fontId="2" fillId="0" borderId="11" xfId="5" applyFont="1" applyBorder="1" applyAlignment="1">
      <alignment horizontal="center" vertical="center" wrapText="1"/>
    </xf>
    <xf numFmtId="2" fontId="2" fillId="0" borderId="12" xfId="5" applyNumberFormat="1" applyFont="1" applyFill="1" applyBorder="1" applyAlignment="1">
      <alignment horizontal="center" vertical="center" wrapText="1"/>
    </xf>
    <xf numFmtId="2" fontId="2" fillId="0" borderId="13" xfId="5" applyNumberFormat="1" applyFont="1" applyFill="1" applyBorder="1" applyAlignment="1">
      <alignment horizontal="center" vertical="center" wrapText="1"/>
    </xf>
    <xf numFmtId="2" fontId="2" fillId="0" borderId="14" xfId="5" applyNumberFormat="1" applyFont="1" applyFill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wrapText="1"/>
    </xf>
    <xf numFmtId="49" fontId="2" fillId="0" borderId="11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4" fontId="2" fillId="0" borderId="13" xfId="0" applyNumberFormat="1" applyFont="1" applyBorder="1" applyAlignment="1">
      <alignment horizontal="center" vertical="center" wrapText="1"/>
    </xf>
    <xf numFmtId="4" fontId="2" fillId="0" borderId="14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0" fontId="2" fillId="0" borderId="15" xfId="0" applyFont="1" applyBorder="1" applyAlignment="1">
      <alignment horizontal="center" vertical="top" wrapText="1"/>
    </xf>
    <xf numFmtId="4" fontId="2" fillId="0" borderId="16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justify" vertical="top" wrapText="1"/>
    </xf>
    <xf numFmtId="1" fontId="2" fillId="0" borderId="17" xfId="0" applyNumberFormat="1" applyFont="1" applyBorder="1" applyAlignment="1">
      <alignment horizontal="center" vertical="center"/>
    </xf>
    <xf numFmtId="2" fontId="5" fillId="0" borderId="18" xfId="0" applyNumberFormat="1" applyFont="1" applyBorder="1" applyAlignment="1">
      <alignment horizontal="center" vertical="center"/>
    </xf>
    <xf numFmtId="2" fontId="5" fillId="0" borderId="19" xfId="0" applyNumberFormat="1" applyFont="1" applyBorder="1" applyAlignment="1">
      <alignment horizontal="center" vertical="center"/>
    </xf>
    <xf numFmtId="2" fontId="5" fillId="0" borderId="20" xfId="0" applyNumberFormat="1" applyFont="1" applyBorder="1" applyAlignment="1">
      <alignment horizontal="center" vertical="center"/>
    </xf>
    <xf numFmtId="4" fontId="2" fillId="0" borderId="9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5" xfId="0" applyFont="1" applyBorder="1" applyAlignment="1">
      <alignment horizontal="center" vertical="center" wrapText="1"/>
    </xf>
    <xf numFmtId="0" fontId="2" fillId="2" borderId="10" xfId="2" applyNumberFormat="1" applyFont="1" applyFill="1" applyBorder="1" applyAlignment="1">
      <alignment horizontal="center" vertical="center" wrapText="1"/>
    </xf>
    <xf numFmtId="0" fontId="2" fillId="2" borderId="10" xfId="2" applyFont="1" applyFill="1" applyBorder="1" applyAlignment="1">
      <alignment horizontal="left" vertical="top" wrapText="1"/>
    </xf>
    <xf numFmtId="0" fontId="2" fillId="2" borderId="11" xfId="2" applyFont="1" applyFill="1" applyBorder="1" applyAlignment="1">
      <alignment horizontal="center" vertical="center" wrapText="1"/>
    </xf>
    <xf numFmtId="0" fontId="2" fillId="2" borderId="12" xfId="2" applyFont="1" applyFill="1" applyBorder="1" applyAlignment="1">
      <alignment horizontal="center" vertical="top" wrapText="1"/>
    </xf>
    <xf numFmtId="0" fontId="2" fillId="2" borderId="13" xfId="2" applyFont="1" applyFill="1" applyBorder="1" applyAlignment="1">
      <alignment horizontal="center" vertical="top" wrapText="1"/>
    </xf>
    <xf numFmtId="2" fontId="2" fillId="2" borderId="13" xfId="2" applyNumberFormat="1" applyFont="1" applyFill="1" applyBorder="1" applyAlignment="1">
      <alignment horizontal="center" vertical="top" wrapText="1"/>
    </xf>
    <xf numFmtId="2" fontId="2" fillId="2" borderId="14" xfId="2" applyNumberFormat="1" applyFont="1" applyFill="1" applyBorder="1" applyAlignment="1">
      <alignment horizontal="center" vertical="top" wrapText="1"/>
    </xf>
    <xf numFmtId="0" fontId="2" fillId="0" borderId="10" xfId="2" applyFont="1" applyBorder="1" applyAlignment="1">
      <alignment horizontal="center" vertical="center" wrapText="1"/>
    </xf>
    <xf numFmtId="0" fontId="2" fillId="0" borderId="10" xfId="2" applyFont="1" applyBorder="1" applyAlignment="1">
      <alignment vertical="center" wrapText="1"/>
    </xf>
    <xf numFmtId="0" fontId="2" fillId="0" borderId="11" xfId="2" applyFont="1" applyBorder="1" applyAlignment="1">
      <alignment horizontal="center" vertical="center" wrapText="1"/>
    </xf>
    <xf numFmtId="2" fontId="2" fillId="0" borderId="12" xfId="2" applyNumberFormat="1" applyFont="1" applyBorder="1" applyAlignment="1">
      <alignment horizontal="center" vertical="center" wrapText="1"/>
    </xf>
    <xf numFmtId="2" fontId="2" fillId="0" borderId="13" xfId="2" applyNumberFormat="1" applyFont="1" applyBorder="1" applyAlignment="1">
      <alignment horizontal="center" vertical="center" wrapText="1"/>
    </xf>
    <xf numFmtId="2" fontId="2" fillId="0" borderId="14" xfId="2" applyNumberFormat="1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/>
    </xf>
    <xf numFmtId="0" fontId="2" fillId="2" borderId="10" xfId="2" applyFont="1" applyFill="1" applyBorder="1" applyAlignment="1">
      <alignment horizontal="left" vertical="center" wrapText="1"/>
    </xf>
    <xf numFmtId="0" fontId="2" fillId="0" borderId="21" xfId="2" applyFont="1" applyBorder="1" applyAlignment="1">
      <alignment horizontal="center" vertical="center"/>
    </xf>
    <xf numFmtId="0" fontId="2" fillId="0" borderId="21" xfId="2" applyFont="1" applyBorder="1" applyAlignment="1">
      <alignment horizontal="left" vertical="center" wrapText="1"/>
    </xf>
    <xf numFmtId="0" fontId="2" fillId="0" borderId="15" xfId="2" applyFont="1" applyBorder="1" applyAlignment="1">
      <alignment horizontal="center" vertical="center" wrapText="1"/>
    </xf>
    <xf numFmtId="2" fontId="2" fillId="0" borderId="22" xfId="2" applyNumberFormat="1" applyFont="1" applyBorder="1" applyAlignment="1">
      <alignment horizontal="center" vertical="center" wrapText="1"/>
    </xf>
    <xf numFmtId="2" fontId="2" fillId="0" borderId="1" xfId="2" applyNumberFormat="1" applyFont="1" applyBorder="1" applyAlignment="1">
      <alignment horizontal="center" vertical="center" wrapText="1"/>
    </xf>
    <xf numFmtId="2" fontId="2" fillId="0" borderId="2" xfId="2" applyNumberFormat="1" applyFont="1" applyBorder="1" applyAlignment="1">
      <alignment horizontal="center" vertical="center" wrapText="1"/>
    </xf>
    <xf numFmtId="4" fontId="2" fillId="0" borderId="16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4" fontId="5" fillId="0" borderId="18" xfId="0" applyNumberFormat="1" applyFont="1" applyBorder="1" applyAlignment="1">
      <alignment horizontal="center" vertical="center" wrapText="1"/>
    </xf>
    <xf numFmtId="4" fontId="5" fillId="0" borderId="19" xfId="0" applyNumberFormat="1" applyFont="1" applyBorder="1" applyAlignment="1">
      <alignment horizontal="center" vertical="center" wrapText="1"/>
    </xf>
    <xf numFmtId="4" fontId="5" fillId="0" borderId="20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top" wrapText="1"/>
    </xf>
    <xf numFmtId="0" fontId="2" fillId="2" borderId="25" xfId="0" applyNumberFormat="1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center" vertical="top" wrapText="1"/>
    </xf>
    <xf numFmtId="2" fontId="2" fillId="2" borderId="26" xfId="0" applyNumberFormat="1" applyFont="1" applyFill="1" applyBorder="1" applyAlignment="1">
      <alignment horizontal="center" vertical="center" wrapText="1"/>
    </xf>
    <xf numFmtId="2" fontId="2" fillId="2" borderId="27" xfId="0" applyNumberFormat="1" applyFont="1" applyFill="1" applyBorder="1" applyAlignment="1">
      <alignment horizontal="center" vertical="center" wrapText="1"/>
    </xf>
    <xf numFmtId="2" fontId="2" fillId="2" borderId="28" xfId="0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wrapText="1"/>
    </xf>
    <xf numFmtId="0" fontId="2" fillId="0" borderId="11" xfId="0" applyNumberFormat="1" applyFont="1" applyBorder="1" applyAlignment="1">
      <alignment horizontal="center" vertical="center" wrapText="1"/>
    </xf>
    <xf numFmtId="0" fontId="2" fillId="0" borderId="29" xfId="0" applyNumberFormat="1" applyFont="1" applyBorder="1" applyAlignment="1">
      <alignment horizontal="center" vertical="center" wrapText="1"/>
    </xf>
    <xf numFmtId="0" fontId="2" fillId="0" borderId="29" xfId="0" applyFont="1" applyBorder="1" applyAlignment="1">
      <alignment wrapText="1"/>
    </xf>
    <xf numFmtId="0" fontId="2" fillId="0" borderId="15" xfId="0" applyFont="1" applyBorder="1" applyAlignment="1">
      <alignment horizontal="center" wrapText="1"/>
    </xf>
    <xf numFmtId="4" fontId="2" fillId="0" borderId="30" xfId="0" applyNumberFormat="1" applyFont="1" applyBorder="1" applyAlignment="1">
      <alignment horizontal="center" vertical="center" wrapText="1"/>
    </xf>
    <xf numFmtId="4" fontId="2" fillId="0" borderId="31" xfId="0" applyNumberFormat="1" applyFont="1" applyBorder="1" applyAlignment="1">
      <alignment horizontal="center" vertical="center" wrapText="1"/>
    </xf>
    <xf numFmtId="4" fontId="2" fillId="0" borderId="32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center" wrapText="1"/>
    </xf>
    <xf numFmtId="2" fontId="2" fillId="0" borderId="27" xfId="0" applyNumberFormat="1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/>
    </xf>
    <xf numFmtId="0" fontId="2" fillId="0" borderId="33" xfId="2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2" applyNumberFormat="1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top" wrapText="1"/>
    </xf>
    <xf numFmtId="4" fontId="2" fillId="0" borderId="12" xfId="2" applyNumberFormat="1" applyFont="1" applyBorder="1" applyAlignment="1">
      <alignment horizontal="center" vertical="center" wrapText="1"/>
    </xf>
    <xf numFmtId="4" fontId="2" fillId="0" borderId="13" xfId="2" applyNumberFormat="1" applyFont="1" applyBorder="1" applyAlignment="1">
      <alignment horizontal="center" vertical="center" wrapText="1"/>
    </xf>
    <xf numFmtId="4" fontId="2" fillId="0" borderId="14" xfId="2" applyNumberFormat="1" applyFont="1" applyBorder="1" applyAlignment="1">
      <alignment horizontal="center" vertical="center" wrapText="1"/>
    </xf>
    <xf numFmtId="0" fontId="2" fillId="2" borderId="33" xfId="2" applyFont="1" applyFill="1" applyBorder="1" applyAlignment="1">
      <alignment horizontal="left" vertical="center" wrapText="1"/>
    </xf>
    <xf numFmtId="0" fontId="2" fillId="0" borderId="33" xfId="2" applyFont="1" applyBorder="1" applyAlignment="1">
      <alignment vertical="center" wrapText="1"/>
    </xf>
    <xf numFmtId="0" fontId="2" fillId="0" borderId="15" xfId="2" applyFont="1" applyBorder="1" applyAlignment="1">
      <alignment horizontal="center" vertical="center"/>
    </xf>
    <xf numFmtId="4" fontId="2" fillId="0" borderId="34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0" fontId="2" fillId="0" borderId="35" xfId="2" applyFont="1" applyBorder="1" applyAlignment="1">
      <alignment horizontal="center" vertical="center"/>
    </xf>
    <xf numFmtId="0" fontId="2" fillId="0" borderId="29" xfId="2" applyFont="1" applyBorder="1" applyAlignment="1">
      <alignment horizontal="left" vertical="center" wrapText="1"/>
    </xf>
    <xf numFmtId="0" fontId="2" fillId="0" borderId="36" xfId="2" applyFont="1" applyBorder="1" applyAlignment="1">
      <alignment horizontal="center" vertical="center" wrapText="1"/>
    </xf>
    <xf numFmtId="2" fontId="2" fillId="0" borderId="30" xfId="2" applyNumberFormat="1" applyFont="1" applyBorder="1" applyAlignment="1">
      <alignment horizontal="center" vertical="center" wrapText="1"/>
    </xf>
    <xf numFmtId="2" fontId="2" fillId="0" borderId="31" xfId="2" applyNumberFormat="1" applyFont="1" applyBorder="1" applyAlignment="1">
      <alignment horizontal="center" vertical="center" wrapText="1"/>
    </xf>
    <xf numFmtId="2" fontId="2" fillId="0" borderId="32" xfId="2" applyNumberFormat="1" applyFont="1" applyBorder="1" applyAlignment="1">
      <alignment horizontal="center" vertical="center" wrapText="1"/>
    </xf>
    <xf numFmtId="0" fontId="2" fillId="0" borderId="15" xfId="5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wrapText="1"/>
    </xf>
    <xf numFmtId="0" fontId="2" fillId="0" borderId="37" xfId="2" applyFont="1" applyBorder="1" applyAlignment="1">
      <alignment horizontal="center" vertical="center"/>
    </xf>
    <xf numFmtId="0" fontId="2" fillId="0" borderId="25" xfId="2" applyFont="1" applyBorder="1" applyAlignment="1">
      <alignment horizontal="left" vertical="center" wrapText="1"/>
    </xf>
    <xf numFmtId="0" fontId="2" fillId="0" borderId="5" xfId="2" applyFont="1" applyBorder="1" applyAlignment="1">
      <alignment horizontal="center" vertical="center" wrapText="1"/>
    </xf>
    <xf numFmtId="2" fontId="2" fillId="0" borderId="26" xfId="2" applyNumberFormat="1" applyFont="1" applyBorder="1" applyAlignment="1">
      <alignment horizontal="center" vertical="center" wrapText="1"/>
    </xf>
    <xf numFmtId="2" fontId="2" fillId="0" borderId="27" xfId="2" applyNumberFormat="1" applyFont="1" applyBorder="1" applyAlignment="1">
      <alignment horizontal="center" vertical="center" wrapText="1"/>
    </xf>
    <xf numFmtId="2" fontId="2" fillId="0" borderId="28" xfId="2" applyNumberFormat="1" applyFont="1" applyBorder="1" applyAlignment="1">
      <alignment horizontal="center" vertical="center" wrapText="1"/>
    </xf>
    <xf numFmtId="0" fontId="2" fillId="0" borderId="38" xfId="2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 wrapText="1"/>
    </xf>
    <xf numFmtId="4" fontId="2" fillId="0" borderId="22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top" wrapText="1"/>
    </xf>
    <xf numFmtId="0" fontId="6" fillId="0" borderId="39" xfId="0" applyFont="1" applyBorder="1" applyAlignment="1">
      <alignment horizontal="center" vertical="center" wrapText="1"/>
    </xf>
    <xf numFmtId="4" fontId="5" fillId="0" borderId="40" xfId="0" applyNumberFormat="1" applyFont="1" applyBorder="1" applyAlignment="1">
      <alignment horizontal="center" vertical="center" wrapText="1"/>
    </xf>
    <xf numFmtId="4" fontId="5" fillId="0" borderId="41" xfId="0" applyNumberFormat="1" applyFont="1" applyBorder="1" applyAlignment="1">
      <alignment horizontal="center" vertical="center" wrapText="1"/>
    </xf>
    <xf numFmtId="4" fontId="5" fillId="0" borderId="42" xfId="0" applyNumberFormat="1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left" vertical="top" wrapText="1"/>
    </xf>
    <xf numFmtId="4" fontId="2" fillId="0" borderId="44" xfId="0" applyNumberFormat="1" applyFont="1" applyBorder="1" applyAlignment="1">
      <alignment horizontal="center" vertical="center" wrapText="1"/>
    </xf>
    <xf numFmtId="0" fontId="2" fillId="0" borderId="33" xfId="0" applyFont="1" applyBorder="1" applyAlignment="1">
      <alignment horizontal="left" wrapText="1"/>
    </xf>
    <xf numFmtId="4" fontId="2" fillId="0" borderId="45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0" fontId="2" fillId="0" borderId="46" xfId="0" applyFont="1" applyBorder="1" applyAlignment="1">
      <alignment wrapText="1"/>
    </xf>
    <xf numFmtId="2" fontId="6" fillId="0" borderId="47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4" fontId="5" fillId="0" borderId="48" xfId="0" applyNumberFormat="1" applyFont="1" applyBorder="1" applyAlignment="1">
      <alignment horizontal="center" vertical="center" wrapText="1"/>
    </xf>
    <xf numFmtId="4" fontId="5" fillId="0" borderId="49" xfId="0" applyNumberFormat="1" applyFont="1" applyBorder="1" applyAlignment="1">
      <alignment horizontal="center" vertical="center" wrapText="1"/>
    </xf>
    <xf numFmtId="4" fontId="5" fillId="0" borderId="50" xfId="0" applyNumberFormat="1" applyFont="1" applyBorder="1" applyAlignment="1">
      <alignment horizontal="center" vertical="center" wrapText="1"/>
    </xf>
    <xf numFmtId="4" fontId="2" fillId="0" borderId="51" xfId="0" applyNumberFormat="1" applyFont="1" applyBorder="1" applyAlignment="1">
      <alignment horizontal="center" vertical="center" wrapText="1"/>
    </xf>
    <xf numFmtId="0" fontId="2" fillId="0" borderId="52" xfId="0" applyFont="1" applyBorder="1" applyAlignment="1">
      <alignment vertical="top" wrapText="1"/>
    </xf>
    <xf numFmtId="0" fontId="2" fillId="0" borderId="33" xfId="0" applyFont="1" applyBorder="1"/>
    <xf numFmtId="2" fontId="2" fillId="0" borderId="12" xfId="0" applyNumberFormat="1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2" fontId="2" fillId="0" borderId="14" xfId="0" applyNumberFormat="1" applyFont="1" applyBorder="1" applyAlignment="1">
      <alignment horizontal="center" wrapText="1"/>
    </xf>
    <xf numFmtId="0" fontId="2" fillId="0" borderId="33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34" xfId="0" applyFont="1" applyBorder="1" applyAlignment="1">
      <alignment horizontal="justify" vertical="top" wrapText="1"/>
    </xf>
    <xf numFmtId="0" fontId="6" fillId="0" borderId="34" xfId="0" applyFont="1" applyBorder="1" applyAlignment="1">
      <alignment horizontal="center" vertical="center" wrapText="1"/>
    </xf>
    <xf numFmtId="4" fontId="5" fillId="0" borderId="53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2" fontId="2" fillId="0" borderId="6" xfId="4" applyNumberFormat="1" applyFont="1" applyFill="1" applyBorder="1" applyAlignment="1">
      <alignment horizontal="center" vertical="center" wrapText="1"/>
    </xf>
    <xf numFmtId="2" fontId="2" fillId="0" borderId="7" xfId="4" applyNumberFormat="1" applyFont="1" applyFill="1" applyBorder="1" applyAlignment="1">
      <alignment horizontal="center" vertical="center" wrapText="1"/>
    </xf>
    <xf numFmtId="2" fontId="2" fillId="0" borderId="8" xfId="4" applyNumberFormat="1" applyFont="1" applyFill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top" wrapText="1"/>
    </xf>
    <xf numFmtId="0" fontId="2" fillId="0" borderId="21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wrapText="1"/>
    </xf>
    <xf numFmtId="49" fontId="2" fillId="0" borderId="15" xfId="0" applyNumberFormat="1" applyFont="1" applyBorder="1" applyAlignment="1">
      <alignment horizontal="center" vertical="center" wrapText="1"/>
    </xf>
    <xf numFmtId="0" fontId="2" fillId="0" borderId="10" xfId="0" applyFont="1" applyBorder="1"/>
    <xf numFmtId="0" fontId="2" fillId="2" borderId="11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top" wrapText="1"/>
    </xf>
    <xf numFmtId="0" fontId="2" fillId="0" borderId="39" xfId="0" applyFont="1" applyBorder="1" applyAlignment="1">
      <alignment horizontal="center" vertical="center" wrapText="1"/>
    </xf>
    <xf numFmtId="4" fontId="5" fillId="0" borderId="54" xfId="0" applyNumberFormat="1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2" fillId="0" borderId="10" xfId="2" applyNumberFormat="1" applyFont="1" applyBorder="1" applyAlignment="1">
      <alignment horizontal="center" vertical="center" wrapText="1"/>
    </xf>
    <xf numFmtId="0" fontId="2" fillId="0" borderId="45" xfId="2" applyFont="1" applyBorder="1" applyAlignment="1">
      <alignment horizontal="center" vertical="center" wrapText="1"/>
    </xf>
    <xf numFmtId="0" fontId="2" fillId="0" borderId="13" xfId="2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wrapText="1"/>
    </xf>
    <xf numFmtId="0" fontId="2" fillId="0" borderId="10" xfId="5" applyFont="1" applyBorder="1" applyAlignment="1">
      <alignment horizontal="center" vertical="center" wrapText="1"/>
    </xf>
    <xf numFmtId="2" fontId="2" fillId="0" borderId="45" xfId="5" applyNumberFormat="1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justify" vertical="top" wrapText="1"/>
    </xf>
    <xf numFmtId="0" fontId="2" fillId="0" borderId="21" xfId="0" applyFont="1" applyBorder="1" applyAlignment="1">
      <alignment horizontal="center" vertical="center" wrapText="1"/>
    </xf>
    <xf numFmtId="4" fontId="2" fillId="0" borderId="47" xfId="0" applyNumberFormat="1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/>
    </xf>
    <xf numFmtId="0" fontId="2" fillId="0" borderId="4" xfId="2" applyFont="1" applyBorder="1" applyAlignment="1">
      <alignment horizontal="left" vertical="center" wrapText="1"/>
    </xf>
    <xf numFmtId="2" fontId="2" fillId="2" borderId="6" xfId="2" applyNumberFormat="1" applyFont="1" applyFill="1" applyBorder="1" applyAlignment="1">
      <alignment horizontal="center" vertical="center" wrapText="1"/>
    </xf>
    <xf numFmtId="2" fontId="2" fillId="2" borderId="7" xfId="2" applyNumberFormat="1" applyFont="1" applyFill="1" applyBorder="1" applyAlignment="1">
      <alignment horizontal="center" vertical="center" wrapText="1"/>
    </xf>
    <xf numFmtId="2" fontId="2" fillId="2" borderId="8" xfId="2" applyNumberFormat="1" applyFont="1" applyFill="1" applyBorder="1" applyAlignment="1">
      <alignment horizontal="center" vertical="center" wrapText="1"/>
    </xf>
    <xf numFmtId="0" fontId="2" fillId="0" borderId="29" xfId="2" applyFont="1" applyBorder="1" applyAlignment="1">
      <alignment horizontal="center" vertical="center"/>
    </xf>
    <xf numFmtId="2" fontId="2" fillId="0" borderId="12" xfId="2" applyNumberFormat="1" applyFont="1" applyFill="1" applyBorder="1" applyAlignment="1">
      <alignment horizontal="center" vertical="center" wrapText="1"/>
    </xf>
    <xf numFmtId="2" fontId="2" fillId="0" borderId="13" xfId="2" applyNumberFormat="1" applyFont="1" applyFill="1" applyBorder="1" applyAlignment="1">
      <alignment horizontal="center" vertical="center" wrapText="1"/>
    </xf>
    <xf numFmtId="2" fontId="2" fillId="0" borderId="14" xfId="2" applyNumberFormat="1" applyFont="1" applyFill="1" applyBorder="1" applyAlignment="1">
      <alignment horizontal="center" vertical="center" wrapText="1"/>
    </xf>
    <xf numFmtId="2" fontId="2" fillId="0" borderId="30" xfId="0" applyNumberFormat="1" applyFont="1" applyBorder="1" applyAlignment="1">
      <alignment horizontal="center" vertical="center" wrapText="1"/>
    </xf>
    <xf numFmtId="2" fontId="2" fillId="0" borderId="31" xfId="0" applyNumberFormat="1" applyFont="1" applyBorder="1" applyAlignment="1">
      <alignment horizontal="center" vertical="center" wrapText="1"/>
    </xf>
    <xf numFmtId="2" fontId="2" fillId="0" borderId="32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51" xfId="0" applyFont="1" applyBorder="1"/>
    <xf numFmtId="0" fontId="2" fillId="0" borderId="55" xfId="0" applyFont="1" applyBorder="1" applyAlignment="1">
      <alignment horizontal="center" vertical="center" wrapText="1"/>
    </xf>
    <xf numFmtId="4" fontId="2" fillId="0" borderId="55" xfId="0" applyNumberFormat="1" applyFont="1" applyBorder="1" applyAlignment="1">
      <alignment horizontal="center" vertical="center" wrapText="1"/>
    </xf>
    <xf numFmtId="4" fontId="2" fillId="0" borderId="56" xfId="0" applyNumberFormat="1" applyFont="1" applyBorder="1" applyAlignment="1">
      <alignment horizontal="center" vertical="center" wrapText="1"/>
    </xf>
    <xf numFmtId="0" fontId="2" fillId="0" borderId="4" xfId="2" applyNumberFormat="1" applyFont="1" applyBorder="1" applyAlignment="1">
      <alignment horizontal="center" vertical="center" wrapText="1"/>
    </xf>
    <xf numFmtId="0" fontId="2" fillId="0" borderId="4" xfId="2" applyFont="1" applyBorder="1" applyAlignment="1">
      <alignment horizontal="left" vertical="top" wrapText="1"/>
    </xf>
    <xf numFmtId="0" fontId="2" fillId="0" borderId="6" xfId="2" applyFont="1" applyBorder="1" applyAlignment="1">
      <alignment horizontal="center" vertical="top" wrapText="1"/>
    </xf>
    <xf numFmtId="0" fontId="2" fillId="0" borderId="7" xfId="2" applyFont="1" applyBorder="1" applyAlignment="1">
      <alignment horizontal="center" vertical="top" wrapText="1"/>
    </xf>
    <xf numFmtId="2" fontId="2" fillId="0" borderId="7" xfId="2" applyNumberFormat="1" applyFont="1" applyBorder="1" applyAlignment="1">
      <alignment horizontal="center" vertical="top" wrapText="1"/>
    </xf>
    <xf numFmtId="2" fontId="2" fillId="0" borderId="8" xfId="2" applyNumberFormat="1" applyFont="1" applyBorder="1" applyAlignment="1">
      <alignment horizontal="center" vertical="top" wrapText="1"/>
    </xf>
    <xf numFmtId="0" fontId="2" fillId="0" borderId="10" xfId="2" applyFont="1" applyFill="1" applyBorder="1" applyAlignment="1">
      <alignment horizontal="center" vertical="center"/>
    </xf>
    <xf numFmtId="0" fontId="2" fillId="0" borderId="10" xfId="2" applyFont="1" applyFill="1" applyBorder="1" applyAlignment="1">
      <alignment horizontal="left" vertical="center" wrapText="1"/>
    </xf>
    <xf numFmtId="0" fontId="2" fillId="0" borderId="11" xfId="2" applyFont="1" applyFill="1" applyBorder="1" applyAlignment="1">
      <alignment horizontal="center" vertical="center" wrapText="1"/>
    </xf>
    <xf numFmtId="4" fontId="5" fillId="0" borderId="57" xfId="0" applyNumberFormat="1" applyFont="1" applyBorder="1" applyAlignment="1">
      <alignment horizontal="center" vertical="center" wrapText="1"/>
    </xf>
    <xf numFmtId="4" fontId="5" fillId="0" borderId="55" xfId="0" applyNumberFormat="1" applyFont="1" applyBorder="1" applyAlignment="1">
      <alignment horizontal="center" vertical="center" wrapText="1"/>
    </xf>
    <xf numFmtId="4" fontId="5" fillId="0" borderId="56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3" fillId="0" borderId="0" xfId="0" applyFont="1" applyBorder="1"/>
    <xf numFmtId="1" fontId="2" fillId="0" borderId="5" xfId="4" applyNumberFormat="1" applyFont="1" applyFill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1" fontId="2" fillId="0" borderId="11" xfId="5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1" fontId="2" fillId="0" borderId="36" xfId="5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justify" vertical="center" wrapText="1"/>
    </xf>
    <xf numFmtId="1" fontId="2" fillId="0" borderId="2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4" xfId="0" applyFont="1" applyBorder="1" applyAlignment="1">
      <alignment vertical="top" wrapText="1"/>
    </xf>
    <xf numFmtId="2" fontId="2" fillId="0" borderId="6" xfId="0" applyNumberFormat="1" applyFont="1" applyBorder="1" applyAlignment="1">
      <alignment horizontal="center" wrapText="1"/>
    </xf>
    <xf numFmtId="2" fontId="2" fillId="0" borderId="7" xfId="0" applyNumberFormat="1" applyFont="1" applyBorder="1" applyAlignment="1">
      <alignment horizontal="center" wrapText="1"/>
    </xf>
    <xf numFmtId="2" fontId="2" fillId="0" borderId="8" xfId="0" applyNumberFormat="1" applyFont="1" applyBorder="1" applyAlignment="1">
      <alignment horizontal="center" wrapText="1"/>
    </xf>
    <xf numFmtId="2" fontId="2" fillId="0" borderId="26" xfId="2" applyNumberFormat="1" applyFont="1" applyFill="1" applyBorder="1" applyAlignment="1">
      <alignment horizontal="center" vertical="center" wrapText="1"/>
    </xf>
    <xf numFmtId="2" fontId="2" fillId="0" borderId="27" xfId="2" applyNumberFormat="1" applyFont="1" applyFill="1" applyBorder="1" applyAlignment="1">
      <alignment horizontal="center" vertical="center" wrapText="1"/>
    </xf>
    <xf numFmtId="2" fontId="2" fillId="0" borderId="28" xfId="2" applyNumberFormat="1" applyFont="1" applyFill="1" applyBorder="1" applyAlignment="1">
      <alignment horizontal="center" vertical="center" wrapText="1"/>
    </xf>
    <xf numFmtId="4" fontId="2" fillId="0" borderId="26" xfId="0" applyNumberFormat="1" applyFont="1" applyBorder="1" applyAlignment="1">
      <alignment horizontal="center" vertical="center" wrapText="1"/>
    </xf>
    <xf numFmtId="4" fontId="2" fillId="0" borderId="27" xfId="0" applyNumberFormat="1" applyFont="1" applyBorder="1" applyAlignment="1">
      <alignment horizontal="center" vertical="center" wrapText="1"/>
    </xf>
    <xf numFmtId="4" fontId="2" fillId="0" borderId="28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vertical="top" wrapText="1"/>
    </xf>
    <xf numFmtId="0" fontId="2" fillId="0" borderId="58" xfId="0" applyFont="1" applyBorder="1" applyAlignment="1">
      <alignment horizontal="center" vertical="top" wrapText="1"/>
    </xf>
    <xf numFmtId="0" fontId="2" fillId="0" borderId="35" xfId="2" applyFont="1" applyFill="1" applyBorder="1" applyAlignment="1">
      <alignment horizontal="center" vertical="center"/>
    </xf>
    <xf numFmtId="0" fontId="2" fillId="0" borderId="29" xfId="2" applyFont="1" applyFill="1" applyBorder="1" applyAlignment="1">
      <alignment horizontal="left" vertical="center" wrapText="1"/>
    </xf>
    <xf numFmtId="49" fontId="2" fillId="0" borderId="36" xfId="2" applyNumberFormat="1" applyFont="1" applyFill="1" applyBorder="1" applyAlignment="1">
      <alignment horizontal="center" vertical="center" wrapText="1"/>
    </xf>
    <xf numFmtId="2" fontId="2" fillId="0" borderId="30" xfId="2" applyNumberFormat="1" applyFont="1" applyFill="1" applyBorder="1" applyAlignment="1">
      <alignment horizontal="center" vertical="center" wrapText="1"/>
    </xf>
    <xf numFmtId="2" fontId="2" fillId="0" borderId="31" xfId="2" applyNumberFormat="1" applyFont="1" applyFill="1" applyBorder="1" applyAlignment="1">
      <alignment horizontal="center" vertical="center" wrapText="1"/>
    </xf>
    <xf numFmtId="2" fontId="2" fillId="0" borderId="32" xfId="2" applyNumberFormat="1" applyFont="1" applyFill="1" applyBorder="1" applyAlignment="1">
      <alignment horizontal="center" vertical="center" wrapText="1"/>
    </xf>
    <xf numFmtId="0" fontId="2" fillId="0" borderId="21" xfId="0" applyFont="1" applyBorder="1" applyAlignment="1">
      <alignment vertical="center" wrapText="1"/>
    </xf>
    <xf numFmtId="4" fontId="2" fillId="0" borderId="30" xfId="0" applyNumberFormat="1" applyFont="1" applyBorder="1" applyAlignment="1">
      <alignment horizontal="center" vertical="top" wrapText="1"/>
    </xf>
    <xf numFmtId="4" fontId="2" fillId="0" borderId="31" xfId="0" applyNumberFormat="1" applyFont="1" applyBorder="1" applyAlignment="1">
      <alignment horizontal="center" vertical="top" wrapText="1"/>
    </xf>
    <xf numFmtId="4" fontId="2" fillId="0" borderId="32" xfId="0" applyNumberFormat="1" applyFont="1" applyBorder="1" applyAlignment="1">
      <alignment horizontal="center" vertical="top" wrapText="1"/>
    </xf>
    <xf numFmtId="49" fontId="2" fillId="0" borderId="17" xfId="0" applyNumberFormat="1" applyFont="1" applyBorder="1" applyAlignment="1">
      <alignment horizontal="center" vertical="top" wrapText="1"/>
    </xf>
    <xf numFmtId="0" fontId="2" fillId="0" borderId="25" xfId="2" applyFont="1" applyFill="1" applyBorder="1" applyAlignment="1">
      <alignment horizontal="center" vertical="center"/>
    </xf>
    <xf numFmtId="0" fontId="2" fillId="2" borderId="10" xfId="2" applyFont="1" applyFill="1" applyBorder="1" applyAlignment="1">
      <alignment vertical="center" wrapText="1"/>
    </xf>
    <xf numFmtId="0" fontId="2" fillId="0" borderId="36" xfId="0" applyNumberFormat="1" applyFont="1" applyBorder="1" applyAlignment="1">
      <alignment horizontal="center" vertical="center" wrapText="1"/>
    </xf>
    <xf numFmtId="0" fontId="2" fillId="0" borderId="46" xfId="2" applyFont="1" applyBorder="1" applyAlignment="1">
      <alignment vertical="center" wrapText="1"/>
    </xf>
    <xf numFmtId="4" fontId="2" fillId="0" borderId="17" xfId="0" applyNumberFormat="1" applyFont="1" applyBorder="1" applyAlignment="1">
      <alignment horizontal="center" vertical="center" wrapText="1"/>
    </xf>
    <xf numFmtId="0" fontId="2" fillId="0" borderId="59" xfId="0" applyFont="1" applyBorder="1" applyAlignment="1">
      <alignment horizontal="justify" vertical="center" wrapText="1"/>
    </xf>
    <xf numFmtId="49" fontId="2" fillId="0" borderId="17" xfId="0" applyNumberFormat="1" applyFont="1" applyBorder="1" applyAlignment="1">
      <alignment horizontal="center" vertical="center" wrapText="1"/>
    </xf>
    <xf numFmtId="4" fontId="2" fillId="0" borderId="16" xfId="0" applyNumberFormat="1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wrapText="1"/>
    </xf>
    <xf numFmtId="0" fontId="2" fillId="2" borderId="5" xfId="0" applyFont="1" applyFill="1" applyBorder="1" applyAlignment="1">
      <alignment horizontal="center" wrapText="1"/>
    </xf>
    <xf numFmtId="0" fontId="2" fillId="0" borderId="29" xfId="0" applyNumberFormat="1" applyFont="1" applyBorder="1" applyAlignment="1">
      <alignment horizontal="center" vertical="top" wrapText="1"/>
    </xf>
    <xf numFmtId="0" fontId="2" fillId="0" borderId="29" xfId="0" applyFont="1" applyBorder="1" applyAlignment="1">
      <alignment vertical="top" wrapText="1"/>
    </xf>
    <xf numFmtId="0" fontId="2" fillId="0" borderId="36" xfId="0" applyFont="1" applyBorder="1" applyAlignment="1">
      <alignment horizontal="center" vertical="center" wrapText="1"/>
    </xf>
    <xf numFmtId="0" fontId="2" fillId="0" borderId="11" xfId="2" applyFont="1" applyBorder="1" applyAlignment="1">
      <alignment vertical="center" wrapText="1"/>
    </xf>
    <xf numFmtId="0" fontId="2" fillId="2" borderId="11" xfId="2" applyFont="1" applyFill="1" applyBorder="1" applyAlignment="1">
      <alignment horizontal="left" vertical="center" wrapText="1"/>
    </xf>
    <xf numFmtId="0" fontId="2" fillId="0" borderId="60" xfId="5" applyFont="1" applyBorder="1" applyAlignment="1">
      <alignment horizontal="center" vertical="center" wrapText="1"/>
    </xf>
    <xf numFmtId="0" fontId="2" fillId="0" borderId="61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center" vertical="center"/>
    </xf>
    <xf numFmtId="2" fontId="6" fillId="0" borderId="13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wrapText="1"/>
    </xf>
    <xf numFmtId="0" fontId="2" fillId="0" borderId="4" xfId="0" applyFont="1" applyBorder="1" applyAlignment="1">
      <alignment horizontal="left" vertical="top" wrapText="1"/>
    </xf>
    <xf numFmtId="0" fontId="2" fillId="0" borderId="10" xfId="2" applyFont="1" applyBorder="1" applyAlignment="1">
      <alignment horizontal="center" wrapText="1"/>
    </xf>
    <xf numFmtId="0" fontId="2" fillId="0" borderId="9" xfId="0" applyFont="1" applyBorder="1" applyAlignment="1">
      <alignment horizontal="justify" vertical="top" wrapText="1"/>
    </xf>
    <xf numFmtId="0" fontId="2" fillId="0" borderId="2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wrapText="1"/>
    </xf>
    <xf numFmtId="4" fontId="2" fillId="0" borderId="24" xfId="0" applyNumberFormat="1" applyFont="1" applyBorder="1" applyAlignment="1">
      <alignment horizontal="center" vertical="center" wrapText="1"/>
    </xf>
    <xf numFmtId="0" fontId="2" fillId="0" borderId="61" xfId="0" applyFont="1" applyBorder="1" applyAlignment="1">
      <alignment horizontal="justify" vertical="top" wrapText="1"/>
    </xf>
    <xf numFmtId="0" fontId="6" fillId="0" borderId="17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left" vertical="top" wrapText="1"/>
    </xf>
    <xf numFmtId="0" fontId="2" fillId="2" borderId="62" xfId="2" applyFont="1" applyFill="1" applyBorder="1" applyAlignment="1">
      <alignment horizontal="center" vertical="center"/>
    </xf>
    <xf numFmtId="0" fontId="2" fillId="2" borderId="4" xfId="2" applyFont="1" applyFill="1" applyBorder="1" applyAlignment="1">
      <alignment horizontal="left" vertical="center" wrapText="1"/>
    </xf>
    <xf numFmtId="0" fontId="2" fillId="2" borderId="5" xfId="2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justify" vertical="top" wrapText="1"/>
    </xf>
    <xf numFmtId="0" fontId="2" fillId="2" borderId="4" xfId="2" applyFont="1" applyFill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1" xfId="2" applyFont="1" applyBorder="1" applyAlignment="1">
      <alignment horizontal="center" vertical="center" wrapText="1"/>
    </xf>
    <xf numFmtId="0" fontId="2" fillId="0" borderId="10" xfId="2" applyFont="1" applyFill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top" wrapText="1"/>
    </xf>
    <xf numFmtId="0" fontId="2" fillId="0" borderId="4" xfId="2" applyFont="1" applyFill="1" applyBorder="1" applyAlignment="1">
      <alignment horizontal="center" vertical="center"/>
    </xf>
    <xf numFmtId="0" fontId="2" fillId="0" borderId="5" xfId="2" applyFont="1" applyFill="1" applyBorder="1" applyAlignment="1">
      <alignment horizontal="left" vertical="center" wrapText="1"/>
    </xf>
    <xf numFmtId="2" fontId="2" fillId="0" borderId="6" xfId="2" applyNumberFormat="1" applyFont="1" applyBorder="1" applyAlignment="1">
      <alignment horizontal="center" vertical="center" wrapText="1"/>
    </xf>
    <xf numFmtId="2" fontId="2" fillId="0" borderId="7" xfId="2" applyNumberFormat="1" applyFont="1" applyBorder="1" applyAlignment="1">
      <alignment horizontal="center" vertical="center" wrapText="1"/>
    </xf>
    <xf numFmtId="2" fontId="2" fillId="0" borderId="8" xfId="2" applyNumberFormat="1" applyFont="1" applyBorder="1" applyAlignment="1">
      <alignment horizontal="center" vertical="center" wrapText="1"/>
    </xf>
    <xf numFmtId="0" fontId="2" fillId="2" borderId="60" xfId="0" applyFont="1" applyFill="1" applyBorder="1" applyAlignment="1">
      <alignment horizontal="left" vertical="top" wrapText="1"/>
    </xf>
    <xf numFmtId="0" fontId="2" fillId="2" borderId="60" xfId="2" applyFont="1" applyFill="1" applyBorder="1" applyAlignment="1">
      <alignment horizontal="left" vertical="center" wrapText="1"/>
    </xf>
    <xf numFmtId="0" fontId="2" fillId="0" borderId="63" xfId="2" applyFont="1" applyBorder="1" applyAlignment="1">
      <alignment vertical="center" wrapText="1"/>
    </xf>
    <xf numFmtId="0" fontId="2" fillId="0" borderId="15" xfId="0" applyFont="1" applyBorder="1" applyAlignment="1">
      <alignment horizontal="justify" vertical="top" wrapText="1"/>
    </xf>
    <xf numFmtId="49" fontId="2" fillId="0" borderId="39" xfId="0" applyNumberFormat="1" applyFont="1" applyBorder="1" applyAlignment="1">
      <alignment horizontal="center" vertical="center" wrapText="1"/>
    </xf>
    <xf numFmtId="49" fontId="2" fillId="0" borderId="36" xfId="2" applyNumberFormat="1" applyFont="1" applyBorder="1" applyAlignment="1">
      <alignment horizontal="center" vertical="center" wrapText="1"/>
    </xf>
    <xf numFmtId="0" fontId="2" fillId="0" borderId="43" xfId="0" applyFont="1" applyBorder="1" applyAlignment="1">
      <alignment vertical="center" wrapText="1"/>
    </xf>
    <xf numFmtId="0" fontId="2" fillId="0" borderId="33" xfId="0" applyFont="1" applyBorder="1" applyAlignment="1">
      <alignment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49" fontId="2" fillId="0" borderId="36" xfId="0" applyNumberFormat="1" applyFont="1" applyBorder="1" applyAlignment="1">
      <alignment horizontal="center" vertical="top" wrapText="1"/>
    </xf>
    <xf numFmtId="0" fontId="2" fillId="0" borderId="64" xfId="2" applyFont="1" applyBorder="1" applyAlignment="1">
      <alignment horizontal="center" vertical="center"/>
    </xf>
    <xf numFmtId="0" fontId="2" fillId="0" borderId="64" xfId="2" applyFont="1" applyBorder="1" applyAlignment="1">
      <alignment horizontal="center" vertical="center" wrapText="1"/>
    </xf>
    <xf numFmtId="0" fontId="2" fillId="2" borderId="10" xfId="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2" fillId="2" borderId="65" xfId="2" applyFont="1" applyFill="1" applyBorder="1" applyAlignment="1">
      <alignment horizontal="center" vertical="top" wrapText="1"/>
    </xf>
    <xf numFmtId="2" fontId="2" fillId="2" borderId="66" xfId="2" applyNumberFormat="1" applyFont="1" applyFill="1" applyBorder="1" applyAlignment="1">
      <alignment horizontal="center" vertical="top" wrapText="1"/>
    </xf>
    <xf numFmtId="2" fontId="2" fillId="0" borderId="65" xfId="2" applyNumberFormat="1" applyFont="1" applyBorder="1" applyAlignment="1">
      <alignment horizontal="center" vertical="center" wrapText="1"/>
    </xf>
    <xf numFmtId="2" fontId="2" fillId="0" borderId="66" xfId="2" applyNumberFormat="1" applyFont="1" applyBorder="1" applyAlignment="1">
      <alignment horizontal="center" vertical="center" wrapText="1"/>
    </xf>
    <xf numFmtId="2" fontId="6" fillId="0" borderId="65" xfId="0" applyNumberFormat="1" applyFont="1" applyBorder="1" applyAlignment="1">
      <alignment horizontal="center" vertical="center"/>
    </xf>
    <xf numFmtId="2" fontId="6" fillId="0" borderId="66" xfId="0" applyNumberFormat="1" applyFont="1" applyBorder="1" applyAlignment="1">
      <alignment horizontal="center" vertical="center"/>
    </xf>
    <xf numFmtId="2" fontId="2" fillId="0" borderId="65" xfId="5" applyNumberFormat="1" applyFont="1" applyFill="1" applyBorder="1" applyAlignment="1">
      <alignment horizontal="center" vertical="center" wrapText="1"/>
    </xf>
    <xf numFmtId="2" fontId="2" fillId="0" borderId="66" xfId="5" applyNumberFormat="1" applyFont="1" applyFill="1" applyBorder="1" applyAlignment="1">
      <alignment horizontal="center" vertical="center" wrapText="1"/>
    </xf>
    <xf numFmtId="4" fontId="2" fillId="0" borderId="12" xfId="0" applyNumberFormat="1" applyFont="1" applyFill="1" applyBorder="1" applyAlignment="1">
      <alignment horizontal="center" vertical="center" wrapText="1"/>
    </xf>
    <xf numFmtId="4" fontId="2" fillId="0" borderId="13" xfId="0" applyNumberFormat="1" applyFont="1" applyFill="1" applyBorder="1" applyAlignment="1">
      <alignment horizontal="center" vertical="center" wrapText="1"/>
    </xf>
    <xf numFmtId="4" fontId="2" fillId="0" borderId="14" xfId="0" applyNumberFormat="1" applyFont="1" applyFill="1" applyBorder="1" applyAlignment="1">
      <alignment horizontal="center" vertical="center" wrapText="1"/>
    </xf>
    <xf numFmtId="0" fontId="2" fillId="2" borderId="67" xfId="0" applyFont="1" applyFill="1" applyBorder="1" applyAlignment="1">
      <alignment horizontal="center" vertical="top" wrapText="1"/>
    </xf>
    <xf numFmtId="0" fontId="2" fillId="2" borderId="68" xfId="0" applyFont="1" applyFill="1" applyBorder="1" applyAlignment="1">
      <alignment horizontal="center" wrapText="1"/>
    </xf>
    <xf numFmtId="0" fontId="2" fillId="0" borderId="69" xfId="0" applyFont="1" applyBorder="1" applyAlignment="1">
      <alignment horizontal="center" wrapText="1"/>
    </xf>
    <xf numFmtId="0" fontId="2" fillId="0" borderId="70" xfId="0" applyFont="1" applyBorder="1" applyAlignment="1">
      <alignment horizontal="center" vertical="center" wrapText="1"/>
    </xf>
    <xf numFmtId="2" fontId="2" fillId="0" borderId="71" xfId="0" applyNumberFormat="1" applyFont="1" applyBorder="1" applyAlignment="1">
      <alignment horizontal="center" vertical="center" wrapText="1"/>
    </xf>
    <xf numFmtId="0" fontId="2" fillId="0" borderId="72" xfId="0" applyFont="1" applyBorder="1" applyAlignment="1">
      <alignment horizontal="center" vertical="center" wrapText="1"/>
    </xf>
    <xf numFmtId="4" fontId="2" fillId="0" borderId="65" xfId="0" applyNumberFormat="1" applyFont="1" applyBorder="1" applyAlignment="1">
      <alignment horizontal="center" vertical="center" wrapText="1"/>
    </xf>
    <xf numFmtId="4" fontId="2" fillId="0" borderId="66" xfId="0" applyNumberFormat="1" applyFont="1" applyBorder="1" applyAlignment="1">
      <alignment horizontal="center" vertical="center" wrapText="1"/>
    </xf>
    <xf numFmtId="4" fontId="2" fillId="0" borderId="65" xfId="2" applyNumberFormat="1" applyFont="1" applyBorder="1" applyAlignment="1">
      <alignment horizontal="center" vertical="center" wrapText="1"/>
    </xf>
    <xf numFmtId="4" fontId="2" fillId="0" borderId="66" xfId="2" applyNumberFormat="1" applyFont="1" applyBorder="1" applyAlignment="1">
      <alignment horizontal="center" vertical="center" wrapText="1"/>
    </xf>
    <xf numFmtId="4" fontId="2" fillId="0" borderId="73" xfId="0" applyNumberFormat="1" applyFont="1" applyBorder="1" applyAlignment="1">
      <alignment horizontal="center" vertical="center" wrapText="1"/>
    </xf>
    <xf numFmtId="4" fontId="2" fillId="0" borderId="74" xfId="0" applyNumberFormat="1" applyFont="1" applyBorder="1" applyAlignment="1">
      <alignment horizontal="center" vertical="center" wrapText="1"/>
    </xf>
    <xf numFmtId="4" fontId="2" fillId="0" borderId="75" xfId="0" applyNumberFormat="1" applyFont="1" applyBorder="1" applyAlignment="1">
      <alignment horizontal="center" vertical="center" wrapText="1"/>
    </xf>
    <xf numFmtId="0" fontId="2" fillId="0" borderId="76" xfId="0" applyNumberFormat="1" applyFont="1" applyBorder="1" applyAlignment="1">
      <alignment horizontal="center" vertical="center" wrapText="1"/>
    </xf>
    <xf numFmtId="0" fontId="2" fillId="0" borderId="77" xfId="0" applyFont="1" applyBorder="1"/>
    <xf numFmtId="2" fontId="2" fillId="0" borderId="78" xfId="2" applyNumberFormat="1" applyFont="1" applyFill="1" applyBorder="1" applyAlignment="1">
      <alignment horizontal="center" vertical="center" wrapText="1"/>
    </xf>
    <xf numFmtId="2" fontId="2" fillId="0" borderId="71" xfId="2" applyNumberFormat="1" applyFont="1" applyFill="1" applyBorder="1" applyAlignment="1">
      <alignment horizontal="center" vertical="center" wrapText="1"/>
    </xf>
    <xf numFmtId="2" fontId="2" fillId="0" borderId="72" xfId="2" applyNumberFormat="1" applyFont="1" applyFill="1" applyBorder="1" applyAlignment="1">
      <alignment horizontal="center" vertical="center" wrapText="1"/>
    </xf>
    <xf numFmtId="0" fontId="2" fillId="0" borderId="79" xfId="0" applyNumberFormat="1" applyFont="1" applyBorder="1" applyAlignment="1">
      <alignment horizontal="center" vertical="center" wrapText="1"/>
    </xf>
    <xf numFmtId="4" fontId="2" fillId="0" borderId="66" xfId="0" applyNumberFormat="1" applyFont="1" applyFill="1" applyBorder="1" applyAlignment="1">
      <alignment horizontal="center" vertical="center" wrapText="1"/>
    </xf>
    <xf numFmtId="0" fontId="2" fillId="0" borderId="80" xfId="0" applyNumberFormat="1" applyFont="1" applyBorder="1" applyAlignment="1">
      <alignment horizontal="center" vertical="center" wrapText="1"/>
    </xf>
    <xf numFmtId="0" fontId="2" fillId="0" borderId="81" xfId="0" applyFont="1" applyBorder="1" applyAlignment="1">
      <alignment horizontal="justify" vertical="top" wrapText="1"/>
    </xf>
    <xf numFmtId="4" fontId="2" fillId="0" borderId="82" xfId="0" applyNumberFormat="1" applyFont="1" applyBorder="1" applyAlignment="1">
      <alignment horizontal="center" vertical="center" wrapText="1"/>
    </xf>
    <xf numFmtId="0" fontId="2" fillId="2" borderId="67" xfId="0" applyFont="1" applyFill="1" applyBorder="1" applyAlignment="1">
      <alignment horizontal="center" vertical="center" wrapText="1"/>
    </xf>
    <xf numFmtId="0" fontId="2" fillId="0" borderId="83" xfId="0" applyFont="1" applyBorder="1" applyAlignment="1">
      <alignment horizontal="center" vertical="center" wrapText="1"/>
    </xf>
    <xf numFmtId="0" fontId="2" fillId="0" borderId="83" xfId="5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 wrapText="1"/>
    </xf>
    <xf numFmtId="4" fontId="2" fillId="0" borderId="84" xfId="0" applyNumberFormat="1" applyFont="1" applyFill="1" applyBorder="1" applyAlignment="1">
      <alignment horizontal="center" vertical="center" wrapText="1"/>
    </xf>
    <xf numFmtId="4" fontId="2" fillId="0" borderId="31" xfId="0" applyNumberFormat="1" applyFont="1" applyFill="1" applyBorder="1" applyAlignment="1">
      <alignment horizontal="center" vertical="center" wrapText="1"/>
    </xf>
    <xf numFmtId="4" fontId="2" fillId="0" borderId="32" xfId="0" applyNumberFormat="1" applyFont="1" applyFill="1" applyBorder="1" applyAlignment="1">
      <alignment horizontal="center" vertical="center" wrapText="1"/>
    </xf>
    <xf numFmtId="4" fontId="2" fillId="0" borderId="2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67" xfId="4" applyFont="1" applyFill="1" applyBorder="1" applyAlignment="1">
      <alignment horizontal="center" vertical="center" wrapText="1"/>
    </xf>
    <xf numFmtId="0" fontId="2" fillId="0" borderId="83" xfId="0" applyFont="1" applyBorder="1" applyAlignment="1">
      <alignment horizontal="center" vertical="top" wrapText="1"/>
    </xf>
    <xf numFmtId="4" fontId="5" fillId="0" borderId="85" xfId="0" applyNumberFormat="1" applyFont="1" applyBorder="1" applyAlignment="1">
      <alignment horizontal="center" vertical="center" wrapText="1"/>
    </xf>
    <xf numFmtId="4" fontId="5" fillId="0" borderId="86" xfId="0" applyNumberFormat="1" applyFont="1" applyBorder="1" applyAlignment="1">
      <alignment horizontal="center" vertical="center" wrapText="1"/>
    </xf>
    <xf numFmtId="4" fontId="5" fillId="0" borderId="87" xfId="0" applyNumberFormat="1" applyFont="1" applyBorder="1" applyAlignment="1">
      <alignment horizontal="center" vertical="center" wrapText="1"/>
    </xf>
    <xf numFmtId="4" fontId="5" fillId="0" borderId="88" xfId="0" applyNumberFormat="1" applyFont="1" applyBorder="1" applyAlignment="1">
      <alignment horizontal="center" vertical="center" wrapText="1"/>
    </xf>
    <xf numFmtId="0" fontId="2" fillId="0" borderId="89" xfId="2" applyFont="1" applyBorder="1" applyAlignment="1">
      <alignment horizontal="center" vertical="center" wrapText="1"/>
    </xf>
    <xf numFmtId="0" fontId="2" fillId="0" borderId="90" xfId="0" applyFont="1" applyBorder="1" applyAlignment="1">
      <alignment horizontal="center" vertical="center" wrapText="1"/>
    </xf>
    <xf numFmtId="0" fontId="2" fillId="0" borderId="90" xfId="5" applyFont="1" applyBorder="1" applyAlignment="1">
      <alignment horizontal="center" vertical="center" wrapText="1"/>
    </xf>
    <xf numFmtId="49" fontId="2" fillId="0" borderId="91" xfId="0" applyNumberFormat="1" applyFont="1" applyBorder="1" applyAlignment="1">
      <alignment horizontal="center" vertical="center" wrapText="1"/>
    </xf>
    <xf numFmtId="0" fontId="2" fillId="0" borderId="92" xfId="2" applyFont="1" applyBorder="1" applyAlignment="1">
      <alignment horizontal="center" vertical="center"/>
    </xf>
    <xf numFmtId="0" fontId="2" fillId="0" borderId="93" xfId="0" applyNumberFormat="1" applyFont="1" applyBorder="1" applyAlignment="1">
      <alignment horizontal="center" vertical="center" wrapText="1"/>
    </xf>
    <xf numFmtId="0" fontId="2" fillId="0" borderId="94" xfId="2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top" wrapText="1"/>
    </xf>
    <xf numFmtId="0" fontId="2" fillId="0" borderId="67" xfId="2" applyFont="1" applyBorder="1" applyAlignment="1">
      <alignment horizontal="center" vertical="center" wrapText="1"/>
    </xf>
    <xf numFmtId="0" fontId="2" fillId="0" borderId="83" xfId="2" applyFont="1" applyBorder="1" applyAlignment="1">
      <alignment horizontal="center" vertical="center" wrapText="1"/>
    </xf>
    <xf numFmtId="0" fontId="2" fillId="0" borderId="69" xfId="2" applyFont="1" applyBorder="1" applyAlignment="1">
      <alignment horizontal="center" vertical="center" wrapText="1"/>
    </xf>
    <xf numFmtId="4" fontId="2" fillId="0" borderId="95" xfId="0" applyNumberFormat="1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2" fillId="0" borderId="96" xfId="0" applyFont="1" applyBorder="1" applyAlignment="1">
      <alignment horizontal="center" vertical="top" wrapText="1"/>
    </xf>
    <xf numFmtId="0" fontId="2" fillId="0" borderId="97" xfId="0" applyFont="1" applyBorder="1" applyAlignment="1">
      <alignment horizontal="center" wrapText="1"/>
    </xf>
    <xf numFmtId="4" fontId="2" fillId="0" borderId="30" xfId="0" applyNumberFormat="1" applyFont="1" applyFill="1" applyBorder="1" applyAlignment="1">
      <alignment horizontal="center" vertical="top" wrapText="1"/>
    </xf>
    <xf numFmtId="4" fontId="2" fillId="0" borderId="31" xfId="0" applyNumberFormat="1" applyFont="1" applyFill="1" applyBorder="1" applyAlignment="1">
      <alignment horizontal="center" vertical="top" wrapText="1"/>
    </xf>
    <xf numFmtId="4" fontId="2" fillId="0" borderId="32" xfId="0" applyNumberFormat="1" applyFont="1" applyFill="1" applyBorder="1" applyAlignment="1">
      <alignment horizontal="center" vertical="top" wrapText="1"/>
    </xf>
    <xf numFmtId="2" fontId="2" fillId="0" borderId="13" xfId="0" applyNumberFormat="1" applyFont="1" applyBorder="1" applyAlignment="1">
      <alignment horizontal="center" wrapText="1"/>
    </xf>
    <xf numFmtId="0" fontId="3" fillId="0" borderId="0" xfId="0" applyFont="1" applyFill="1"/>
    <xf numFmtId="0" fontId="0" fillId="0" borderId="0" xfId="0" applyFill="1"/>
    <xf numFmtId="0" fontId="2" fillId="0" borderId="83" xfId="2" applyFont="1" applyFill="1" applyBorder="1" applyAlignment="1">
      <alignment horizontal="center" vertical="center" wrapText="1"/>
    </xf>
    <xf numFmtId="4" fontId="2" fillId="0" borderId="30" xfId="0" applyNumberFormat="1" applyFont="1" applyFill="1" applyBorder="1" applyAlignment="1">
      <alignment horizontal="center" vertical="center" wrapText="1"/>
    </xf>
    <xf numFmtId="0" fontId="2" fillId="0" borderId="67" xfId="0" applyNumberFormat="1" applyFont="1" applyBorder="1" applyAlignment="1">
      <alignment horizontal="center" vertical="center" wrapText="1"/>
    </xf>
    <xf numFmtId="0" fontId="2" fillId="0" borderId="83" xfId="2" applyFont="1" applyBorder="1" applyAlignment="1">
      <alignment horizontal="center" vertical="center"/>
    </xf>
    <xf numFmtId="0" fontId="2" fillId="0" borderId="83" xfId="0" applyNumberFormat="1" applyFont="1" applyBorder="1" applyAlignment="1">
      <alignment horizontal="center" vertical="center" wrapText="1"/>
    </xf>
    <xf numFmtId="0" fontId="2" fillId="0" borderId="98" xfId="2" applyFont="1" applyBorder="1" applyAlignment="1">
      <alignment horizontal="center" vertical="center" wrapText="1"/>
    </xf>
    <xf numFmtId="0" fontId="2" fillId="0" borderId="67" xfId="0" applyFont="1" applyBorder="1" applyAlignment="1">
      <alignment vertical="top" wrapText="1"/>
    </xf>
    <xf numFmtId="0" fontId="2" fillId="0" borderId="83" xfId="2" applyFont="1" applyBorder="1" applyAlignment="1">
      <alignment vertical="center" wrapText="1"/>
    </xf>
    <xf numFmtId="0" fontId="2" fillId="0" borderId="83" xfId="2" applyFont="1" applyBorder="1" applyAlignment="1">
      <alignment horizontal="left" vertical="center" wrapText="1"/>
    </xf>
    <xf numFmtId="0" fontId="2" fillId="0" borderId="83" xfId="0" applyFont="1" applyBorder="1" applyAlignment="1">
      <alignment wrapText="1"/>
    </xf>
    <xf numFmtId="0" fontId="2" fillId="2" borderId="83" xfId="2" applyFont="1" applyFill="1" applyBorder="1" applyAlignment="1">
      <alignment horizontal="left" vertical="center" wrapText="1"/>
    </xf>
    <xf numFmtId="0" fontId="2" fillId="0" borderId="69" xfId="2" applyFont="1" applyBorder="1" applyAlignment="1">
      <alignment horizontal="left" vertical="center" wrapText="1"/>
    </xf>
    <xf numFmtId="0" fontId="2" fillId="0" borderId="83" xfId="0" applyFont="1" applyBorder="1" applyAlignment="1">
      <alignment horizontal="center" wrapText="1"/>
    </xf>
    <xf numFmtId="0" fontId="2" fillId="0" borderId="12" xfId="2" applyFont="1" applyBorder="1" applyAlignment="1">
      <alignment horizontal="center" vertical="center" wrapText="1"/>
    </xf>
    <xf numFmtId="1" fontId="2" fillId="0" borderId="17" xfId="0" applyNumberFormat="1" applyFont="1" applyBorder="1" applyAlignment="1">
      <alignment horizontal="center" vertical="center" wrapText="1"/>
    </xf>
    <xf numFmtId="0" fontId="2" fillId="0" borderId="89" xfId="0" applyFont="1" applyBorder="1" applyAlignment="1">
      <alignment horizontal="center" vertical="center" wrapText="1"/>
    </xf>
    <xf numFmtId="0" fontId="2" fillId="0" borderId="90" xfId="2" applyFont="1" applyBorder="1" applyAlignment="1">
      <alignment horizontal="center" vertical="center" wrapText="1"/>
    </xf>
    <xf numFmtId="0" fontId="2" fillId="2" borderId="90" xfId="0" applyFont="1" applyFill="1" applyBorder="1" applyAlignment="1">
      <alignment horizontal="center" wrapText="1"/>
    </xf>
    <xf numFmtId="0" fontId="2" fillId="2" borderId="67" xfId="0" applyFont="1" applyFill="1" applyBorder="1" applyAlignment="1">
      <alignment horizontal="center" wrapText="1"/>
    </xf>
    <xf numFmtId="0" fontId="2" fillId="0" borderId="67" xfId="2" applyFont="1" applyBorder="1" applyAlignment="1">
      <alignment horizontal="center" vertical="center"/>
    </xf>
    <xf numFmtId="0" fontId="2" fillId="0" borderId="69" xfId="2" applyFont="1" applyBorder="1" applyAlignment="1">
      <alignment horizontal="center" vertical="center"/>
    </xf>
    <xf numFmtId="0" fontId="2" fillId="0" borderId="99" xfId="2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67" xfId="2" applyFont="1" applyBorder="1" applyAlignment="1">
      <alignment horizontal="left" vertical="center" wrapText="1"/>
    </xf>
    <xf numFmtId="0" fontId="2" fillId="0" borderId="83" xfId="0" applyFont="1" applyBorder="1" applyAlignment="1">
      <alignment horizontal="left" vertical="top" wrapText="1"/>
    </xf>
    <xf numFmtId="0" fontId="2" fillId="0" borderId="83" xfId="0" applyFont="1" applyBorder="1" applyAlignment="1">
      <alignment vertical="top" wrapText="1"/>
    </xf>
    <xf numFmtId="0" fontId="2" fillId="0" borderId="79" xfId="2" applyFont="1" applyBorder="1" applyAlignment="1">
      <alignment horizontal="center" vertical="center" wrapText="1"/>
    </xf>
    <xf numFmtId="0" fontId="2" fillId="0" borderId="79" xfId="2" applyFont="1" applyFill="1" applyBorder="1" applyAlignment="1">
      <alignment horizontal="center" vertical="center" wrapText="1"/>
    </xf>
    <xf numFmtId="0" fontId="2" fillId="0" borderId="83" xfId="2" applyFont="1" applyFill="1" applyBorder="1" applyAlignment="1">
      <alignment horizontal="left" vertical="center" wrapText="1"/>
    </xf>
    <xf numFmtId="0" fontId="2" fillId="0" borderId="69" xfId="0" applyFont="1" applyBorder="1" applyAlignment="1">
      <alignment horizontal="justify" vertical="top" wrapText="1"/>
    </xf>
    <xf numFmtId="0" fontId="2" fillId="0" borderId="67" xfId="0" applyFont="1" applyBorder="1" applyAlignment="1">
      <alignment horizontal="center" vertical="top" wrapText="1"/>
    </xf>
    <xf numFmtId="0" fontId="2" fillId="0" borderId="79" xfId="2" applyFont="1" applyFill="1" applyBorder="1" applyAlignment="1">
      <alignment horizontal="center" vertical="center"/>
    </xf>
    <xf numFmtId="0" fontId="2" fillId="0" borderId="6" xfId="2" applyFont="1" applyFill="1" applyBorder="1" applyAlignment="1">
      <alignment horizontal="center" vertical="top" wrapText="1"/>
    </xf>
    <xf numFmtId="0" fontId="2" fillId="0" borderId="7" xfId="2" applyFont="1" applyFill="1" applyBorder="1" applyAlignment="1">
      <alignment horizontal="center" vertical="top" wrapText="1"/>
    </xf>
    <xf numFmtId="2" fontId="2" fillId="0" borderId="7" xfId="2" applyNumberFormat="1" applyFont="1" applyFill="1" applyBorder="1" applyAlignment="1">
      <alignment horizontal="center" vertical="top" wrapText="1"/>
    </xf>
    <xf numFmtId="2" fontId="2" fillId="0" borderId="8" xfId="2" applyNumberFormat="1" applyFont="1" applyFill="1" applyBorder="1" applyAlignment="1">
      <alignment horizontal="center" vertical="top" wrapText="1"/>
    </xf>
    <xf numFmtId="2" fontId="2" fillId="3" borderId="12" xfId="2" applyNumberFormat="1" applyFont="1" applyFill="1" applyBorder="1" applyAlignment="1">
      <alignment horizontal="center" vertical="center" wrapText="1"/>
    </xf>
    <xf numFmtId="2" fontId="2" fillId="3" borderId="13" xfId="2" applyNumberFormat="1" applyFont="1" applyFill="1" applyBorder="1" applyAlignment="1">
      <alignment horizontal="center" vertical="center" wrapText="1"/>
    </xf>
    <xf numFmtId="2" fontId="2" fillId="3" borderId="14" xfId="2" applyNumberFormat="1" applyFont="1" applyFill="1" applyBorder="1" applyAlignment="1">
      <alignment horizontal="center" vertical="center" wrapText="1"/>
    </xf>
    <xf numFmtId="0" fontId="2" fillId="0" borderId="92" xfId="2" applyFont="1" applyBorder="1" applyAlignment="1">
      <alignment horizontal="left" vertical="center" wrapText="1"/>
    </xf>
    <xf numFmtId="0" fontId="2" fillId="0" borderId="93" xfId="0" applyFont="1" applyBorder="1" applyAlignment="1">
      <alignment vertical="top" wrapText="1"/>
    </xf>
    <xf numFmtId="0" fontId="2" fillId="2" borderId="93" xfId="2" applyFont="1" applyFill="1" applyBorder="1" applyAlignment="1">
      <alignment horizontal="left" vertical="center" wrapText="1"/>
    </xf>
    <xf numFmtId="0" fontId="2" fillId="0" borderId="93" xfId="2" applyFont="1" applyBorder="1" applyAlignment="1">
      <alignment vertical="center" wrapText="1"/>
    </xf>
    <xf numFmtId="0" fontId="2" fillId="0" borderId="94" xfId="0" applyFont="1" applyBorder="1" applyAlignment="1">
      <alignment wrapText="1"/>
    </xf>
    <xf numFmtId="0" fontId="2" fillId="0" borderId="76" xfId="2" applyFont="1" applyBorder="1" applyAlignment="1">
      <alignment horizontal="center" vertical="center" wrapText="1"/>
    </xf>
    <xf numFmtId="0" fontId="2" fillId="0" borderId="79" xfId="0" applyFont="1" applyBorder="1" applyAlignment="1">
      <alignment horizontal="center" vertical="center" wrapText="1"/>
    </xf>
    <xf numFmtId="4" fontId="2" fillId="0" borderId="100" xfId="0" applyNumberFormat="1" applyFont="1" applyBorder="1" applyAlignment="1">
      <alignment horizontal="center" vertical="center" wrapText="1"/>
    </xf>
    <xf numFmtId="2" fontId="2" fillId="0" borderId="100" xfId="2" applyNumberFormat="1" applyFont="1" applyBorder="1" applyAlignment="1">
      <alignment horizontal="center" vertical="center" wrapText="1"/>
    </xf>
    <xf numFmtId="2" fontId="2" fillId="0" borderId="100" xfId="2" applyNumberFormat="1" applyFont="1" applyFill="1" applyBorder="1" applyAlignment="1">
      <alignment horizontal="center" vertical="center" wrapText="1"/>
    </xf>
    <xf numFmtId="2" fontId="2" fillId="0" borderId="100" xfId="5" applyNumberFormat="1" applyFont="1" applyFill="1" applyBorder="1" applyAlignment="1">
      <alignment horizontal="center" vertical="center" wrapText="1"/>
    </xf>
    <xf numFmtId="4" fontId="2" fillId="0" borderId="101" xfId="0" applyNumberFormat="1" applyFont="1" applyFill="1" applyBorder="1" applyAlignment="1">
      <alignment horizontal="center" vertical="center" wrapText="1"/>
    </xf>
    <xf numFmtId="4" fontId="2" fillId="0" borderId="102" xfId="0" applyNumberFormat="1" applyFont="1" applyFill="1" applyBorder="1" applyAlignment="1">
      <alignment horizontal="center" vertical="center" wrapText="1"/>
    </xf>
    <xf numFmtId="4" fontId="2" fillId="0" borderId="103" xfId="0" applyNumberFormat="1" applyFont="1" applyFill="1" applyBorder="1" applyAlignment="1">
      <alignment horizontal="center" vertical="center" wrapText="1"/>
    </xf>
    <xf numFmtId="4" fontId="2" fillId="0" borderId="104" xfId="0" applyNumberFormat="1" applyFont="1" applyBorder="1" applyAlignment="1">
      <alignment horizontal="center" vertical="center" wrapText="1"/>
    </xf>
    <xf numFmtId="4" fontId="2" fillId="0" borderId="105" xfId="0" applyNumberFormat="1" applyFont="1" applyBorder="1" applyAlignment="1">
      <alignment horizontal="center" vertical="center" wrapText="1"/>
    </xf>
    <xf numFmtId="2" fontId="2" fillId="0" borderId="104" xfId="2" applyNumberFormat="1" applyFont="1" applyBorder="1" applyAlignment="1">
      <alignment horizontal="center" vertical="center" wrapText="1"/>
    </xf>
    <xf numFmtId="2" fontId="2" fillId="0" borderId="105" xfId="2" applyNumberFormat="1" applyFont="1" applyBorder="1" applyAlignment="1">
      <alignment horizontal="center" vertical="center" wrapText="1"/>
    </xf>
    <xf numFmtId="2" fontId="2" fillId="0" borderId="104" xfId="2" applyNumberFormat="1" applyFont="1" applyFill="1" applyBorder="1" applyAlignment="1">
      <alignment horizontal="center" vertical="center" wrapText="1"/>
    </xf>
    <xf numFmtId="2" fontId="2" fillId="0" borderId="105" xfId="2" applyNumberFormat="1" applyFont="1" applyFill="1" applyBorder="1" applyAlignment="1">
      <alignment horizontal="center" vertical="center" wrapText="1"/>
    </xf>
    <xf numFmtId="2" fontId="2" fillId="0" borderId="104" xfId="5" applyNumberFormat="1" applyFont="1" applyFill="1" applyBorder="1" applyAlignment="1">
      <alignment horizontal="center" vertical="center" wrapText="1"/>
    </xf>
    <xf numFmtId="2" fontId="2" fillId="0" borderId="105" xfId="5" applyNumberFormat="1" applyFont="1" applyFill="1" applyBorder="1" applyAlignment="1">
      <alignment horizontal="center" vertical="center" wrapText="1"/>
    </xf>
    <xf numFmtId="2" fontId="2" fillId="0" borderId="106" xfId="2" applyNumberFormat="1" applyFont="1" applyBorder="1" applyAlignment="1">
      <alignment horizontal="center" vertical="center" wrapText="1"/>
    </xf>
    <xf numFmtId="2" fontId="2" fillId="0" borderId="107" xfId="2" applyNumberFormat="1" applyFont="1" applyBorder="1" applyAlignment="1">
      <alignment horizontal="center" vertical="center" wrapText="1"/>
    </xf>
    <xf numFmtId="2" fontId="2" fillId="0" borderId="108" xfId="2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left" vertical="center"/>
    </xf>
    <xf numFmtId="4" fontId="2" fillId="0" borderId="48" xfId="0" applyNumberFormat="1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/>
    </xf>
    <xf numFmtId="0" fontId="4" fillId="0" borderId="39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top" wrapText="1"/>
    </xf>
    <xf numFmtId="0" fontId="2" fillId="0" borderId="39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2" fillId="0" borderId="55" xfId="0" applyFont="1" applyBorder="1" applyAlignment="1">
      <alignment horizontal="center" vertical="top" wrapText="1"/>
    </xf>
    <xf numFmtId="0" fontId="4" fillId="0" borderId="24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top"/>
    </xf>
    <xf numFmtId="0" fontId="2" fillId="0" borderId="23" xfId="0" applyFont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top" wrapText="1"/>
    </xf>
    <xf numFmtId="0" fontId="2" fillId="0" borderId="24" xfId="0" applyFont="1" applyFill="1" applyBorder="1" applyAlignment="1">
      <alignment horizontal="center" vertical="top" wrapText="1"/>
    </xf>
  </cellXfs>
  <cellStyles count="7">
    <cellStyle name="Default 1" xfId="1"/>
    <cellStyle name="Обычный" xfId="0" builtinId="0"/>
    <cellStyle name="Обычный 2" xfId="2"/>
    <cellStyle name="Обычный 3" xfId="3"/>
    <cellStyle name="Обычный 4" xfId="4"/>
    <cellStyle name="Обычный_меню 2015 1" xfId="5"/>
    <cellStyle name="Финансовый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358"/>
  <sheetViews>
    <sheetView tabSelected="1" zoomScaleSheetLayoutView="50" workbookViewId="0">
      <selection activeCell="A6" sqref="A6:G6"/>
    </sheetView>
  </sheetViews>
  <sheetFormatPr defaultRowHeight="18.75"/>
  <cols>
    <col min="1" max="1" width="12.42578125" style="1" customWidth="1"/>
    <col min="2" max="2" width="50.85546875" style="2" customWidth="1"/>
    <col min="3" max="3" width="10" style="2" customWidth="1"/>
    <col min="4" max="4" width="10.5703125" style="2" customWidth="1"/>
    <col min="5" max="5" width="10.7109375" style="2" customWidth="1"/>
    <col min="6" max="6" width="13.140625" style="2" customWidth="1"/>
    <col min="7" max="7" width="13.85546875" style="2" customWidth="1"/>
    <col min="8" max="8" width="14.42578125" style="3" customWidth="1"/>
    <col min="9" max="254" width="9.140625" style="3"/>
  </cols>
  <sheetData>
    <row r="1" spans="1:250" ht="12.75" customHeight="1">
      <c r="A1" s="434" t="s">
        <v>110</v>
      </c>
      <c r="B1" s="434"/>
      <c r="C1" s="434" t="s">
        <v>111</v>
      </c>
      <c r="D1" s="434"/>
      <c r="E1" s="434"/>
      <c r="F1" s="434"/>
      <c r="G1" s="434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</row>
    <row r="2" spans="1:250" ht="27.75" customHeight="1">
      <c r="A2" s="434"/>
      <c r="B2" s="434"/>
      <c r="C2" s="434"/>
      <c r="D2" s="434"/>
      <c r="E2" s="434"/>
      <c r="F2" s="434"/>
      <c r="G2" s="434"/>
    </row>
    <row r="3" spans="1:250" ht="32.25" customHeight="1">
      <c r="A3" s="434"/>
      <c r="B3" s="434"/>
      <c r="C3" s="434"/>
      <c r="D3" s="434"/>
      <c r="E3" s="434"/>
      <c r="F3" s="434"/>
      <c r="G3" s="434"/>
    </row>
    <row r="4" spans="1:250" ht="71.650000000000006" customHeight="1" thickBot="1">
      <c r="A4" s="434"/>
      <c r="B4" s="434"/>
      <c r="C4" s="434"/>
      <c r="D4" s="434"/>
      <c r="E4" s="434"/>
      <c r="F4" s="434"/>
      <c r="G4" s="434"/>
    </row>
    <row r="5" spans="1:250" ht="18.75" customHeight="1" thickBot="1">
      <c r="A5" s="435" t="s">
        <v>0</v>
      </c>
      <c r="B5" s="435"/>
      <c r="C5" s="435"/>
      <c r="D5" s="435"/>
      <c r="E5" s="435"/>
      <c r="F5" s="435"/>
      <c r="G5" s="435"/>
    </row>
    <row r="6" spans="1:250" ht="19.5" customHeight="1" thickBot="1">
      <c r="A6" s="436" t="s">
        <v>1</v>
      </c>
      <c r="B6" s="436"/>
      <c r="C6" s="436"/>
      <c r="D6" s="436"/>
      <c r="E6" s="436"/>
      <c r="F6" s="436"/>
      <c r="G6" s="436"/>
    </row>
    <row r="7" spans="1:250" ht="18.75" customHeight="1" thickBot="1">
      <c r="A7" s="437" t="s">
        <v>2</v>
      </c>
      <c r="B7" s="438" t="s">
        <v>3</v>
      </c>
      <c r="C7" s="438" t="s">
        <v>4</v>
      </c>
      <c r="D7" s="439" t="s">
        <v>5</v>
      </c>
      <c r="E7" s="439"/>
      <c r="F7" s="439"/>
      <c r="G7" s="439"/>
    </row>
    <row r="8" spans="1:250" ht="21" customHeight="1" thickBot="1">
      <c r="A8" s="437"/>
      <c r="B8" s="438"/>
      <c r="C8" s="438"/>
      <c r="D8" s="4" t="s">
        <v>6</v>
      </c>
      <c r="E8" s="4" t="s">
        <v>7</v>
      </c>
      <c r="F8" s="4" t="s">
        <v>8</v>
      </c>
      <c r="G8" s="5" t="s">
        <v>9</v>
      </c>
    </row>
    <row r="9" spans="1:250" ht="18.600000000000001" customHeight="1" thickBot="1">
      <c r="A9" s="440" t="s">
        <v>10</v>
      </c>
      <c r="B9" s="440"/>
      <c r="C9" s="440"/>
      <c r="D9" s="440"/>
      <c r="E9" s="440"/>
      <c r="F9" s="440"/>
      <c r="G9" s="440"/>
    </row>
    <row r="10" spans="1:250" ht="19.5" customHeight="1" thickBot="1">
      <c r="A10" s="6"/>
      <c r="B10" s="441" t="s">
        <v>11</v>
      </c>
      <c r="C10" s="441"/>
      <c r="D10" s="441"/>
      <c r="E10" s="441"/>
      <c r="F10" s="441"/>
      <c r="G10" s="441"/>
    </row>
    <row r="11" spans="1:250">
      <c r="A11" s="7">
        <v>181</v>
      </c>
      <c r="B11" s="8" t="s">
        <v>12</v>
      </c>
      <c r="C11" s="9">
        <v>250</v>
      </c>
      <c r="D11" s="10">
        <v>4.97</v>
      </c>
      <c r="E11" s="11">
        <v>10.46</v>
      </c>
      <c r="F11" s="11">
        <v>32.619999999999997</v>
      </c>
      <c r="G11" s="12">
        <v>245.02</v>
      </c>
    </row>
    <row r="12" spans="1:250">
      <c r="A12" s="13"/>
      <c r="B12" s="14" t="s">
        <v>13</v>
      </c>
      <c r="C12" s="15">
        <v>40</v>
      </c>
      <c r="D12" s="16">
        <v>3.04</v>
      </c>
      <c r="E12" s="17">
        <v>0.36</v>
      </c>
      <c r="F12" s="17">
        <v>19.88</v>
      </c>
      <c r="G12" s="18">
        <v>90.4</v>
      </c>
    </row>
    <row r="13" spans="1:250" ht="16.350000000000001" customHeight="1">
      <c r="A13" s="19">
        <v>3</v>
      </c>
      <c r="B13" s="20" t="s">
        <v>14</v>
      </c>
      <c r="C13" s="21" t="s">
        <v>15</v>
      </c>
      <c r="D13" s="22">
        <v>6.3</v>
      </c>
      <c r="E13" s="23">
        <v>9.17</v>
      </c>
      <c r="F13" s="23">
        <v>19.399999999999999</v>
      </c>
      <c r="G13" s="24">
        <v>185.33</v>
      </c>
    </row>
    <row r="14" spans="1:250" ht="19.350000000000001" customHeight="1" thickBot="1">
      <c r="A14" s="19">
        <v>379</v>
      </c>
      <c r="B14" s="25" t="s">
        <v>16</v>
      </c>
      <c r="C14" s="26">
        <v>180</v>
      </c>
      <c r="D14" s="22">
        <v>3.16</v>
      </c>
      <c r="E14" s="23">
        <v>2.7</v>
      </c>
      <c r="F14" s="23">
        <v>16</v>
      </c>
      <c r="G14" s="24">
        <v>100.6</v>
      </c>
    </row>
    <row r="15" spans="1:250" ht="20.85" customHeight="1" thickBot="1">
      <c r="A15" s="27"/>
      <c r="B15" s="28" t="s">
        <v>17</v>
      </c>
      <c r="C15" s="29">
        <f>C11+C12+C14+50</f>
        <v>520</v>
      </c>
      <c r="D15" s="30">
        <f>SUM(D11:D14)</f>
        <v>17.47</v>
      </c>
      <c r="E15" s="31">
        <f>SUM(E11:E14)</f>
        <v>22.69</v>
      </c>
      <c r="F15" s="31">
        <f>SUM(F11:F14)</f>
        <v>87.9</v>
      </c>
      <c r="G15" s="32">
        <f>SUM(G11:G14)</f>
        <v>621.35</v>
      </c>
    </row>
    <row r="16" spans="1:250" ht="19.5" customHeight="1" thickBot="1">
      <c r="A16" s="33"/>
      <c r="B16" s="442" t="s">
        <v>18</v>
      </c>
      <c r="C16" s="442"/>
      <c r="D16" s="442"/>
      <c r="E16" s="442"/>
      <c r="F16" s="442"/>
      <c r="G16" s="442"/>
    </row>
    <row r="17" spans="1:7">
      <c r="A17" s="34">
        <v>45</v>
      </c>
      <c r="B17" s="35" t="s">
        <v>19</v>
      </c>
      <c r="C17" s="36">
        <v>60</v>
      </c>
      <c r="D17" s="10">
        <f>13.12/1000*60</f>
        <v>0.78720000000000001</v>
      </c>
      <c r="E17" s="11">
        <f>32.49/1000*60</f>
        <v>1.9494000000000002</v>
      </c>
      <c r="F17" s="11">
        <f>62.7/1000*60</f>
        <v>3.7620000000000005</v>
      </c>
      <c r="G17" s="12">
        <f>596/1000*60</f>
        <v>35.76</v>
      </c>
    </row>
    <row r="18" spans="1:7">
      <c r="A18" s="37">
        <v>87</v>
      </c>
      <c r="B18" s="38" t="s">
        <v>20</v>
      </c>
      <c r="C18" s="39">
        <v>250</v>
      </c>
      <c r="D18" s="40">
        <v>8.59</v>
      </c>
      <c r="E18" s="41">
        <v>8.4</v>
      </c>
      <c r="F18" s="42">
        <v>14.33</v>
      </c>
      <c r="G18" s="43">
        <v>167.25</v>
      </c>
    </row>
    <row r="19" spans="1:7">
      <c r="A19" s="44">
        <v>278</v>
      </c>
      <c r="B19" s="45" t="s">
        <v>21</v>
      </c>
      <c r="C19" s="46" t="s">
        <v>22</v>
      </c>
      <c r="D19" s="47">
        <v>8.1300000000000008</v>
      </c>
      <c r="E19" s="48">
        <v>9.64</v>
      </c>
      <c r="F19" s="48">
        <v>12.66</v>
      </c>
      <c r="G19" s="49">
        <v>185.5</v>
      </c>
    </row>
    <row r="20" spans="1:7" ht="20.25" customHeight="1">
      <c r="A20" s="50">
        <v>203</v>
      </c>
      <c r="B20" s="14" t="s">
        <v>23</v>
      </c>
      <c r="C20" s="46">
        <v>150</v>
      </c>
      <c r="D20" s="47">
        <v>3.2</v>
      </c>
      <c r="E20" s="48">
        <v>9.4600000000000009</v>
      </c>
      <c r="F20" s="48">
        <v>18.579999999999998</v>
      </c>
      <c r="G20" s="49">
        <v>178.61</v>
      </c>
    </row>
    <row r="21" spans="1:7" ht="18.75" customHeight="1">
      <c r="A21" s="19"/>
      <c r="B21" s="51" t="s">
        <v>13</v>
      </c>
      <c r="C21" s="15">
        <v>40</v>
      </c>
      <c r="D21" s="16">
        <v>3.04</v>
      </c>
      <c r="E21" s="17">
        <v>0.36</v>
      </c>
      <c r="F21" s="17">
        <v>19.88</v>
      </c>
      <c r="G21" s="18">
        <v>90.4</v>
      </c>
    </row>
    <row r="22" spans="1:7">
      <c r="A22" s="19"/>
      <c r="B22" s="45" t="s">
        <v>24</v>
      </c>
      <c r="C22" s="15">
        <v>30</v>
      </c>
      <c r="D22" s="16">
        <f>1.44/40*30</f>
        <v>1.0799999999999998</v>
      </c>
      <c r="E22" s="17">
        <f>0.36/40*30</f>
        <v>0.26999999999999996</v>
      </c>
      <c r="F22" s="17">
        <f>12.48/40*30</f>
        <v>9.36</v>
      </c>
      <c r="G22" s="18">
        <f>59.4/30*40</f>
        <v>79.2</v>
      </c>
    </row>
    <row r="23" spans="1:7" ht="21.6" customHeight="1" thickBot="1">
      <c r="A23" s="52">
        <v>389</v>
      </c>
      <c r="B23" s="53" t="s">
        <v>25</v>
      </c>
      <c r="C23" s="54">
        <v>180</v>
      </c>
      <c r="D23" s="55">
        <v>0.8</v>
      </c>
      <c r="E23" s="56">
        <v>0.6</v>
      </c>
      <c r="F23" s="56">
        <v>22</v>
      </c>
      <c r="G23" s="57">
        <v>91</v>
      </c>
    </row>
    <row r="24" spans="1:7" ht="19.350000000000001" customHeight="1" thickBot="1">
      <c r="A24" s="58"/>
      <c r="B24" s="28" t="s">
        <v>26</v>
      </c>
      <c r="C24" s="59">
        <f>C17+C18+C20+C21+C22+C23+150</f>
        <v>860</v>
      </c>
      <c r="D24" s="60">
        <f>SUM(D17:D23)</f>
        <v>25.627199999999998</v>
      </c>
      <c r="E24" s="61">
        <f>SUM(E17:E23)</f>
        <v>30.679400000000005</v>
      </c>
      <c r="F24" s="61">
        <f>SUM(F17:F23)</f>
        <v>100.57199999999999</v>
      </c>
      <c r="G24" s="62">
        <f>SUM(G17:G23)</f>
        <v>827.72</v>
      </c>
    </row>
    <row r="25" spans="1:7" ht="20.100000000000001" customHeight="1" thickBot="1">
      <c r="A25" s="58"/>
      <c r="B25" s="28" t="s">
        <v>27</v>
      </c>
      <c r="C25" s="63">
        <f>C15+C24</f>
        <v>1380</v>
      </c>
      <c r="D25" s="60">
        <f>D15+D24</f>
        <v>43.097200000000001</v>
      </c>
      <c r="E25" s="61">
        <f>E15+E24</f>
        <v>53.369400000000006</v>
      </c>
      <c r="F25" s="61">
        <f>F15+F24</f>
        <v>188.47199999999998</v>
      </c>
      <c r="G25" s="62">
        <f>G15+G24</f>
        <v>1449.0700000000002</v>
      </c>
    </row>
    <row r="26" spans="1:7" ht="19.5" customHeight="1" thickBot="1">
      <c r="A26" s="443" t="s">
        <v>28</v>
      </c>
      <c r="B26" s="443"/>
      <c r="C26" s="443"/>
      <c r="D26" s="443"/>
      <c r="E26" s="443"/>
      <c r="F26" s="443"/>
      <c r="G26" s="443"/>
    </row>
    <row r="27" spans="1:7" ht="19.5" customHeight="1" thickBot="1">
      <c r="A27" s="58"/>
      <c r="B27" s="444" t="s">
        <v>11</v>
      </c>
      <c r="C27" s="444"/>
      <c r="D27" s="444"/>
      <c r="E27" s="444"/>
      <c r="F27" s="444"/>
      <c r="G27" s="444"/>
    </row>
    <row r="28" spans="1:7" ht="19.350000000000001" customHeight="1">
      <c r="A28" s="65">
        <v>225</v>
      </c>
      <c r="B28" s="66" t="s">
        <v>29</v>
      </c>
      <c r="C28" s="67" t="s">
        <v>30</v>
      </c>
      <c r="D28" s="68">
        <v>20.97</v>
      </c>
      <c r="E28" s="69">
        <v>14.56</v>
      </c>
      <c r="F28" s="69">
        <v>33.630000000000003</v>
      </c>
      <c r="G28" s="70">
        <v>349.5</v>
      </c>
    </row>
    <row r="29" spans="1:7" ht="17.25" customHeight="1">
      <c r="A29" s="19">
        <v>386</v>
      </c>
      <c r="B29" s="71" t="s">
        <v>31</v>
      </c>
      <c r="C29" s="72">
        <v>180</v>
      </c>
      <c r="D29" s="22">
        <v>6</v>
      </c>
      <c r="E29" s="23">
        <v>2</v>
      </c>
      <c r="F29" s="23">
        <v>8</v>
      </c>
      <c r="G29" s="24">
        <v>80</v>
      </c>
    </row>
    <row r="30" spans="1:7" ht="18" customHeight="1" thickBot="1">
      <c r="A30" s="73">
        <v>338</v>
      </c>
      <c r="B30" s="74" t="s">
        <v>32</v>
      </c>
      <c r="C30" s="75">
        <v>150</v>
      </c>
      <c r="D30" s="76">
        <v>2.25</v>
      </c>
      <c r="E30" s="77">
        <v>0.75</v>
      </c>
      <c r="F30" s="77">
        <v>31.5</v>
      </c>
      <c r="G30" s="78">
        <v>144</v>
      </c>
    </row>
    <row r="31" spans="1:7" ht="18.600000000000001" customHeight="1" thickBot="1">
      <c r="A31" s="58"/>
      <c r="B31" s="28" t="s">
        <v>17</v>
      </c>
      <c r="C31" s="79">
        <f>C29+C30+170</f>
        <v>500</v>
      </c>
      <c r="D31" s="60">
        <f>SUM(D28:D30)</f>
        <v>29.22</v>
      </c>
      <c r="E31" s="61">
        <f>SUM(E28:E30)</f>
        <v>17.310000000000002</v>
      </c>
      <c r="F31" s="61">
        <f>SUM(F28:F30)</f>
        <v>73.13</v>
      </c>
      <c r="G31" s="62">
        <f>SUM(G28:G30)</f>
        <v>573.5</v>
      </c>
    </row>
    <row r="32" spans="1:7" ht="19.5" customHeight="1" thickBot="1">
      <c r="A32" s="33"/>
      <c r="B32" s="445" t="s">
        <v>18</v>
      </c>
      <c r="C32" s="445"/>
      <c r="D32" s="445"/>
      <c r="E32" s="445"/>
      <c r="F32" s="445"/>
      <c r="G32" s="445"/>
    </row>
    <row r="33" spans="1:7" ht="15.75" customHeight="1">
      <c r="A33" s="80">
        <v>20</v>
      </c>
      <c r="B33" s="35" t="s">
        <v>19</v>
      </c>
      <c r="C33" s="81">
        <v>60</v>
      </c>
      <c r="D33" s="82">
        <v>0.45</v>
      </c>
      <c r="E33" s="83">
        <v>3.6</v>
      </c>
      <c r="F33" s="83">
        <v>1.4</v>
      </c>
      <c r="G33" s="84">
        <v>39.96</v>
      </c>
    </row>
    <row r="34" spans="1:7" ht="17.25" customHeight="1">
      <c r="A34" s="85">
        <v>84</v>
      </c>
      <c r="B34" s="86" t="s">
        <v>33</v>
      </c>
      <c r="C34" s="46">
        <v>250</v>
      </c>
      <c r="D34" s="47">
        <v>3.55</v>
      </c>
      <c r="E34" s="48">
        <v>5.1100000000000003</v>
      </c>
      <c r="F34" s="48">
        <v>14.16</v>
      </c>
      <c r="G34" s="49">
        <v>127.75</v>
      </c>
    </row>
    <row r="35" spans="1:7" ht="17.100000000000001" customHeight="1">
      <c r="A35" s="72">
        <v>229</v>
      </c>
      <c r="B35" s="87" t="s">
        <v>34</v>
      </c>
      <c r="C35" s="88" t="s">
        <v>22</v>
      </c>
      <c r="D35" s="22">
        <v>11.9</v>
      </c>
      <c r="E35" s="23">
        <v>6.43</v>
      </c>
      <c r="F35" s="23">
        <v>4.9400000000000004</v>
      </c>
      <c r="G35" s="24">
        <v>136.5</v>
      </c>
    </row>
    <row r="36" spans="1:7" ht="17.850000000000001" customHeight="1">
      <c r="A36" s="89">
        <v>304</v>
      </c>
      <c r="B36" s="90" t="s">
        <v>35</v>
      </c>
      <c r="C36" s="88">
        <v>150</v>
      </c>
      <c r="D36" s="91">
        <v>3.65</v>
      </c>
      <c r="E36" s="92">
        <v>5.37</v>
      </c>
      <c r="F36" s="92">
        <v>36.68</v>
      </c>
      <c r="G36" s="93">
        <v>209.7</v>
      </c>
    </row>
    <row r="37" spans="1:7" ht="17.100000000000001" customHeight="1">
      <c r="A37" s="72"/>
      <c r="B37" s="94" t="s">
        <v>13</v>
      </c>
      <c r="C37" s="15">
        <v>40</v>
      </c>
      <c r="D37" s="16">
        <v>3.04</v>
      </c>
      <c r="E37" s="17">
        <v>0.36</v>
      </c>
      <c r="F37" s="17">
        <v>19.88</v>
      </c>
      <c r="G37" s="18">
        <v>90.4</v>
      </c>
    </row>
    <row r="38" spans="1:7" ht="17.850000000000001" customHeight="1">
      <c r="A38" s="72"/>
      <c r="B38" s="95" t="s">
        <v>24</v>
      </c>
      <c r="C38" s="15">
        <v>30</v>
      </c>
      <c r="D38" s="16">
        <f>1.44/40*30</f>
        <v>1.0799999999999998</v>
      </c>
      <c r="E38" s="17">
        <f>0.36/40*30</f>
        <v>0.26999999999999996</v>
      </c>
      <c r="F38" s="17">
        <f>12.48/40*30</f>
        <v>9.36</v>
      </c>
      <c r="G38" s="18">
        <f>59.4/30*40</f>
        <v>79.2</v>
      </c>
    </row>
    <row r="39" spans="1:7" ht="19.350000000000001" customHeight="1" thickBot="1">
      <c r="A39" s="96">
        <v>349</v>
      </c>
      <c r="B39" s="115" t="s">
        <v>36</v>
      </c>
      <c r="C39" s="54">
        <v>180</v>
      </c>
      <c r="D39" s="55">
        <f>3.31/1000*180</f>
        <v>0.5958</v>
      </c>
      <c r="E39" s="56">
        <f>0.45/1000*180</f>
        <v>8.1000000000000003E-2</v>
      </c>
      <c r="F39" s="56">
        <f>160.07/1000*180</f>
        <v>28.8126</v>
      </c>
      <c r="G39" s="57">
        <f>664/1000*180</f>
        <v>119.52000000000001</v>
      </c>
    </row>
    <row r="40" spans="1:7" ht="18.600000000000001" customHeight="1" thickBot="1">
      <c r="A40" s="97"/>
      <c r="B40" s="28" t="s">
        <v>26</v>
      </c>
      <c r="C40" s="98">
        <f>C33+C34+C36+C37+C38+C39+110</f>
        <v>820</v>
      </c>
      <c r="D40" s="60">
        <f>SUM(D33:D39)</f>
        <v>24.265799999999999</v>
      </c>
      <c r="E40" s="61">
        <f>SUM(E33:E39)</f>
        <v>21.221</v>
      </c>
      <c r="F40" s="61">
        <f>SUM(F33:F39)</f>
        <v>115.23260000000001</v>
      </c>
      <c r="G40" s="62">
        <f>SUM(G33:G39)</f>
        <v>803.03000000000009</v>
      </c>
    </row>
    <row r="41" spans="1:7" ht="18.600000000000001" customHeight="1" thickBot="1">
      <c r="A41" s="58"/>
      <c r="B41" s="28" t="s">
        <v>27</v>
      </c>
      <c r="C41" s="63">
        <f>C31+C40</f>
        <v>1320</v>
      </c>
      <c r="D41" s="60">
        <f>D31+D40</f>
        <v>53.485799999999998</v>
      </c>
      <c r="E41" s="61">
        <f>E31+E40</f>
        <v>38.531000000000006</v>
      </c>
      <c r="F41" s="61">
        <f>F31+F40</f>
        <v>188.36259999999999</v>
      </c>
      <c r="G41" s="62">
        <f>G31+G40</f>
        <v>1376.5300000000002</v>
      </c>
    </row>
    <row r="42" spans="1:7" ht="19.5" customHeight="1" thickBot="1">
      <c r="A42" s="443" t="s">
        <v>37</v>
      </c>
      <c r="B42" s="443"/>
      <c r="C42" s="443"/>
      <c r="D42" s="443"/>
      <c r="E42" s="443"/>
      <c r="F42" s="443"/>
      <c r="G42" s="443"/>
    </row>
    <row r="43" spans="1:7" ht="17.25" customHeight="1" thickBot="1">
      <c r="A43" s="58"/>
      <c r="B43" s="444" t="s">
        <v>11</v>
      </c>
      <c r="C43" s="444"/>
      <c r="D43" s="444"/>
      <c r="E43" s="444"/>
      <c r="F43" s="444"/>
      <c r="G43" s="444"/>
    </row>
    <row r="44" spans="1:7" ht="19.350000000000001" customHeight="1">
      <c r="A44" s="99">
        <v>182</v>
      </c>
      <c r="B44" s="100" t="s">
        <v>38</v>
      </c>
      <c r="C44" s="81">
        <v>250</v>
      </c>
      <c r="D44" s="10">
        <v>7.33</v>
      </c>
      <c r="E44" s="11">
        <v>11.44</v>
      </c>
      <c r="F44" s="11">
        <v>36.159999999999997</v>
      </c>
      <c r="G44" s="12">
        <v>278.20999999999998</v>
      </c>
    </row>
    <row r="45" spans="1:7" ht="17.100000000000001" customHeight="1">
      <c r="A45" s="101">
        <v>382</v>
      </c>
      <c r="B45" s="102" t="s">
        <v>39</v>
      </c>
      <c r="C45" s="103">
        <v>180</v>
      </c>
      <c r="D45" s="104">
        <v>4.07</v>
      </c>
      <c r="E45" s="105">
        <v>3.54</v>
      </c>
      <c r="F45" s="105">
        <v>17.57</v>
      </c>
      <c r="G45" s="106">
        <v>118.6</v>
      </c>
    </row>
    <row r="46" spans="1:7" ht="17.100000000000001" customHeight="1">
      <c r="A46" s="19">
        <v>3</v>
      </c>
      <c r="B46" s="20" t="s">
        <v>14</v>
      </c>
      <c r="C46" s="21" t="s">
        <v>15</v>
      </c>
      <c r="D46" s="22">
        <v>6.3</v>
      </c>
      <c r="E46" s="23">
        <v>9.17</v>
      </c>
      <c r="F46" s="23">
        <v>19.399999999999999</v>
      </c>
      <c r="G46" s="24">
        <v>185.33</v>
      </c>
    </row>
    <row r="47" spans="1:7" ht="18.600000000000001" customHeight="1" thickBot="1">
      <c r="A47" s="73"/>
      <c r="B47" s="102" t="s">
        <v>13</v>
      </c>
      <c r="C47" s="107">
        <v>40</v>
      </c>
      <c r="D47" s="16">
        <v>3.04</v>
      </c>
      <c r="E47" s="17">
        <v>0.36</v>
      </c>
      <c r="F47" s="17">
        <v>19.88</v>
      </c>
      <c r="G47" s="18">
        <v>90.4</v>
      </c>
    </row>
    <row r="48" spans="1:7" ht="17.100000000000001" customHeight="1" thickBot="1">
      <c r="A48" s="58"/>
      <c r="B48" s="28" t="s">
        <v>17</v>
      </c>
      <c r="C48" s="108">
        <f>C44+C45+50+C47</f>
        <v>520</v>
      </c>
      <c r="D48" s="60">
        <f>SUM(D61:D63)</f>
        <v>34.57</v>
      </c>
      <c r="E48" s="61">
        <f>SUM(E61:E63)</f>
        <v>21.099999999999998</v>
      </c>
      <c r="F48" s="61">
        <f>SUM(F61:F63)</f>
        <v>47.52</v>
      </c>
      <c r="G48" s="62">
        <f>SUM(G61:G63)</f>
        <v>524.5</v>
      </c>
    </row>
    <row r="49" spans="1:7" ht="19.5" customHeight="1" thickBot="1">
      <c r="A49" s="33"/>
      <c r="B49" s="442" t="s">
        <v>18</v>
      </c>
      <c r="C49" s="442"/>
      <c r="D49" s="445"/>
      <c r="E49" s="445"/>
      <c r="F49" s="445"/>
      <c r="G49" s="445"/>
    </row>
    <row r="50" spans="1:7" ht="16.5" customHeight="1">
      <c r="A50" s="353">
        <v>108</v>
      </c>
      <c r="B50" s="409" t="s">
        <v>40</v>
      </c>
      <c r="C50" s="349">
        <v>250</v>
      </c>
      <c r="D50" s="112">
        <v>3.55</v>
      </c>
      <c r="E50" s="113">
        <v>4.59</v>
      </c>
      <c r="F50" s="113">
        <v>18.79</v>
      </c>
      <c r="G50" s="114">
        <v>144.25</v>
      </c>
    </row>
    <row r="51" spans="1:7" ht="15" customHeight="1">
      <c r="A51" s="354">
        <v>294</v>
      </c>
      <c r="B51" s="410" t="s">
        <v>41</v>
      </c>
      <c r="C51" s="350">
        <v>90</v>
      </c>
      <c r="D51" s="22">
        <v>13.47</v>
      </c>
      <c r="E51" s="23">
        <v>12.95</v>
      </c>
      <c r="F51" s="23">
        <v>12.58</v>
      </c>
      <c r="G51" s="24">
        <v>221</v>
      </c>
    </row>
    <row r="52" spans="1:7" ht="16.5" customHeight="1">
      <c r="A52" s="354">
        <v>139</v>
      </c>
      <c r="B52" s="410" t="s">
        <v>42</v>
      </c>
      <c r="C52" s="350">
        <v>150</v>
      </c>
      <c r="D52" s="22">
        <v>3.06</v>
      </c>
      <c r="E52" s="23">
        <v>5.52</v>
      </c>
      <c r="F52" s="23">
        <v>11.84</v>
      </c>
      <c r="G52" s="24">
        <v>115.5</v>
      </c>
    </row>
    <row r="53" spans="1:7" ht="15" customHeight="1">
      <c r="A53" s="354"/>
      <c r="B53" s="411" t="s">
        <v>13</v>
      </c>
      <c r="C53" s="351">
        <v>40</v>
      </c>
      <c r="D53" s="16">
        <v>3.04</v>
      </c>
      <c r="E53" s="17">
        <v>0.36</v>
      </c>
      <c r="F53" s="17">
        <v>19.88</v>
      </c>
      <c r="G53" s="18">
        <v>90.4</v>
      </c>
    </row>
    <row r="54" spans="1:7" ht="15" customHeight="1">
      <c r="A54" s="354"/>
      <c r="B54" s="412" t="s">
        <v>24</v>
      </c>
      <c r="C54" s="351">
        <v>30</v>
      </c>
      <c r="D54" s="16">
        <f>1.44/40*30</f>
        <v>1.0799999999999998</v>
      </c>
      <c r="E54" s="17">
        <f>0.36/40*30</f>
        <v>0.26999999999999996</v>
      </c>
      <c r="F54" s="17">
        <f>12.48/40*30</f>
        <v>9.36</v>
      </c>
      <c r="G54" s="18">
        <f>59.4/30*40</f>
        <v>79.2</v>
      </c>
    </row>
    <row r="55" spans="1:7">
      <c r="A55" s="101">
        <v>342</v>
      </c>
      <c r="B55" s="102" t="s">
        <v>43</v>
      </c>
      <c r="C55" s="386">
        <v>180</v>
      </c>
      <c r="D55" s="104">
        <f>1.6/1000*180</f>
        <v>0.28800000000000003</v>
      </c>
      <c r="E55" s="105">
        <f>0.4/1000*180</f>
        <v>7.2000000000000008E-2</v>
      </c>
      <c r="F55" s="105">
        <f>141/1000*180</f>
        <v>25.38</v>
      </c>
      <c r="G55" s="106">
        <f>583/1000*180</f>
        <v>104.94</v>
      </c>
    </row>
    <row r="56" spans="1:7" ht="18.600000000000001" customHeight="1" thickBot="1">
      <c r="A56" s="355"/>
      <c r="B56" s="413" t="s">
        <v>44</v>
      </c>
      <c r="C56" s="352" t="s">
        <v>45</v>
      </c>
      <c r="D56" s="117">
        <v>1.6</v>
      </c>
      <c r="E56" s="118">
        <v>4.2</v>
      </c>
      <c r="F56" s="118">
        <v>17.12</v>
      </c>
      <c r="G56" s="119">
        <v>112.75</v>
      </c>
    </row>
    <row r="57" spans="1:7" ht="20.100000000000001" customHeight="1" thickBot="1">
      <c r="A57" s="33"/>
      <c r="B57" s="261" t="s">
        <v>26</v>
      </c>
      <c r="C57" s="121">
        <f>SUM(C50:C55)</f>
        <v>740</v>
      </c>
      <c r="D57" s="122">
        <f>SUM(D50:D55)</f>
        <v>24.487999999999996</v>
      </c>
      <c r="E57" s="123">
        <f>SUM(E50:E55)</f>
        <v>23.761999999999997</v>
      </c>
      <c r="F57" s="123">
        <f>SUM(F50:F55)</f>
        <v>97.829999999999984</v>
      </c>
      <c r="G57" s="124">
        <f>SUM(G50:G55)</f>
        <v>755.29</v>
      </c>
    </row>
    <row r="58" spans="1:7" ht="18.600000000000001" customHeight="1" thickBot="1">
      <c r="A58" s="58"/>
      <c r="B58" s="28" t="s">
        <v>27</v>
      </c>
      <c r="C58" s="125">
        <f>C48+C57</f>
        <v>1260</v>
      </c>
      <c r="D58" s="60">
        <f>D48+D57</f>
        <v>59.057999999999993</v>
      </c>
      <c r="E58" s="61">
        <f>E48+E57</f>
        <v>44.861999999999995</v>
      </c>
      <c r="F58" s="61">
        <f>F48+F57</f>
        <v>145.35</v>
      </c>
      <c r="G58" s="62">
        <f>G48+G57</f>
        <v>1279.79</v>
      </c>
    </row>
    <row r="59" spans="1:7" ht="19.5" customHeight="1" thickBot="1">
      <c r="A59" s="443" t="s">
        <v>46</v>
      </c>
      <c r="B59" s="443"/>
      <c r="C59" s="443"/>
      <c r="D59" s="443"/>
      <c r="E59" s="443"/>
      <c r="F59" s="443"/>
      <c r="G59" s="443"/>
    </row>
    <row r="60" spans="1:7" ht="19.5" customHeight="1" thickBot="1">
      <c r="A60" s="6"/>
      <c r="B60" s="444" t="s">
        <v>11</v>
      </c>
      <c r="C60" s="444"/>
      <c r="D60" s="444"/>
      <c r="E60" s="444"/>
      <c r="F60" s="444"/>
      <c r="G60" s="444"/>
    </row>
    <row r="61" spans="1:7" ht="16.5" customHeight="1">
      <c r="A61" s="80">
        <v>223</v>
      </c>
      <c r="B61" s="126" t="s">
        <v>47</v>
      </c>
      <c r="C61" s="36" t="s">
        <v>30</v>
      </c>
      <c r="D61" s="127">
        <v>26.31</v>
      </c>
      <c r="E61" s="11">
        <v>18.079999999999998</v>
      </c>
      <c r="F61" s="11">
        <v>25.73</v>
      </c>
      <c r="G61" s="12">
        <v>370.5</v>
      </c>
    </row>
    <row r="62" spans="1:7" ht="18" customHeight="1">
      <c r="A62" s="72">
        <v>386</v>
      </c>
      <c r="B62" s="128" t="s">
        <v>31</v>
      </c>
      <c r="C62" s="72">
        <v>180</v>
      </c>
      <c r="D62" s="129">
        <v>8.1999999999999993</v>
      </c>
      <c r="E62" s="23">
        <v>3</v>
      </c>
      <c r="F62" s="23">
        <v>11.8</v>
      </c>
      <c r="G62" s="24">
        <v>114</v>
      </c>
    </row>
    <row r="63" spans="1:7" ht="17.850000000000001" customHeight="1" thickBot="1">
      <c r="A63" s="241">
        <v>392</v>
      </c>
      <c r="B63" s="131" t="s">
        <v>48</v>
      </c>
      <c r="C63" s="75">
        <v>180</v>
      </c>
      <c r="D63" s="132">
        <v>0.06</v>
      </c>
      <c r="E63" s="133">
        <v>0.02</v>
      </c>
      <c r="F63" s="133">
        <v>9.99</v>
      </c>
      <c r="G63" s="134">
        <v>40</v>
      </c>
    </row>
    <row r="64" spans="1:7" ht="19.350000000000001" customHeight="1" thickBot="1">
      <c r="A64" s="360"/>
      <c r="B64" s="265" t="s">
        <v>17</v>
      </c>
      <c r="C64" s="135">
        <f>C62+C63++170</f>
        <v>530</v>
      </c>
      <c r="D64" s="136">
        <f>SUM(D44:D47)</f>
        <v>20.74</v>
      </c>
      <c r="E64" s="137">
        <f>SUM(E44:E47)</f>
        <v>24.509999999999998</v>
      </c>
      <c r="F64" s="137">
        <f>SUM(F44:F47)</f>
        <v>93.009999999999991</v>
      </c>
      <c r="G64" s="138">
        <f>SUM(G44:G47)</f>
        <v>672.54</v>
      </c>
    </row>
    <row r="65" spans="1:7" ht="19.5" customHeight="1" thickBot="1">
      <c r="A65" s="139"/>
      <c r="B65" s="446" t="s">
        <v>18</v>
      </c>
      <c r="C65" s="446"/>
      <c r="D65" s="446"/>
      <c r="E65" s="446"/>
      <c r="F65" s="446"/>
      <c r="G65" s="446"/>
    </row>
    <row r="66" spans="1:7" ht="16.350000000000001" customHeight="1">
      <c r="A66" s="80">
        <v>71</v>
      </c>
      <c r="B66" s="140" t="s">
        <v>49</v>
      </c>
      <c r="C66" s="81">
        <v>60</v>
      </c>
      <c r="D66" s="10">
        <v>0.43</v>
      </c>
      <c r="E66" s="11">
        <v>0.08</v>
      </c>
      <c r="F66" s="11">
        <v>1.1399999999999999</v>
      </c>
      <c r="G66" s="12">
        <v>7.2</v>
      </c>
    </row>
    <row r="67" spans="1:7" ht="17.850000000000001" customHeight="1">
      <c r="A67" s="72">
        <v>78</v>
      </c>
      <c r="B67" s="141" t="s">
        <v>50</v>
      </c>
      <c r="C67" s="88">
        <v>250</v>
      </c>
      <c r="D67" s="142">
        <f>6.62/1000*250</f>
        <v>1.655</v>
      </c>
      <c r="E67" s="367">
        <f>22.37/1000*250</f>
        <v>5.5925000000000002</v>
      </c>
      <c r="F67" s="367">
        <f>36.57/1000*250</f>
        <v>9.1425000000000001</v>
      </c>
      <c r="G67" s="144">
        <f>374/1000*250</f>
        <v>93.5</v>
      </c>
    </row>
    <row r="68" spans="1:7" ht="18.600000000000001" customHeight="1">
      <c r="A68" s="72">
        <v>259</v>
      </c>
      <c r="B68" s="145" t="s">
        <v>51</v>
      </c>
      <c r="C68" s="146" t="s">
        <v>52</v>
      </c>
      <c r="D68" s="22">
        <v>21.3</v>
      </c>
      <c r="E68" s="23">
        <v>22.8</v>
      </c>
      <c r="F68" s="23">
        <v>21.8</v>
      </c>
      <c r="G68" s="24">
        <v>387.7</v>
      </c>
    </row>
    <row r="69" spans="1:7" ht="18.600000000000001" customHeight="1">
      <c r="A69" s="72"/>
      <c r="B69" s="94" t="s">
        <v>13</v>
      </c>
      <c r="C69" s="15">
        <v>40</v>
      </c>
      <c r="D69" s="16">
        <v>3.04</v>
      </c>
      <c r="E69" s="17">
        <v>0.36</v>
      </c>
      <c r="F69" s="17">
        <v>19.88</v>
      </c>
      <c r="G69" s="18">
        <v>90.4</v>
      </c>
    </row>
    <row r="70" spans="1:7" ht="19.350000000000001" customHeight="1">
      <c r="A70" s="72"/>
      <c r="B70" s="95" t="s">
        <v>24</v>
      </c>
      <c r="C70" s="15">
        <v>30</v>
      </c>
      <c r="D70" s="16">
        <f>1.44/40*30</f>
        <v>1.0799999999999998</v>
      </c>
      <c r="E70" s="17">
        <f>0.36/40*30</f>
        <v>0.26999999999999996</v>
      </c>
      <c r="F70" s="17">
        <f>12.48/40*30</f>
        <v>9.36</v>
      </c>
      <c r="G70" s="18">
        <f>59.4/30*40</f>
        <v>79.2</v>
      </c>
    </row>
    <row r="71" spans="1:7" ht="19.350000000000001" customHeight="1" thickBot="1">
      <c r="A71" s="96">
        <v>349</v>
      </c>
      <c r="B71" s="115" t="s">
        <v>36</v>
      </c>
      <c r="C71" s="54">
        <v>180</v>
      </c>
      <c r="D71" s="55">
        <f>3.31/1000*180</f>
        <v>0.5958</v>
      </c>
      <c r="E71" s="56">
        <f>0.45/1000*180</f>
        <v>8.1000000000000003E-2</v>
      </c>
      <c r="F71" s="56">
        <f>160.07/1000*180</f>
        <v>28.8126</v>
      </c>
      <c r="G71" s="57">
        <f>664/1000*180</f>
        <v>119.52000000000001</v>
      </c>
    </row>
    <row r="72" spans="1:7" ht="20.25" customHeight="1" thickBot="1">
      <c r="A72" s="97"/>
      <c r="B72" s="147" t="s">
        <v>26</v>
      </c>
      <c r="C72" s="148">
        <f>C66+C67+C69+C70+C71+230</f>
        <v>790</v>
      </c>
      <c r="D72" s="149">
        <f>SUM(D66:D71)</f>
        <v>28.1008</v>
      </c>
      <c r="E72" s="61">
        <f>SUM(E66:E71)</f>
        <v>29.183499999999999</v>
      </c>
      <c r="F72" s="61">
        <f>SUM(F66:F71)</f>
        <v>90.135100000000008</v>
      </c>
      <c r="G72" s="62">
        <f>SUM(G66:G71)</f>
        <v>777.52</v>
      </c>
    </row>
    <row r="73" spans="1:7" ht="20.100000000000001" customHeight="1" thickBot="1">
      <c r="A73" s="58"/>
      <c r="B73" s="28" t="s">
        <v>27</v>
      </c>
      <c r="C73" s="150">
        <f>C64+C72</f>
        <v>1320</v>
      </c>
      <c r="D73" s="149">
        <f>D64+D72</f>
        <v>48.840800000000002</v>
      </c>
      <c r="E73" s="61">
        <f>E64+E72</f>
        <v>53.6935</v>
      </c>
      <c r="F73" s="61">
        <f>F64+F72</f>
        <v>183.14510000000001</v>
      </c>
      <c r="G73" s="62">
        <f>G64+G72</f>
        <v>1450.06</v>
      </c>
    </row>
    <row r="74" spans="1:7" ht="19.5" customHeight="1" thickBot="1">
      <c r="A74" s="443" t="s">
        <v>53</v>
      </c>
      <c r="B74" s="443"/>
      <c r="C74" s="443"/>
      <c r="D74" s="443"/>
      <c r="E74" s="443"/>
      <c r="F74" s="443"/>
      <c r="G74" s="443"/>
    </row>
    <row r="75" spans="1:7" ht="19.5" customHeight="1" thickBot="1">
      <c r="A75" s="6"/>
      <c r="B75" s="441" t="s">
        <v>11</v>
      </c>
      <c r="C75" s="441"/>
      <c r="D75" s="441"/>
      <c r="E75" s="441"/>
      <c r="F75" s="441"/>
      <c r="G75" s="441"/>
    </row>
    <row r="76" spans="1:7" ht="17.100000000000001" customHeight="1">
      <c r="A76" s="7">
        <v>182</v>
      </c>
      <c r="B76" s="8" t="s">
        <v>12</v>
      </c>
      <c r="C76" s="9">
        <v>250</v>
      </c>
      <c r="D76" s="151">
        <v>7.63</v>
      </c>
      <c r="E76" s="152">
        <v>12.52</v>
      </c>
      <c r="F76" s="152">
        <v>33.450000000000003</v>
      </c>
      <c r="G76" s="153">
        <v>278.20999999999998</v>
      </c>
    </row>
    <row r="77" spans="1:7" ht="17.100000000000001" customHeight="1">
      <c r="A77" s="154"/>
      <c r="B77" s="51" t="s">
        <v>13</v>
      </c>
      <c r="C77" s="15">
        <v>40</v>
      </c>
      <c r="D77" s="16">
        <v>3.04</v>
      </c>
      <c r="E77" s="17">
        <v>0.36</v>
      </c>
      <c r="F77" s="17">
        <v>19.88</v>
      </c>
      <c r="G77" s="18">
        <v>90.4</v>
      </c>
    </row>
    <row r="78" spans="1:7" ht="18" customHeight="1">
      <c r="A78" s="19">
        <v>379</v>
      </c>
      <c r="B78" s="25" t="s">
        <v>16</v>
      </c>
      <c r="C78" s="155">
        <v>180</v>
      </c>
      <c r="D78" s="22">
        <v>3.16</v>
      </c>
      <c r="E78" s="23">
        <v>2.7</v>
      </c>
      <c r="F78" s="23">
        <v>16</v>
      </c>
      <c r="G78" s="24">
        <v>100.6</v>
      </c>
    </row>
    <row r="79" spans="1:7" ht="18.600000000000001" customHeight="1" thickBot="1">
      <c r="A79" s="156"/>
      <c r="B79" s="157" t="s">
        <v>44</v>
      </c>
      <c r="C79" s="158" t="s">
        <v>45</v>
      </c>
      <c r="D79" s="117">
        <v>1.6</v>
      </c>
      <c r="E79" s="118">
        <v>4.2</v>
      </c>
      <c r="F79" s="118">
        <v>17.12</v>
      </c>
      <c r="G79" s="119">
        <v>112.75</v>
      </c>
    </row>
    <row r="80" spans="1:7" ht="19.350000000000001" customHeight="1" thickBot="1">
      <c r="A80" s="97"/>
      <c r="B80" s="147" t="s">
        <v>17</v>
      </c>
      <c r="C80" s="98">
        <f>C76+C77+C78+C79</f>
        <v>520</v>
      </c>
      <c r="D80" s="149">
        <f>SUM(D76:D79)</f>
        <v>15.43</v>
      </c>
      <c r="E80" s="61">
        <f>SUM(E76:E79)</f>
        <v>19.779999999999998</v>
      </c>
      <c r="F80" s="61">
        <f>SUM(F76:F79)</f>
        <v>86.45</v>
      </c>
      <c r="G80" s="62">
        <f>SUM(G76:G79)</f>
        <v>581.96</v>
      </c>
    </row>
    <row r="81" spans="1:7" ht="19.5" customHeight="1" thickBot="1">
      <c r="A81" s="33"/>
      <c r="B81" s="442"/>
      <c r="C81" s="442"/>
      <c r="D81" s="442"/>
      <c r="E81" s="442"/>
      <c r="F81" s="442"/>
      <c r="G81" s="442"/>
    </row>
    <row r="82" spans="1:7" ht="15.75" customHeight="1">
      <c r="A82" s="80">
        <v>24</v>
      </c>
      <c r="B82" s="35" t="s">
        <v>19</v>
      </c>
      <c r="C82" s="36">
        <v>60</v>
      </c>
      <c r="D82" s="10">
        <f>9.64/1000*60</f>
        <v>0.57840000000000003</v>
      </c>
      <c r="E82" s="11">
        <f>60.76/1000*60</f>
        <v>3.6455999999999995</v>
      </c>
      <c r="F82" s="11">
        <f>36.46/1000*60</f>
        <v>2.1875999999999998</v>
      </c>
      <c r="G82" s="12">
        <f>707/1000*60</f>
        <v>42.419999999999995</v>
      </c>
    </row>
    <row r="83" spans="1:7" ht="18" customHeight="1">
      <c r="A83" s="72">
        <v>106</v>
      </c>
      <c r="B83" s="159" t="s">
        <v>54</v>
      </c>
      <c r="C83" s="160">
        <v>250</v>
      </c>
      <c r="D83" s="22">
        <v>2.19</v>
      </c>
      <c r="E83" s="23">
        <v>2.78</v>
      </c>
      <c r="F83" s="23">
        <v>15.39</v>
      </c>
      <c r="G83" s="24">
        <v>106</v>
      </c>
    </row>
    <row r="84" spans="1:7" ht="16.5" customHeight="1">
      <c r="A84" s="72">
        <v>290</v>
      </c>
      <c r="B84" s="161" t="s">
        <v>55</v>
      </c>
      <c r="C84" s="72">
        <v>100</v>
      </c>
      <c r="D84" s="22">
        <v>11.09</v>
      </c>
      <c r="E84" s="23">
        <v>11.26</v>
      </c>
      <c r="F84" s="23">
        <v>3.51</v>
      </c>
      <c r="G84" s="24">
        <v>166</v>
      </c>
    </row>
    <row r="85" spans="1:7" ht="15.6" customHeight="1">
      <c r="A85" s="44">
        <v>312</v>
      </c>
      <c r="B85" s="14" t="s">
        <v>56</v>
      </c>
      <c r="C85" s="358">
        <v>150</v>
      </c>
      <c r="D85" s="183">
        <f>20.43/1000*150</f>
        <v>3.0645000000000002</v>
      </c>
      <c r="E85" s="184">
        <f>32.01/1000*150</f>
        <v>4.8014999999999999</v>
      </c>
      <c r="F85" s="184">
        <f>136.26/1000*150</f>
        <v>20.439</v>
      </c>
      <c r="G85" s="185">
        <f>915/1000*150</f>
        <v>137.25</v>
      </c>
    </row>
    <row r="86" spans="1:7" ht="17.25" customHeight="1">
      <c r="A86" s="72"/>
      <c r="B86" s="51" t="s">
        <v>13</v>
      </c>
      <c r="C86" s="15">
        <v>40</v>
      </c>
      <c r="D86" s="16">
        <v>3.04</v>
      </c>
      <c r="E86" s="17">
        <v>0.36</v>
      </c>
      <c r="F86" s="17">
        <v>19.88</v>
      </c>
      <c r="G86" s="18">
        <v>90.4</v>
      </c>
    </row>
    <row r="87" spans="1:7" ht="18" customHeight="1">
      <c r="A87" s="72"/>
      <c r="B87" s="45" t="s">
        <v>24</v>
      </c>
      <c r="C87" s="15">
        <v>30</v>
      </c>
      <c r="D87" s="16">
        <f>1.44/40*30</f>
        <v>1.0799999999999998</v>
      </c>
      <c r="E87" s="17">
        <f>0.36/40*30</f>
        <v>0.26999999999999996</v>
      </c>
      <c r="F87" s="17">
        <f>12.48/40*30</f>
        <v>9.36</v>
      </c>
      <c r="G87" s="18">
        <f>59.4/30*40</f>
        <v>79.2</v>
      </c>
    </row>
    <row r="88" spans="1:7" ht="19.5" thickBot="1">
      <c r="A88" s="101">
        <v>342</v>
      </c>
      <c r="B88" s="102" t="s">
        <v>43</v>
      </c>
      <c r="C88" s="359">
        <v>180</v>
      </c>
      <c r="D88" s="104">
        <f>1.6/1000*180</f>
        <v>0.28800000000000003</v>
      </c>
      <c r="E88" s="105">
        <f>0.4/1000*180</f>
        <v>7.2000000000000008E-2</v>
      </c>
      <c r="F88" s="105">
        <f>141/1000*180</f>
        <v>25.38</v>
      </c>
      <c r="G88" s="106">
        <f>583/1000*180</f>
        <v>104.94</v>
      </c>
    </row>
    <row r="89" spans="1:7" ht="19.5" thickBot="1">
      <c r="A89" s="97"/>
      <c r="B89" s="147" t="s">
        <v>26</v>
      </c>
      <c r="C89" s="162">
        <f>SUM(C82:C88)</f>
        <v>810</v>
      </c>
      <c r="D89" s="149">
        <f>SUM(D82:D88)</f>
        <v>21.330899999999996</v>
      </c>
      <c r="E89" s="61">
        <f>SUM(E82:E88)</f>
        <v>23.1891</v>
      </c>
      <c r="F89" s="61">
        <f>SUM(F82:F88)</f>
        <v>96.146599999999992</v>
      </c>
      <c r="G89" s="62">
        <f>SUM(G82:G88)</f>
        <v>726.21</v>
      </c>
    </row>
    <row r="90" spans="1:7" ht="19.5" thickBot="1">
      <c r="A90" s="97"/>
      <c r="B90" s="147" t="s">
        <v>27</v>
      </c>
      <c r="C90" s="63">
        <f>C80+C89</f>
        <v>1330</v>
      </c>
      <c r="D90" s="163">
        <f>D80+D89</f>
        <v>36.760899999999992</v>
      </c>
      <c r="E90" s="137">
        <f>E80+E89</f>
        <v>42.969099999999997</v>
      </c>
      <c r="F90" s="137">
        <f>F80+F89</f>
        <v>182.5966</v>
      </c>
      <c r="G90" s="138">
        <f>G80+G89</f>
        <v>1308.17</v>
      </c>
    </row>
    <row r="91" spans="1:7" ht="19.5" customHeight="1" thickBot="1">
      <c r="A91" s="447" t="s">
        <v>57</v>
      </c>
      <c r="B91" s="447"/>
      <c r="C91" s="447"/>
      <c r="D91" s="447"/>
      <c r="E91" s="447"/>
      <c r="F91" s="447"/>
      <c r="G91" s="447"/>
    </row>
    <row r="92" spans="1:7" ht="18" customHeight="1" thickBot="1">
      <c r="A92" s="6"/>
      <c r="B92" s="441" t="s">
        <v>11</v>
      </c>
      <c r="C92" s="441"/>
      <c r="D92" s="441"/>
      <c r="E92" s="441"/>
      <c r="F92" s="441"/>
      <c r="G92" s="441"/>
    </row>
    <row r="93" spans="1:7">
      <c r="A93" s="34">
        <v>219</v>
      </c>
      <c r="B93" s="100" t="s">
        <v>58</v>
      </c>
      <c r="C93" s="164" t="s">
        <v>30</v>
      </c>
      <c r="D93" s="10">
        <v>26.27</v>
      </c>
      <c r="E93" s="11">
        <v>14.4</v>
      </c>
      <c r="F93" s="11">
        <v>30.15</v>
      </c>
      <c r="G93" s="12">
        <v>336</v>
      </c>
    </row>
    <row r="94" spans="1:7">
      <c r="A94" s="19">
        <v>386</v>
      </c>
      <c r="B94" s="20" t="s">
        <v>31</v>
      </c>
      <c r="C94" s="88">
        <v>180</v>
      </c>
      <c r="D94" s="22">
        <v>8</v>
      </c>
      <c r="E94" s="23">
        <v>3</v>
      </c>
      <c r="F94" s="23">
        <v>28.6</v>
      </c>
      <c r="G94" s="24">
        <v>180</v>
      </c>
    </row>
    <row r="95" spans="1:7" ht="17.25" customHeight="1" thickBot="1">
      <c r="A95" s="130">
        <v>392</v>
      </c>
      <c r="B95" s="131" t="s">
        <v>48</v>
      </c>
      <c r="C95" s="75">
        <v>180</v>
      </c>
      <c r="D95" s="132">
        <v>0.06</v>
      </c>
      <c r="E95" s="133">
        <v>0.02</v>
      </c>
      <c r="F95" s="133">
        <v>9.99</v>
      </c>
      <c r="G95" s="134">
        <v>40</v>
      </c>
    </row>
    <row r="96" spans="1:7" ht="19.5" thickBot="1">
      <c r="A96" s="58"/>
      <c r="B96" s="28" t="s">
        <v>17</v>
      </c>
      <c r="C96" s="64">
        <f>170+C94+C95</f>
        <v>530</v>
      </c>
      <c r="D96" s="60">
        <f>SUM(D93:D95)</f>
        <v>34.33</v>
      </c>
      <c r="E96" s="61">
        <f>SUM(E93:E95)</f>
        <v>17.419999999999998</v>
      </c>
      <c r="F96" s="61">
        <f>SUM(F93:F95)</f>
        <v>68.739999999999995</v>
      </c>
      <c r="G96" s="62">
        <f>SUM(G93:G95)</f>
        <v>556</v>
      </c>
    </row>
    <row r="97" spans="1:10" ht="19.5" customHeight="1" thickBot="1">
      <c r="A97" s="33"/>
      <c r="B97" s="442" t="s">
        <v>18</v>
      </c>
      <c r="C97" s="442"/>
      <c r="D97" s="442"/>
      <c r="E97" s="442"/>
      <c r="F97" s="442"/>
      <c r="G97" s="442"/>
    </row>
    <row r="98" spans="1:10">
      <c r="A98" s="165">
        <v>23</v>
      </c>
      <c r="B98" s="35" t="s">
        <v>19</v>
      </c>
      <c r="C98" s="166">
        <v>60</v>
      </c>
      <c r="D98" s="127">
        <v>0.56999999999999995</v>
      </c>
      <c r="E98" s="11">
        <v>3.63</v>
      </c>
      <c r="F98" s="11">
        <v>1.82</v>
      </c>
      <c r="G98" s="12">
        <v>42.36</v>
      </c>
      <c r="H98" s="167"/>
      <c r="I98" s="167"/>
      <c r="J98" s="167"/>
    </row>
    <row r="99" spans="1:10" s="167" customFormat="1" ht="19.5" customHeight="1">
      <c r="A99" s="168">
        <v>83</v>
      </c>
      <c r="B99" s="45" t="s">
        <v>59</v>
      </c>
      <c r="C99" s="44">
        <v>250</v>
      </c>
      <c r="D99" s="169">
        <v>2.19</v>
      </c>
      <c r="E99" s="170">
        <v>2.78</v>
      </c>
      <c r="F99" s="170">
        <v>15.39</v>
      </c>
      <c r="G99" s="49">
        <v>106</v>
      </c>
      <c r="H99" s="3"/>
      <c r="I99" s="3"/>
      <c r="J99" s="3"/>
    </row>
    <row r="100" spans="1:10">
      <c r="A100" s="19">
        <v>291</v>
      </c>
      <c r="B100" s="20" t="s">
        <v>60</v>
      </c>
      <c r="C100" s="171">
        <v>150</v>
      </c>
      <c r="D100" s="129">
        <v>17.899999999999999</v>
      </c>
      <c r="E100" s="23">
        <v>12.03</v>
      </c>
      <c r="F100" s="23">
        <v>31.3</v>
      </c>
      <c r="G100" s="24">
        <v>351.1</v>
      </c>
    </row>
    <row r="101" spans="1:10">
      <c r="A101" s="19"/>
      <c r="B101" s="51" t="s">
        <v>13</v>
      </c>
      <c r="C101" s="172">
        <v>40</v>
      </c>
      <c r="D101" s="173">
        <v>3.04</v>
      </c>
      <c r="E101" s="17">
        <v>0.36</v>
      </c>
      <c r="F101" s="17">
        <v>19.88</v>
      </c>
      <c r="G101" s="18">
        <v>90.4</v>
      </c>
    </row>
    <row r="102" spans="1:10">
      <c r="A102" s="19"/>
      <c r="B102" s="45" t="s">
        <v>24</v>
      </c>
      <c r="C102" s="172">
        <v>30</v>
      </c>
      <c r="D102" s="173">
        <f>1.44/40*30</f>
        <v>1.0799999999999998</v>
      </c>
      <c r="E102" s="17">
        <f>0.36/40*30</f>
        <v>0.26999999999999996</v>
      </c>
      <c r="F102" s="17">
        <f>12.48/40*30</f>
        <v>9.36</v>
      </c>
      <c r="G102" s="18">
        <f>59.4/30*40</f>
        <v>79.2</v>
      </c>
    </row>
    <row r="103" spans="1:10" ht="19.5" thickBot="1">
      <c r="A103" s="156">
        <v>389</v>
      </c>
      <c r="B103" s="174" t="s">
        <v>25</v>
      </c>
      <c r="C103" s="175">
        <v>180</v>
      </c>
      <c r="D103" s="176">
        <v>1</v>
      </c>
      <c r="E103" s="118">
        <v>0</v>
      </c>
      <c r="F103" s="118">
        <v>25.4</v>
      </c>
      <c r="G103" s="119">
        <v>110</v>
      </c>
    </row>
    <row r="104" spans="1:10" ht="19.5" thickBot="1">
      <c r="A104" s="97"/>
      <c r="B104" s="147" t="s">
        <v>26</v>
      </c>
      <c r="C104" s="98">
        <f>C98+C99+C101+C102+C103+C100</f>
        <v>710</v>
      </c>
      <c r="D104" s="136">
        <f>SUM(D98:D103)</f>
        <v>25.779999999999994</v>
      </c>
      <c r="E104" s="137">
        <f>SUM(E98:E103)</f>
        <v>19.069999999999997</v>
      </c>
      <c r="F104" s="137">
        <f>SUM(F98:F103)</f>
        <v>103.15</v>
      </c>
      <c r="G104" s="138">
        <f>SUM(G98:G103)</f>
        <v>779.06000000000006</v>
      </c>
    </row>
    <row r="105" spans="1:10" ht="19.5" thickBot="1">
      <c r="A105" s="58"/>
      <c r="B105" s="28" t="s">
        <v>27</v>
      </c>
      <c r="C105" s="63">
        <f>C96+C104</f>
        <v>1240</v>
      </c>
      <c r="D105" s="149">
        <f>D96+D104</f>
        <v>60.109999999999992</v>
      </c>
      <c r="E105" s="61">
        <f>E96+E104</f>
        <v>36.489999999999995</v>
      </c>
      <c r="F105" s="61">
        <f>F96+F104</f>
        <v>171.89</v>
      </c>
      <c r="G105" s="62">
        <f>G96+G104</f>
        <v>1335.06</v>
      </c>
    </row>
    <row r="106" spans="1:10" ht="19.5" customHeight="1" thickBot="1">
      <c r="A106" s="443" t="s">
        <v>61</v>
      </c>
      <c r="B106" s="443"/>
      <c r="C106" s="443"/>
      <c r="D106" s="443"/>
      <c r="E106" s="443"/>
      <c r="F106" s="443"/>
      <c r="G106" s="443"/>
    </row>
    <row r="107" spans="1:10" ht="19.5" customHeight="1" thickBot="1">
      <c r="A107" s="6"/>
      <c r="B107" s="441" t="s">
        <v>11</v>
      </c>
      <c r="C107" s="441"/>
      <c r="D107" s="441"/>
      <c r="E107" s="441"/>
      <c r="F107" s="441"/>
      <c r="G107" s="441"/>
    </row>
    <row r="108" spans="1:10">
      <c r="A108" s="177">
        <v>204</v>
      </c>
      <c r="B108" s="178" t="s">
        <v>62</v>
      </c>
      <c r="C108" s="111" t="s">
        <v>63</v>
      </c>
      <c r="D108" s="179">
        <v>5.96</v>
      </c>
      <c r="E108" s="180">
        <v>10.46</v>
      </c>
      <c r="F108" s="180">
        <v>31.6</v>
      </c>
      <c r="G108" s="181">
        <v>245.02</v>
      </c>
    </row>
    <row r="109" spans="1:10">
      <c r="A109" s="182">
        <v>382</v>
      </c>
      <c r="B109" s="102" t="s">
        <v>39</v>
      </c>
      <c r="C109" s="103">
        <v>180</v>
      </c>
      <c r="D109" s="104">
        <v>4.07</v>
      </c>
      <c r="E109" s="105">
        <v>3.54</v>
      </c>
      <c r="F109" s="105">
        <v>17.57</v>
      </c>
      <c r="G109" s="106">
        <v>118.6</v>
      </c>
    </row>
    <row r="110" spans="1:10">
      <c r="A110" s="19"/>
      <c r="B110" s="14" t="s">
        <v>13</v>
      </c>
      <c r="C110" s="15">
        <v>40</v>
      </c>
      <c r="D110" s="183">
        <v>2.2799999999999998</v>
      </c>
      <c r="E110" s="184">
        <v>0.27</v>
      </c>
      <c r="F110" s="184">
        <v>14.91</v>
      </c>
      <c r="G110" s="185">
        <v>67.8</v>
      </c>
    </row>
    <row r="111" spans="1:10" ht="19.5" thickBot="1">
      <c r="A111" s="156">
        <v>338</v>
      </c>
      <c r="B111" s="157" t="s">
        <v>32</v>
      </c>
      <c r="C111" s="116">
        <v>150</v>
      </c>
      <c r="D111" s="186">
        <v>0.8</v>
      </c>
      <c r="E111" s="187">
        <v>0.7</v>
      </c>
      <c r="F111" s="187">
        <v>20.3</v>
      </c>
      <c r="G111" s="188">
        <v>85.5</v>
      </c>
    </row>
    <row r="112" spans="1:10" ht="19.5" thickBot="1">
      <c r="A112" s="97"/>
      <c r="B112" s="147" t="s">
        <v>17</v>
      </c>
      <c r="C112" s="98">
        <f>170+C109+C110+C111</f>
        <v>540</v>
      </c>
      <c r="D112" s="60">
        <f>SUM(D108:D111)</f>
        <v>13.110000000000001</v>
      </c>
      <c r="E112" s="61">
        <f>SUM(E108:E111)</f>
        <v>14.969999999999999</v>
      </c>
      <c r="F112" s="61">
        <f>SUM(F108:F111)</f>
        <v>84.38</v>
      </c>
      <c r="G112" s="62">
        <f>SUM(G108:G111)</f>
        <v>516.92000000000007</v>
      </c>
    </row>
    <row r="113" spans="1:10" ht="19.5" customHeight="1" thickBot="1">
      <c r="A113" s="97"/>
      <c r="B113" s="445" t="s">
        <v>18</v>
      </c>
      <c r="C113" s="445"/>
      <c r="D113" s="445"/>
      <c r="E113" s="445"/>
      <c r="F113" s="445"/>
      <c r="G113" s="445"/>
    </row>
    <row r="114" spans="1:10" ht="19.5" hidden="1" thickBot="1">
      <c r="A114" s="189"/>
      <c r="B114" s="190"/>
      <c r="C114" s="191"/>
      <c r="D114" s="192"/>
      <c r="E114" s="192"/>
      <c r="F114" s="192"/>
      <c r="G114" s="193"/>
    </row>
    <row r="115" spans="1:10">
      <c r="A115" s="194">
        <v>102</v>
      </c>
      <c r="B115" s="195" t="s">
        <v>64</v>
      </c>
      <c r="C115" s="111">
        <v>250</v>
      </c>
      <c r="D115" s="196">
        <v>5.49</v>
      </c>
      <c r="E115" s="197">
        <v>5.27</v>
      </c>
      <c r="F115" s="198">
        <v>16.5</v>
      </c>
      <c r="G115" s="199">
        <v>148.30000000000001</v>
      </c>
    </row>
    <row r="116" spans="1:10">
      <c r="A116" s="200">
        <v>298</v>
      </c>
      <c r="B116" s="201" t="s">
        <v>65</v>
      </c>
      <c r="C116" s="202">
        <v>170</v>
      </c>
      <c r="D116" s="406">
        <v>14.12</v>
      </c>
      <c r="E116" s="407">
        <v>9.0399999999999991</v>
      </c>
      <c r="F116" s="407">
        <v>20.260000000000002</v>
      </c>
      <c r="G116" s="408">
        <v>219</v>
      </c>
    </row>
    <row r="117" spans="1:10">
      <c r="A117" s="19"/>
      <c r="B117" s="51" t="s">
        <v>13</v>
      </c>
      <c r="C117" s="15">
        <v>40</v>
      </c>
      <c r="D117" s="16">
        <v>3.04</v>
      </c>
      <c r="E117" s="17">
        <v>0.36</v>
      </c>
      <c r="F117" s="17">
        <v>19.88</v>
      </c>
      <c r="G117" s="18">
        <v>90.4</v>
      </c>
    </row>
    <row r="118" spans="1:10">
      <c r="A118" s="19"/>
      <c r="B118" s="45" t="s">
        <v>24</v>
      </c>
      <c r="C118" s="15">
        <v>40</v>
      </c>
      <c r="D118" s="16">
        <f>1.44</f>
        <v>1.44</v>
      </c>
      <c r="E118" s="17">
        <f>0.36</f>
        <v>0.36</v>
      </c>
      <c r="F118" s="17">
        <f>12.48</f>
        <v>12.48</v>
      </c>
      <c r="G118" s="18">
        <f>59.4</f>
        <v>59.4</v>
      </c>
    </row>
    <row r="119" spans="1:10" ht="19.5" thickBot="1">
      <c r="A119" s="156">
        <v>389</v>
      </c>
      <c r="B119" s="174" t="s">
        <v>25</v>
      </c>
      <c r="C119" s="116">
        <v>200</v>
      </c>
      <c r="D119" s="117">
        <v>1</v>
      </c>
      <c r="E119" s="118">
        <v>0</v>
      </c>
      <c r="F119" s="118">
        <v>25.4</v>
      </c>
      <c r="G119" s="119">
        <v>110</v>
      </c>
    </row>
    <row r="120" spans="1:10" ht="19.5" thickBot="1">
      <c r="A120" s="97"/>
      <c r="B120" s="147" t="s">
        <v>26</v>
      </c>
      <c r="C120" s="98">
        <f>SUM(C115:C119)</f>
        <v>700</v>
      </c>
      <c r="D120" s="203">
        <f>SUM(D114:D119)</f>
        <v>25.09</v>
      </c>
      <c r="E120" s="204">
        <f>SUM(E114:E119)</f>
        <v>15.029999999999998</v>
      </c>
      <c r="F120" s="204">
        <f>SUM(F114:F119)</f>
        <v>94.52000000000001</v>
      </c>
      <c r="G120" s="205">
        <f>SUM(G114:G119)</f>
        <v>627.1</v>
      </c>
    </row>
    <row r="121" spans="1:10" ht="19.5" thickBot="1">
      <c r="A121" s="58"/>
      <c r="B121" s="28" t="s">
        <v>27</v>
      </c>
      <c r="C121" s="206">
        <f>C112+C120</f>
        <v>1240</v>
      </c>
      <c r="D121" s="149">
        <f>D112+D120</f>
        <v>38.200000000000003</v>
      </c>
      <c r="E121" s="61">
        <f>E112+E120</f>
        <v>29.999999999999996</v>
      </c>
      <c r="F121" s="61">
        <f>F112+F120</f>
        <v>178.9</v>
      </c>
      <c r="G121" s="62">
        <f>G112+G120</f>
        <v>1144.02</v>
      </c>
    </row>
    <row r="122" spans="1:10" ht="19.5" customHeight="1" thickBot="1">
      <c r="A122" s="448" t="s">
        <v>66</v>
      </c>
      <c r="B122" s="448"/>
      <c r="C122" s="448"/>
      <c r="D122" s="448"/>
      <c r="E122" s="448"/>
      <c r="F122" s="448"/>
      <c r="G122" s="448"/>
      <c r="H122" s="207"/>
      <c r="I122" s="207"/>
      <c r="J122" s="207"/>
    </row>
    <row r="123" spans="1:10" s="207" customFormat="1" ht="17.850000000000001" customHeight="1" thickBot="1">
      <c r="A123" s="58"/>
      <c r="B123" s="449" t="s">
        <v>67</v>
      </c>
      <c r="C123" s="449"/>
      <c r="D123" s="449"/>
      <c r="E123" s="449"/>
      <c r="F123" s="449"/>
      <c r="G123" s="449"/>
      <c r="H123" s="3"/>
      <c r="I123" s="3"/>
      <c r="J123" s="3"/>
    </row>
    <row r="124" spans="1:10">
      <c r="A124" s="7">
        <v>181</v>
      </c>
      <c r="B124" s="8" t="s">
        <v>12</v>
      </c>
      <c r="C124" s="208">
        <v>250</v>
      </c>
      <c r="D124" s="112">
        <v>11.5</v>
      </c>
      <c r="E124" s="113">
        <v>13.53</v>
      </c>
      <c r="F124" s="113">
        <v>28.99</v>
      </c>
      <c r="G124" s="114">
        <v>284</v>
      </c>
    </row>
    <row r="125" spans="1:10">
      <c r="A125" s="19">
        <v>379</v>
      </c>
      <c r="B125" s="25" t="s">
        <v>16</v>
      </c>
      <c r="C125" s="209">
        <v>180</v>
      </c>
      <c r="D125" s="22">
        <v>3.16</v>
      </c>
      <c r="E125" s="23">
        <v>2.7</v>
      </c>
      <c r="F125" s="23">
        <v>16</v>
      </c>
      <c r="G125" s="24">
        <v>100.6</v>
      </c>
    </row>
    <row r="126" spans="1:10">
      <c r="A126" s="19"/>
      <c r="B126" s="51" t="s">
        <v>13</v>
      </c>
      <c r="C126" s="210">
        <v>40</v>
      </c>
      <c r="D126" s="183">
        <v>2.2799999999999998</v>
      </c>
      <c r="E126" s="184">
        <v>0.27</v>
      </c>
      <c r="F126" s="184">
        <v>14.91</v>
      </c>
      <c r="G126" s="185">
        <v>67.8</v>
      </c>
    </row>
    <row r="127" spans="1:10" ht="20.100000000000001" customHeight="1" thickBot="1">
      <c r="A127" s="211"/>
      <c r="B127" s="157" t="s">
        <v>44</v>
      </c>
      <c r="C127" s="212">
        <v>50</v>
      </c>
      <c r="D127" s="117">
        <v>1.6</v>
      </c>
      <c r="E127" s="118">
        <v>4.2</v>
      </c>
      <c r="F127" s="118">
        <v>17.12</v>
      </c>
      <c r="G127" s="119">
        <v>112.75</v>
      </c>
    </row>
    <row r="128" spans="1:10" s="215" customFormat="1" ht="17.100000000000001" customHeight="1" thickBot="1">
      <c r="A128" s="58"/>
      <c r="B128" s="213" t="s">
        <v>17</v>
      </c>
      <c r="C128" s="214">
        <f>C124+C125+C126+C127</f>
        <v>520</v>
      </c>
      <c r="D128" s="60">
        <f>SUM(D124:D127)</f>
        <v>18.540000000000003</v>
      </c>
      <c r="E128" s="61">
        <f>SUM(E124:E127)</f>
        <v>20.7</v>
      </c>
      <c r="F128" s="61">
        <f>SUM(F124:F127)</f>
        <v>77.02</v>
      </c>
      <c r="G128" s="62">
        <f>SUM(G124:G127)</f>
        <v>565.15000000000009</v>
      </c>
      <c r="H128" s="3"/>
      <c r="I128" s="3"/>
      <c r="J128" s="3"/>
    </row>
    <row r="129" spans="1:10" ht="19.5" customHeight="1" thickBot="1">
      <c r="A129" s="6"/>
      <c r="B129" s="441" t="s">
        <v>18</v>
      </c>
      <c r="C129" s="441"/>
      <c r="D129" s="441"/>
      <c r="E129" s="441"/>
      <c r="F129" s="441"/>
      <c r="G129" s="441"/>
    </row>
    <row r="130" spans="1:10">
      <c r="A130" s="372">
        <v>23</v>
      </c>
      <c r="B130" s="376" t="s">
        <v>68</v>
      </c>
      <c r="C130" s="361">
        <v>60</v>
      </c>
      <c r="D130" s="217">
        <f>10.78/1000*60</f>
        <v>0.64679999999999993</v>
      </c>
      <c r="E130" s="218">
        <v>3.65</v>
      </c>
      <c r="F130" s="218">
        <v>2.06</v>
      </c>
      <c r="G130" s="219">
        <v>43.68</v>
      </c>
    </row>
    <row r="131" spans="1:10">
      <c r="A131" s="373">
        <v>82</v>
      </c>
      <c r="B131" s="377" t="s">
        <v>69</v>
      </c>
      <c r="C131" s="358">
        <v>250</v>
      </c>
      <c r="D131" s="220">
        <v>1.98</v>
      </c>
      <c r="E131" s="221">
        <v>2.75</v>
      </c>
      <c r="F131" s="221">
        <v>12.12</v>
      </c>
      <c r="G131" s="222">
        <v>85.75</v>
      </c>
    </row>
    <row r="132" spans="1:10" ht="15.6" customHeight="1">
      <c r="A132" s="358">
        <v>312</v>
      </c>
      <c r="B132" s="378" t="s">
        <v>56</v>
      </c>
      <c r="C132" s="358">
        <v>150</v>
      </c>
      <c r="D132" s="183">
        <f>20.43/1000*150</f>
        <v>3.0645000000000002</v>
      </c>
      <c r="E132" s="184">
        <f>32.01/1000*150</f>
        <v>4.8014999999999999</v>
      </c>
      <c r="F132" s="184">
        <f>136.26/1000*150</f>
        <v>20.439</v>
      </c>
      <c r="G132" s="185">
        <f>915/1000*150</f>
        <v>137.25</v>
      </c>
    </row>
    <row r="133" spans="1:10" ht="18" customHeight="1">
      <c r="A133" s="374">
        <v>234</v>
      </c>
      <c r="B133" s="379" t="s">
        <v>70</v>
      </c>
      <c r="C133" s="382">
        <v>90</v>
      </c>
      <c r="D133" s="307">
        <v>6.88</v>
      </c>
      <c r="E133" s="308">
        <f>5.6/80*90</f>
        <v>6.2999999999999989</v>
      </c>
      <c r="F133" s="308">
        <f>9.81/80*90</f>
        <v>11.036250000000001</v>
      </c>
      <c r="G133" s="309">
        <f>116/80*90</f>
        <v>130.5</v>
      </c>
    </row>
    <row r="134" spans="1:10" ht="17.25" customHeight="1">
      <c r="A134" s="358">
        <v>349</v>
      </c>
      <c r="B134" s="378" t="s">
        <v>71</v>
      </c>
      <c r="C134" s="358">
        <v>50</v>
      </c>
      <c r="D134" s="47">
        <v>0.43</v>
      </c>
      <c r="E134" s="48">
        <v>2.12</v>
      </c>
      <c r="F134" s="48">
        <v>3.77</v>
      </c>
      <c r="G134" s="49">
        <v>35.97</v>
      </c>
    </row>
    <row r="135" spans="1:10">
      <c r="A135" s="374"/>
      <c r="B135" s="380" t="s">
        <v>13</v>
      </c>
      <c r="C135" s="335">
        <v>40</v>
      </c>
      <c r="D135" s="16">
        <v>3.04</v>
      </c>
      <c r="E135" s="17">
        <v>0.36</v>
      </c>
      <c r="F135" s="17">
        <v>19.88</v>
      </c>
      <c r="G135" s="18">
        <v>90.4</v>
      </c>
    </row>
    <row r="136" spans="1:10">
      <c r="A136" s="374"/>
      <c r="B136" s="377" t="s">
        <v>24</v>
      </c>
      <c r="C136" s="335">
        <v>30</v>
      </c>
      <c r="D136" s="16">
        <f>1.44/40*30</f>
        <v>1.0799999999999998</v>
      </c>
      <c r="E136" s="17">
        <f>0.36/40*30</f>
        <v>0.26999999999999996</v>
      </c>
      <c r="F136" s="17">
        <f>12.48/40*30</f>
        <v>9.36</v>
      </c>
      <c r="G136" s="18">
        <f>59.4/30*40</f>
        <v>79.2</v>
      </c>
    </row>
    <row r="137" spans="1:10" ht="19.5" thickBot="1">
      <c r="A137" s="390">
        <v>342</v>
      </c>
      <c r="B137" s="381" t="s">
        <v>43</v>
      </c>
      <c r="C137" s="359">
        <v>180</v>
      </c>
      <c r="D137" s="104">
        <f>1.6/1000*180</f>
        <v>0.28800000000000003</v>
      </c>
      <c r="E137" s="105">
        <f>0.4/1000*180</f>
        <v>7.2000000000000008E-2</v>
      </c>
      <c r="F137" s="105">
        <f>141/1000*180</f>
        <v>25.38</v>
      </c>
      <c r="G137" s="106">
        <f>583/1000*180</f>
        <v>104.94</v>
      </c>
    </row>
    <row r="138" spans="1:10" ht="17.100000000000001" customHeight="1" thickBot="1">
      <c r="A138" s="97"/>
      <c r="B138" s="147" t="s">
        <v>26</v>
      </c>
      <c r="C138" s="98">
        <f>SUM(C130:C137)</f>
        <v>850</v>
      </c>
      <c r="D138" s="60">
        <f>SUM(D130:D137)</f>
        <v>17.409299999999998</v>
      </c>
      <c r="E138" s="61">
        <f>SUM(E130:E137)</f>
        <v>20.323499999999999</v>
      </c>
      <c r="F138" s="61">
        <f>SUM(F130:F137)</f>
        <v>104.04525</v>
      </c>
      <c r="G138" s="62">
        <f>SUM(G130:G137)</f>
        <v>707.69</v>
      </c>
    </row>
    <row r="139" spans="1:10" ht="18.600000000000001" customHeight="1" thickBot="1">
      <c r="A139" s="58"/>
      <c r="B139" s="28" t="s">
        <v>27</v>
      </c>
      <c r="C139" s="98">
        <f>C128+C138</f>
        <v>1370</v>
      </c>
      <c r="D139" s="60">
        <f>D128+D138</f>
        <v>35.949300000000001</v>
      </c>
      <c r="E139" s="61">
        <f>E128+E138</f>
        <v>41.023499999999999</v>
      </c>
      <c r="F139" s="61">
        <f>F128+F138</f>
        <v>181.06524999999999</v>
      </c>
      <c r="G139" s="62">
        <f>G128+G138</f>
        <v>1272.8400000000001</v>
      </c>
    </row>
    <row r="140" spans="1:10" ht="17.850000000000001" customHeight="1" thickBot="1">
      <c r="A140" s="450" t="s">
        <v>72</v>
      </c>
      <c r="B140" s="450"/>
      <c r="C140" s="450"/>
      <c r="D140" s="450"/>
      <c r="E140" s="450"/>
      <c r="F140" s="450"/>
      <c r="G140" s="450"/>
      <c r="H140" s="207"/>
      <c r="I140" s="207"/>
      <c r="J140" s="207"/>
    </row>
    <row r="141" spans="1:10" s="207" customFormat="1" ht="16.350000000000001" customHeight="1" thickBot="1">
      <c r="A141" s="58"/>
      <c r="B141" s="449" t="s">
        <v>11</v>
      </c>
      <c r="C141" s="449"/>
      <c r="D141" s="449"/>
      <c r="E141" s="449"/>
      <c r="F141" s="449"/>
      <c r="G141" s="449"/>
      <c r="H141" s="3"/>
      <c r="I141" s="3"/>
      <c r="J141" s="3"/>
    </row>
    <row r="142" spans="1:10">
      <c r="A142" s="34">
        <v>23</v>
      </c>
      <c r="B142" s="216" t="s">
        <v>68</v>
      </c>
      <c r="C142" s="36">
        <v>60</v>
      </c>
      <c r="D142" s="217">
        <f>10.78/1000*60</f>
        <v>0.64679999999999993</v>
      </c>
      <c r="E142" s="218">
        <v>3.65</v>
      </c>
      <c r="F142" s="218">
        <v>2.06</v>
      </c>
      <c r="G142" s="219">
        <v>43.68</v>
      </c>
    </row>
    <row r="143" spans="1:10" ht="16.5" customHeight="1">
      <c r="A143" s="99">
        <v>210</v>
      </c>
      <c r="B143" s="226" t="s">
        <v>73</v>
      </c>
      <c r="C143" s="227">
        <v>150</v>
      </c>
      <c r="D143" s="16">
        <f>5.39/58*150</f>
        <v>13.939655172413794</v>
      </c>
      <c r="E143" s="17">
        <f>9.6/58*150</f>
        <v>24.827586206896552</v>
      </c>
      <c r="F143" s="17">
        <f>1.02/58*150</f>
        <v>2.6379310344827589</v>
      </c>
      <c r="G143" s="18">
        <f>112/58*150</f>
        <v>289.65517241379314</v>
      </c>
    </row>
    <row r="144" spans="1:10" ht="16.5" customHeight="1">
      <c r="A144" s="159"/>
      <c r="B144" s="14" t="s">
        <v>13</v>
      </c>
      <c r="C144" s="15">
        <v>40</v>
      </c>
      <c r="D144" s="16">
        <v>3.04</v>
      </c>
      <c r="E144" s="17">
        <v>0.36</v>
      </c>
      <c r="F144" s="17">
        <v>19.88</v>
      </c>
      <c r="G144" s="18">
        <v>90.4</v>
      </c>
    </row>
    <row r="145" spans="1:7" ht="16.5" customHeight="1">
      <c r="A145" s="228">
        <v>377</v>
      </c>
      <c r="B145" s="229" t="s">
        <v>74</v>
      </c>
      <c r="C145" s="230" t="s">
        <v>75</v>
      </c>
      <c r="D145" s="231">
        <v>0.2</v>
      </c>
      <c r="E145" s="232">
        <v>0.02</v>
      </c>
      <c r="F145" s="232">
        <v>16</v>
      </c>
      <c r="G145" s="233">
        <v>65</v>
      </c>
    </row>
    <row r="146" spans="1:7" ht="15.75" customHeight="1" thickBot="1">
      <c r="A146" s="156">
        <v>2</v>
      </c>
      <c r="B146" s="234" t="s">
        <v>76</v>
      </c>
      <c r="C146" s="158" t="s">
        <v>77</v>
      </c>
      <c r="D146" s="235">
        <v>0.04</v>
      </c>
      <c r="E146" s="236">
        <v>0.3</v>
      </c>
      <c r="F146" s="236">
        <v>67.2</v>
      </c>
      <c r="G146" s="237">
        <v>156</v>
      </c>
    </row>
    <row r="147" spans="1:7" ht="16.5" customHeight="1" thickBot="1">
      <c r="A147" s="58"/>
      <c r="B147" s="213" t="s">
        <v>17</v>
      </c>
      <c r="C147" s="238">
        <f>C142+C143+C144+C145+55</f>
        <v>505</v>
      </c>
      <c r="D147" s="60">
        <f>SUM(D142:D146)</f>
        <v>17.866455172413794</v>
      </c>
      <c r="E147" s="61">
        <f>SUM(E142:E146)</f>
        <v>29.15758620689655</v>
      </c>
      <c r="F147" s="61">
        <f>SUM(F142:F146)</f>
        <v>107.77793103448276</v>
      </c>
      <c r="G147" s="62">
        <f>SUM(G142:G146)</f>
        <v>644.73517241379318</v>
      </c>
    </row>
    <row r="148" spans="1:7" ht="16.350000000000001" customHeight="1" thickBot="1">
      <c r="A148" s="6"/>
      <c r="B148" s="451" t="s">
        <v>18</v>
      </c>
      <c r="C148" s="451"/>
      <c r="D148" s="451"/>
      <c r="E148" s="451"/>
      <c r="F148" s="451"/>
      <c r="G148" s="451"/>
    </row>
    <row r="149" spans="1:7">
      <c r="A149" s="34">
        <v>45</v>
      </c>
      <c r="B149" s="35" t="s">
        <v>19</v>
      </c>
      <c r="C149" s="36">
        <v>60</v>
      </c>
      <c r="D149" s="10">
        <f>13.12/1000*60</f>
        <v>0.78720000000000001</v>
      </c>
      <c r="E149" s="11">
        <f>32.49/1000*60</f>
        <v>1.9494000000000002</v>
      </c>
      <c r="F149" s="11">
        <f>62.7/1000*60</f>
        <v>3.7620000000000005</v>
      </c>
      <c r="G149" s="12">
        <f>596/1000*60</f>
        <v>35.76</v>
      </c>
    </row>
    <row r="150" spans="1:7" ht="18.75" customHeight="1">
      <c r="A150" s="239">
        <v>103</v>
      </c>
      <c r="B150" s="240" t="s">
        <v>78</v>
      </c>
      <c r="C150" s="46">
        <v>250</v>
      </c>
      <c r="D150" s="112">
        <v>3.55</v>
      </c>
      <c r="E150" s="113">
        <v>4.59</v>
      </c>
      <c r="F150" s="113">
        <v>18.79</v>
      </c>
      <c r="G150" s="114">
        <v>144.25</v>
      </c>
    </row>
    <row r="151" spans="1:7" ht="18.600000000000001" customHeight="1">
      <c r="A151" s="19">
        <v>246</v>
      </c>
      <c r="B151" s="161" t="s">
        <v>79</v>
      </c>
      <c r="C151" s="72">
        <v>100</v>
      </c>
      <c r="D151" s="22">
        <v>21.3</v>
      </c>
      <c r="E151" s="23">
        <v>22.8</v>
      </c>
      <c r="F151" s="23">
        <v>21.8</v>
      </c>
      <c r="G151" s="24">
        <v>387.7</v>
      </c>
    </row>
    <row r="152" spans="1:7" ht="18.600000000000001" customHeight="1">
      <c r="A152" s="50">
        <v>302</v>
      </c>
      <c r="B152" s="14" t="s">
        <v>35</v>
      </c>
      <c r="C152" s="46">
        <v>150</v>
      </c>
      <c r="D152" s="16">
        <f>30.53/1000*150</f>
        <v>4.5795000000000003</v>
      </c>
      <c r="E152" s="17">
        <f>33.38/1000*150</f>
        <v>5.0069999999999997</v>
      </c>
      <c r="F152" s="17">
        <f>136.81/1000*150</f>
        <v>20.521500000000003</v>
      </c>
      <c r="G152" s="18">
        <f>970/1000*150</f>
        <v>145.5</v>
      </c>
    </row>
    <row r="153" spans="1:7" ht="16.350000000000001" customHeight="1">
      <c r="A153" s="72"/>
      <c r="B153" s="94" t="s">
        <v>13</v>
      </c>
      <c r="C153" s="15">
        <v>40</v>
      </c>
      <c r="D153" s="16">
        <v>3.04</v>
      </c>
      <c r="E153" s="17">
        <v>0.36</v>
      </c>
      <c r="F153" s="17">
        <v>19.88</v>
      </c>
      <c r="G153" s="18">
        <v>90.4</v>
      </c>
    </row>
    <row r="154" spans="1:7" ht="16.350000000000001" customHeight="1">
      <c r="A154" s="241"/>
      <c r="B154" s="242" t="s">
        <v>24</v>
      </c>
      <c r="C154" s="15">
        <v>30</v>
      </c>
      <c r="D154" s="16">
        <f>1.44/40*30</f>
        <v>1.0799999999999998</v>
      </c>
      <c r="E154" s="17">
        <f>0.36/40*30</f>
        <v>0.26999999999999996</v>
      </c>
      <c r="F154" s="17">
        <f>12.48/40*30</f>
        <v>9.36</v>
      </c>
      <c r="G154" s="18">
        <f>59.4/30*40</f>
        <v>79.2</v>
      </c>
    </row>
    <row r="155" spans="1:7" ht="19.350000000000001" customHeight="1" thickBot="1">
      <c r="A155" s="96">
        <v>349</v>
      </c>
      <c r="B155" s="115" t="s">
        <v>36</v>
      </c>
      <c r="C155" s="54">
        <v>180</v>
      </c>
      <c r="D155" s="55">
        <f>3.31/1000*180</f>
        <v>0.5958</v>
      </c>
      <c r="E155" s="56">
        <f>0.45/1000*180</f>
        <v>8.1000000000000003E-2</v>
      </c>
      <c r="F155" s="56">
        <f>160.07/1000*180</f>
        <v>28.8126</v>
      </c>
      <c r="G155" s="57">
        <f>664/1000*180</f>
        <v>119.52000000000001</v>
      </c>
    </row>
    <row r="156" spans="1:7" ht="15.75" customHeight="1" thickBot="1">
      <c r="A156" s="243"/>
      <c r="B156" s="244" t="s">
        <v>26</v>
      </c>
      <c r="C156" s="214">
        <f>C149+C150+C151+C152+C153+C154+C155</f>
        <v>810</v>
      </c>
      <c r="D156" s="149">
        <f>SUM(D149:D155)</f>
        <v>34.932499999999997</v>
      </c>
      <c r="E156" s="61">
        <f>SUM(E149:E155)</f>
        <v>35.057400000000008</v>
      </c>
      <c r="F156" s="61">
        <f>SUM(F149:F155)</f>
        <v>122.92610000000001</v>
      </c>
      <c r="G156" s="62">
        <f>SUM(G149:G155)</f>
        <v>1002.33</v>
      </c>
    </row>
    <row r="157" spans="1:7" ht="16.5" customHeight="1" thickBot="1">
      <c r="A157" s="97"/>
      <c r="B157" s="213" t="s">
        <v>27</v>
      </c>
      <c r="C157" s="245">
        <f>C147+C156</f>
        <v>1315</v>
      </c>
      <c r="D157" s="163">
        <f>D147+D156</f>
        <v>52.798955172413791</v>
      </c>
      <c r="E157" s="137">
        <f>E147+E156</f>
        <v>64.214986206896555</v>
      </c>
      <c r="F157" s="137">
        <f>F147+F156</f>
        <v>230.70403103448277</v>
      </c>
      <c r="G157" s="138">
        <f>G147+G156</f>
        <v>1647.0651724137933</v>
      </c>
    </row>
    <row r="158" spans="1:7" ht="18" customHeight="1" thickBot="1">
      <c r="A158" s="452" t="s">
        <v>80</v>
      </c>
      <c r="B158" s="452"/>
      <c r="C158" s="452"/>
      <c r="D158" s="452"/>
      <c r="E158" s="452"/>
      <c r="F158" s="452"/>
      <c r="G158" s="452"/>
    </row>
    <row r="159" spans="1:7" ht="19.5" customHeight="1" thickBot="1">
      <c r="A159" s="246"/>
      <c r="B159" s="453" t="s">
        <v>11</v>
      </c>
      <c r="C159" s="453"/>
      <c r="D159" s="453"/>
      <c r="E159" s="453"/>
      <c r="F159" s="453"/>
      <c r="G159" s="453"/>
    </row>
    <row r="160" spans="1:7" ht="17.25" customHeight="1">
      <c r="A160" s="65">
        <v>403</v>
      </c>
      <c r="B160" s="247" t="s">
        <v>81</v>
      </c>
      <c r="C160" s="248" t="s">
        <v>30</v>
      </c>
      <c r="D160" s="223">
        <v>12.03</v>
      </c>
      <c r="E160" s="224">
        <v>12.23</v>
      </c>
      <c r="F160" s="224">
        <v>68.73</v>
      </c>
      <c r="G160" s="225">
        <v>433</v>
      </c>
    </row>
    <row r="161" spans="1:10" ht="15.75" customHeight="1">
      <c r="A161" s="228">
        <v>377</v>
      </c>
      <c r="B161" s="229" t="s">
        <v>74</v>
      </c>
      <c r="C161" s="88">
        <v>180</v>
      </c>
      <c r="D161" s="231">
        <v>0.2</v>
      </c>
      <c r="E161" s="232">
        <v>0.02</v>
      </c>
      <c r="F161" s="232">
        <v>16</v>
      </c>
      <c r="G161" s="233">
        <v>65</v>
      </c>
    </row>
    <row r="162" spans="1:10" ht="15" customHeight="1" thickBot="1">
      <c r="A162" s="249">
        <v>338</v>
      </c>
      <c r="B162" s="250" t="s">
        <v>32</v>
      </c>
      <c r="C162" s="251">
        <v>200</v>
      </c>
      <c r="D162" s="76">
        <v>2.25</v>
      </c>
      <c r="E162" s="77">
        <v>0.75</v>
      </c>
      <c r="F162" s="77">
        <v>31.5</v>
      </c>
      <c r="G162" s="78">
        <v>144</v>
      </c>
    </row>
    <row r="163" spans="1:10" ht="15" customHeight="1" thickBot="1">
      <c r="A163" s="58"/>
      <c r="B163" s="28" t="s">
        <v>17</v>
      </c>
      <c r="C163" s="206">
        <f>170+200+180</f>
        <v>550</v>
      </c>
      <c r="D163" s="149">
        <f>SUM(D160:D162)</f>
        <v>14.479999999999999</v>
      </c>
      <c r="E163" s="61">
        <f>SUM(E160:E162)</f>
        <v>13</v>
      </c>
      <c r="F163" s="61">
        <f>SUM(F160:F162)</f>
        <v>116.23</v>
      </c>
      <c r="G163" s="62">
        <f>SUM(G160:G162)</f>
        <v>642</v>
      </c>
    </row>
    <row r="164" spans="1:10" ht="19.5" customHeight="1" thickBot="1">
      <c r="A164" s="6"/>
      <c r="B164" s="441" t="s">
        <v>18</v>
      </c>
      <c r="C164" s="441"/>
      <c r="D164" s="441"/>
      <c r="E164" s="441"/>
      <c r="F164" s="441"/>
      <c r="G164" s="441"/>
    </row>
    <row r="165" spans="1:10" ht="15.75" customHeight="1">
      <c r="A165" s="34">
        <v>24</v>
      </c>
      <c r="B165" s="35" t="s">
        <v>82</v>
      </c>
      <c r="C165" s="385">
        <v>60</v>
      </c>
      <c r="D165" s="10">
        <f>9.64/1000*60</f>
        <v>0.57840000000000003</v>
      </c>
      <c r="E165" s="11">
        <f>60.76/1000*60</f>
        <v>3.6455999999999995</v>
      </c>
      <c r="F165" s="11">
        <f>36.46/1000*60</f>
        <v>2.1875999999999998</v>
      </c>
      <c r="G165" s="12">
        <f>707/1000*60</f>
        <v>42.419999999999995</v>
      </c>
      <c r="H165" s="167"/>
      <c r="I165" s="167"/>
      <c r="J165" s="167"/>
    </row>
    <row r="166" spans="1:10" s="167" customFormat="1" ht="16.5" customHeight="1">
      <c r="A166" s="168">
        <v>83</v>
      </c>
      <c r="B166" s="45" t="s">
        <v>59</v>
      </c>
      <c r="C166" s="386">
        <v>250</v>
      </c>
      <c r="D166" s="383">
        <v>2.19</v>
      </c>
      <c r="E166" s="170">
        <v>2.78</v>
      </c>
      <c r="F166" s="170">
        <v>15.39</v>
      </c>
      <c r="G166" s="49">
        <v>106</v>
      </c>
      <c r="H166" s="3"/>
      <c r="I166" s="3"/>
      <c r="J166" s="3"/>
    </row>
    <row r="167" spans="1:10">
      <c r="A167" s="19">
        <v>291</v>
      </c>
      <c r="B167" s="20" t="s">
        <v>60</v>
      </c>
      <c r="C167" s="387">
        <v>200</v>
      </c>
      <c r="D167" s="22">
        <v>17.899999999999999</v>
      </c>
      <c r="E167" s="23">
        <v>12.03</v>
      </c>
      <c r="F167" s="23">
        <v>31.3</v>
      </c>
      <c r="G167" s="24">
        <v>351.1</v>
      </c>
    </row>
    <row r="168" spans="1:10" hidden="1">
      <c r="A168" s="44"/>
      <c r="B168" s="14"/>
      <c r="C168" s="386"/>
      <c r="D168" s="47"/>
      <c r="E168" s="48"/>
      <c r="F168" s="48"/>
      <c r="G168" s="49"/>
    </row>
    <row r="169" spans="1:10" ht="17.25" customHeight="1">
      <c r="A169" s="19"/>
      <c r="B169" s="51" t="s">
        <v>13</v>
      </c>
      <c r="C169" s="351">
        <v>40</v>
      </c>
      <c r="D169" s="16">
        <v>3.04</v>
      </c>
      <c r="E169" s="17">
        <v>0.36</v>
      </c>
      <c r="F169" s="17">
        <v>19.88</v>
      </c>
      <c r="G169" s="18">
        <v>90.4</v>
      </c>
    </row>
    <row r="170" spans="1:10" ht="16.5" customHeight="1">
      <c r="A170" s="19"/>
      <c r="B170" s="45" t="s">
        <v>24</v>
      </c>
      <c r="C170" s="351">
        <v>30</v>
      </c>
      <c r="D170" s="16">
        <f>1.44/40*30</f>
        <v>1.0799999999999998</v>
      </c>
      <c r="E170" s="17">
        <f>0.36/40*30</f>
        <v>0.26999999999999996</v>
      </c>
      <c r="F170" s="17">
        <f>12.48/40*30</f>
        <v>9.36</v>
      </c>
      <c r="G170" s="18">
        <f>59.4/30*40</f>
        <v>79.2</v>
      </c>
    </row>
    <row r="171" spans="1:10">
      <c r="A171" s="101">
        <v>342</v>
      </c>
      <c r="B171" s="102" t="s">
        <v>43</v>
      </c>
      <c r="C171" s="386">
        <v>180</v>
      </c>
      <c r="D171" s="104">
        <f>1.6/1000*180</f>
        <v>0.28800000000000003</v>
      </c>
      <c r="E171" s="105">
        <f>0.4/1000*180</f>
        <v>7.2000000000000008E-2</v>
      </c>
      <c r="F171" s="105">
        <f>141/1000*180</f>
        <v>25.38</v>
      </c>
      <c r="G171" s="106">
        <f>583/1000*180</f>
        <v>104.94</v>
      </c>
    </row>
    <row r="172" spans="1:10" ht="18.600000000000001" customHeight="1" thickBot="1">
      <c r="A172" s="156"/>
      <c r="B172" s="157" t="s">
        <v>44</v>
      </c>
      <c r="C172" s="352" t="s">
        <v>83</v>
      </c>
      <c r="D172" s="117">
        <v>1.6</v>
      </c>
      <c r="E172" s="118">
        <v>4.2</v>
      </c>
      <c r="F172" s="118">
        <v>17.12</v>
      </c>
      <c r="G172" s="119">
        <v>112.75</v>
      </c>
    </row>
    <row r="173" spans="1:10" ht="15.75" customHeight="1" thickBot="1">
      <c r="A173" s="243"/>
      <c r="B173" s="244" t="s">
        <v>84</v>
      </c>
      <c r="C173" s="384">
        <f>C165+C166+C167+C169+C170+C172+C171</f>
        <v>790</v>
      </c>
      <c r="D173" s="60">
        <f>SUM(D165:D172)</f>
        <v>26.676399999999997</v>
      </c>
      <c r="E173" s="61">
        <f>SUM(E165:E172)</f>
        <v>23.357599999999994</v>
      </c>
      <c r="F173" s="61">
        <f>SUM(F165:F172)</f>
        <v>120.6176</v>
      </c>
      <c r="G173" s="62">
        <f>SUM(G165:G172)</f>
        <v>886.81</v>
      </c>
    </row>
    <row r="174" spans="1:10" ht="15" customHeight="1" thickBot="1">
      <c r="A174" s="243"/>
      <c r="B174" s="255" t="s">
        <v>27</v>
      </c>
      <c r="C174" s="98">
        <f>C163+C173</f>
        <v>1340</v>
      </c>
      <c r="D174" s="163">
        <f>D163+D173</f>
        <v>41.156399999999998</v>
      </c>
      <c r="E174" s="137">
        <f>E163+E173</f>
        <v>36.357599999999991</v>
      </c>
      <c r="F174" s="137">
        <f>F163+F173</f>
        <v>236.8476</v>
      </c>
      <c r="G174" s="138">
        <f>G163+G173</f>
        <v>1528.81</v>
      </c>
    </row>
    <row r="175" spans="1:10" ht="19.350000000000001" customHeight="1" thickBot="1">
      <c r="A175" s="440" t="s">
        <v>85</v>
      </c>
      <c r="B175" s="440"/>
      <c r="C175" s="440"/>
      <c r="D175" s="440"/>
      <c r="E175" s="440"/>
      <c r="F175" s="440"/>
      <c r="G175" s="440"/>
    </row>
    <row r="176" spans="1:10" ht="19.350000000000001" customHeight="1" thickBot="1">
      <c r="A176" s="6"/>
      <c r="B176" s="441" t="s">
        <v>11</v>
      </c>
      <c r="C176" s="441"/>
      <c r="D176" s="441"/>
      <c r="E176" s="441"/>
      <c r="F176" s="441"/>
      <c r="G176" s="441"/>
    </row>
    <row r="177" spans="1:7">
      <c r="A177" s="7">
        <v>182</v>
      </c>
      <c r="B177" s="8" t="s">
        <v>12</v>
      </c>
      <c r="C177" s="9">
        <v>250</v>
      </c>
      <c r="D177" s="10">
        <v>4.97</v>
      </c>
      <c r="E177" s="11">
        <v>10.46</v>
      </c>
      <c r="F177" s="11">
        <v>32.619999999999997</v>
      </c>
      <c r="G177" s="12">
        <v>245.02</v>
      </c>
    </row>
    <row r="178" spans="1:7">
      <c r="A178" s="13"/>
      <c r="B178" s="14" t="s">
        <v>13</v>
      </c>
      <c r="C178" s="15">
        <v>40</v>
      </c>
      <c r="D178" s="16">
        <v>3.04</v>
      </c>
      <c r="E178" s="17">
        <v>0.36</v>
      </c>
      <c r="F178" s="17">
        <v>19.88</v>
      </c>
      <c r="G178" s="18">
        <v>90.4</v>
      </c>
    </row>
    <row r="179" spans="1:7">
      <c r="A179" s="19">
        <v>3</v>
      </c>
      <c r="B179" s="20" t="s">
        <v>14</v>
      </c>
      <c r="C179" s="21" t="s">
        <v>15</v>
      </c>
      <c r="D179" s="22">
        <v>6.3</v>
      </c>
      <c r="E179" s="23">
        <v>9.17</v>
      </c>
      <c r="F179" s="23">
        <v>19.399999999999999</v>
      </c>
      <c r="G179" s="24">
        <v>185.33</v>
      </c>
    </row>
    <row r="180" spans="1:7" ht="19.350000000000001" customHeight="1" thickBot="1">
      <c r="A180" s="19">
        <v>379</v>
      </c>
      <c r="B180" s="25" t="s">
        <v>16</v>
      </c>
      <c r="C180" s="26">
        <v>180</v>
      </c>
      <c r="D180" s="76">
        <v>3.16</v>
      </c>
      <c r="E180" s="77">
        <v>2.7</v>
      </c>
      <c r="F180" s="77">
        <v>16</v>
      </c>
      <c r="G180" s="78">
        <v>100.6</v>
      </c>
    </row>
    <row r="181" spans="1:7" ht="19.5" thickBot="1">
      <c r="A181" s="27"/>
      <c r="B181" s="28" t="s">
        <v>17</v>
      </c>
      <c r="C181" s="256">
        <f>C177+C178+C180+50</f>
        <v>520</v>
      </c>
      <c r="D181" s="30">
        <f>SUM(D177:D180)</f>
        <v>17.47</v>
      </c>
      <c r="E181" s="31">
        <f>SUM(E177:E180)</f>
        <v>22.69</v>
      </c>
      <c r="F181" s="31">
        <f>SUM(F177:F180)</f>
        <v>87.9</v>
      </c>
      <c r="G181" s="32">
        <f>SUM(G177:G180)</f>
        <v>621.35</v>
      </c>
    </row>
    <row r="182" spans="1:7" ht="19.350000000000001" customHeight="1" thickBot="1">
      <c r="A182" s="33"/>
      <c r="B182" s="442" t="s">
        <v>18</v>
      </c>
      <c r="C182" s="442"/>
      <c r="D182" s="442"/>
      <c r="E182" s="442"/>
      <c r="F182" s="442"/>
      <c r="G182" s="442"/>
    </row>
    <row r="183" spans="1:7">
      <c r="A183" s="34">
        <v>45</v>
      </c>
      <c r="B183" s="35" t="s">
        <v>19</v>
      </c>
      <c r="C183" s="36">
        <v>60</v>
      </c>
      <c r="D183" s="10">
        <f>13.12/1000*60</f>
        <v>0.78720000000000001</v>
      </c>
      <c r="E183" s="11">
        <f>32.49/1000*60</f>
        <v>1.9494000000000002</v>
      </c>
      <c r="F183" s="11">
        <f>62.7/1000*60</f>
        <v>3.7620000000000005</v>
      </c>
      <c r="G183" s="12">
        <f>596/1000*60</f>
        <v>35.76</v>
      </c>
    </row>
    <row r="184" spans="1:7" ht="19.350000000000001" customHeight="1">
      <c r="A184" s="37">
        <v>87</v>
      </c>
      <c r="B184" s="38" t="s">
        <v>20</v>
      </c>
      <c r="C184" s="297">
        <v>250</v>
      </c>
      <c r="D184" s="299">
        <v>8.59</v>
      </c>
      <c r="E184" s="41">
        <v>8.4</v>
      </c>
      <c r="F184" s="42">
        <v>14.33</v>
      </c>
      <c r="G184" s="300">
        <v>167.25</v>
      </c>
    </row>
    <row r="185" spans="1:7" ht="19.350000000000001" customHeight="1">
      <c r="A185" s="44">
        <v>278</v>
      </c>
      <c r="B185" s="45" t="s">
        <v>21</v>
      </c>
      <c r="C185" s="44" t="s">
        <v>86</v>
      </c>
      <c r="D185" s="301">
        <v>8.1300000000000008</v>
      </c>
      <c r="E185" s="48">
        <v>9.64</v>
      </c>
      <c r="F185" s="48">
        <v>12.66</v>
      </c>
      <c r="G185" s="302">
        <v>185.5</v>
      </c>
    </row>
    <row r="186" spans="1:7">
      <c r="A186" s="50">
        <v>309</v>
      </c>
      <c r="B186" s="14" t="s">
        <v>23</v>
      </c>
      <c r="C186" s="44">
        <v>150</v>
      </c>
      <c r="D186" s="303">
        <f>5.517/180*150</f>
        <v>4.5975000000000001</v>
      </c>
      <c r="E186" s="257">
        <f>4.515/180*150</f>
        <v>3.7624999999999997</v>
      </c>
      <c r="F186" s="257">
        <f>26.445/180*150</f>
        <v>22.037500000000001</v>
      </c>
      <c r="G186" s="304">
        <f>168.45/180*150</f>
        <v>140.375</v>
      </c>
    </row>
    <row r="187" spans="1:7">
      <c r="A187" s="19"/>
      <c r="B187" s="51" t="s">
        <v>13</v>
      </c>
      <c r="C187" s="172">
        <v>40</v>
      </c>
      <c r="D187" s="305">
        <v>3.04</v>
      </c>
      <c r="E187" s="17">
        <v>0.36</v>
      </c>
      <c r="F187" s="17">
        <v>19.88</v>
      </c>
      <c r="G187" s="306">
        <v>90.4</v>
      </c>
    </row>
    <row r="188" spans="1:7">
      <c r="A188" s="19"/>
      <c r="B188" s="45" t="s">
        <v>24</v>
      </c>
      <c r="C188" s="172">
        <v>30</v>
      </c>
      <c r="D188" s="305">
        <f>1.44/40*30</f>
        <v>1.0799999999999998</v>
      </c>
      <c r="E188" s="17">
        <f>0.36/40*30</f>
        <v>0.26999999999999996</v>
      </c>
      <c r="F188" s="17">
        <f>12.48/40*30</f>
        <v>9.36</v>
      </c>
      <c r="G188" s="306">
        <f>59.4/30*40</f>
        <v>79.2</v>
      </c>
    </row>
    <row r="189" spans="1:7" ht="19.350000000000001" customHeight="1" thickBot="1">
      <c r="A189" s="96">
        <v>349</v>
      </c>
      <c r="B189" s="115" t="s">
        <v>36</v>
      </c>
      <c r="C189" s="54">
        <v>180</v>
      </c>
      <c r="D189" s="55">
        <f>3.31/1000*180</f>
        <v>0.5958</v>
      </c>
      <c r="E189" s="56">
        <f>0.45/1000*180</f>
        <v>8.1000000000000003E-2</v>
      </c>
      <c r="F189" s="56">
        <f>160.07/1000*180</f>
        <v>28.8126</v>
      </c>
      <c r="G189" s="57">
        <f>664/1000*180</f>
        <v>119.52000000000001</v>
      </c>
    </row>
    <row r="190" spans="1:7" ht="19.5" thickBot="1">
      <c r="A190" s="97"/>
      <c r="B190" s="147" t="s">
        <v>26</v>
      </c>
      <c r="C190" s="98">
        <f>C183+C184+C186+C187+C188+C189+150</f>
        <v>860</v>
      </c>
      <c r="D190" s="163">
        <f>SUM(D183:D189)</f>
        <v>26.820499999999999</v>
      </c>
      <c r="E190" s="137">
        <f>SUM(E183:E189)</f>
        <v>24.462900000000001</v>
      </c>
      <c r="F190" s="137">
        <f>SUM(F183:F189)</f>
        <v>110.8421</v>
      </c>
      <c r="G190" s="138">
        <f>SUM(G183:G189)</f>
        <v>818.005</v>
      </c>
    </row>
    <row r="191" spans="1:7" ht="19.5" thickBot="1">
      <c r="A191" s="58"/>
      <c r="B191" s="28" t="s">
        <v>27</v>
      </c>
      <c r="C191" s="63">
        <f>C181+C190</f>
        <v>1380</v>
      </c>
      <c r="D191" s="60">
        <f>D181+D190</f>
        <v>44.290499999999994</v>
      </c>
      <c r="E191" s="61">
        <f>E181+E190</f>
        <v>47.152900000000002</v>
      </c>
      <c r="F191" s="61">
        <f>F181+F190</f>
        <v>198.74209999999999</v>
      </c>
      <c r="G191" s="62">
        <f>G181+G190</f>
        <v>1439.355</v>
      </c>
    </row>
    <row r="192" spans="1:7" ht="19.350000000000001" customHeight="1" thickBot="1">
      <c r="A192" s="443" t="s">
        <v>87</v>
      </c>
      <c r="B192" s="443"/>
      <c r="C192" s="443"/>
      <c r="D192" s="443"/>
      <c r="E192" s="443"/>
      <c r="F192" s="443"/>
      <c r="G192" s="443"/>
    </row>
    <row r="193" spans="1:7" ht="19.350000000000001" customHeight="1" thickBot="1">
      <c r="A193" s="58"/>
      <c r="B193" s="444" t="s">
        <v>11</v>
      </c>
      <c r="C193" s="441"/>
      <c r="D193" s="444"/>
      <c r="E193" s="444"/>
      <c r="F193" s="444"/>
      <c r="G193" s="444"/>
    </row>
    <row r="194" spans="1:7">
      <c r="A194" s="65">
        <v>225</v>
      </c>
      <c r="B194" s="66" t="s">
        <v>29</v>
      </c>
      <c r="C194" s="310" t="s">
        <v>30</v>
      </c>
      <c r="D194" s="68">
        <v>20.97</v>
      </c>
      <c r="E194" s="69">
        <v>14.56</v>
      </c>
      <c r="F194" s="69">
        <v>33.630000000000003</v>
      </c>
      <c r="G194" s="70">
        <v>349.5</v>
      </c>
    </row>
    <row r="195" spans="1:7" ht="17.25" customHeight="1">
      <c r="A195" s="228">
        <v>377</v>
      </c>
      <c r="B195" s="229" t="s">
        <v>74</v>
      </c>
      <c r="C195" s="311">
        <v>180</v>
      </c>
      <c r="D195" s="307">
        <v>0.12</v>
      </c>
      <c r="E195" s="308">
        <v>0.02</v>
      </c>
      <c r="F195" s="308">
        <v>10.199999999999999</v>
      </c>
      <c r="G195" s="309">
        <v>41</v>
      </c>
    </row>
    <row r="196" spans="1:7" ht="19.5" thickBot="1">
      <c r="A196" s="73">
        <v>338</v>
      </c>
      <c r="B196" s="74" t="s">
        <v>32</v>
      </c>
      <c r="C196" s="312">
        <v>150</v>
      </c>
      <c r="D196" s="76">
        <v>2.25</v>
      </c>
      <c r="E196" s="77">
        <v>0.75</v>
      </c>
      <c r="F196" s="77">
        <v>31.5</v>
      </c>
      <c r="G196" s="78">
        <v>144</v>
      </c>
    </row>
    <row r="197" spans="1:7" ht="19.5" thickBot="1">
      <c r="A197" s="58"/>
      <c r="B197" s="28" t="s">
        <v>17</v>
      </c>
      <c r="C197" s="79">
        <f>170+200+150</f>
        <v>520</v>
      </c>
      <c r="D197" s="60">
        <f>SUM(D194:D196)</f>
        <v>23.34</v>
      </c>
      <c r="E197" s="61">
        <f>SUM(E194:E196)</f>
        <v>15.33</v>
      </c>
      <c r="F197" s="61">
        <f>SUM(F194:F196)</f>
        <v>75.33</v>
      </c>
      <c r="G197" s="62">
        <f>SUM(G194:G196)</f>
        <v>534.5</v>
      </c>
    </row>
    <row r="198" spans="1:7" ht="19.350000000000001" customHeight="1" thickBot="1">
      <c r="A198" s="33"/>
      <c r="B198" s="442" t="s">
        <v>18</v>
      </c>
      <c r="C198" s="442"/>
      <c r="D198" s="442"/>
      <c r="E198" s="442"/>
      <c r="F198" s="442"/>
      <c r="G198" s="442"/>
    </row>
    <row r="199" spans="1:7" ht="15.75" customHeight="1">
      <c r="A199" s="34">
        <v>20</v>
      </c>
      <c r="B199" s="259" t="s">
        <v>88</v>
      </c>
      <c r="C199" s="298">
        <v>60</v>
      </c>
      <c r="D199" s="313">
        <v>0.45</v>
      </c>
      <c r="E199" s="314">
        <v>3.6</v>
      </c>
      <c r="F199" s="314">
        <v>1.4</v>
      </c>
      <c r="G199" s="315">
        <v>39.96</v>
      </c>
    </row>
    <row r="200" spans="1:7" ht="17.25" customHeight="1">
      <c r="A200" s="50">
        <v>84</v>
      </c>
      <c r="B200" s="14" t="s">
        <v>33</v>
      </c>
      <c r="C200" s="44">
        <v>250</v>
      </c>
      <c r="D200" s="301">
        <v>3.55</v>
      </c>
      <c r="E200" s="48">
        <v>5.1100000000000003</v>
      </c>
      <c r="F200" s="48">
        <v>14.16</v>
      </c>
      <c r="G200" s="302">
        <v>127.75</v>
      </c>
    </row>
    <row r="201" spans="1:7">
      <c r="A201" s="19">
        <v>229</v>
      </c>
      <c r="B201" s="161" t="s">
        <v>34</v>
      </c>
      <c r="C201" s="273" t="s">
        <v>89</v>
      </c>
      <c r="D201" s="316">
        <v>11.9</v>
      </c>
      <c r="E201" s="23">
        <v>6.43</v>
      </c>
      <c r="F201" s="23">
        <v>4.9400000000000004</v>
      </c>
      <c r="G201" s="317">
        <v>136.5</v>
      </c>
    </row>
    <row r="202" spans="1:7">
      <c r="A202" s="168">
        <v>302</v>
      </c>
      <c r="B202" s="90" t="s">
        <v>35</v>
      </c>
      <c r="C202" s="260">
        <v>150</v>
      </c>
      <c r="D202" s="318">
        <v>3.65</v>
      </c>
      <c r="E202" s="92">
        <v>5.37</v>
      </c>
      <c r="F202" s="92">
        <v>36.68</v>
      </c>
      <c r="G202" s="319">
        <v>209.7</v>
      </c>
    </row>
    <row r="203" spans="1:7">
      <c r="A203" s="19"/>
      <c r="B203" s="51" t="s">
        <v>13</v>
      </c>
      <c r="C203" s="172">
        <v>40</v>
      </c>
      <c r="D203" s="305">
        <v>3.04</v>
      </c>
      <c r="E203" s="17">
        <v>0.36</v>
      </c>
      <c r="F203" s="17">
        <v>19.88</v>
      </c>
      <c r="G203" s="306">
        <v>90.4</v>
      </c>
    </row>
    <row r="204" spans="1:7" ht="17.850000000000001" customHeight="1">
      <c r="A204" s="19"/>
      <c r="B204" s="45" t="s">
        <v>24</v>
      </c>
      <c r="C204" s="172">
        <v>30</v>
      </c>
      <c r="D204" s="305">
        <f>1.44/40*30</f>
        <v>1.0799999999999998</v>
      </c>
      <c r="E204" s="17">
        <f>0.36/40*30</f>
        <v>0.26999999999999996</v>
      </c>
      <c r="F204" s="17">
        <f>12.48/40*30</f>
        <v>9.36</v>
      </c>
      <c r="G204" s="306">
        <f>59.4/30*40</f>
        <v>79.2</v>
      </c>
    </row>
    <row r="205" spans="1:7" ht="19.5" thickBot="1">
      <c r="A205" s="156">
        <v>389</v>
      </c>
      <c r="B205" s="174" t="s">
        <v>25</v>
      </c>
      <c r="C205" s="175">
        <v>200</v>
      </c>
      <c r="D205" s="320">
        <v>1</v>
      </c>
      <c r="E205" s="321">
        <v>0</v>
      </c>
      <c r="F205" s="321">
        <v>25.4</v>
      </c>
      <c r="G205" s="322">
        <v>110</v>
      </c>
    </row>
    <row r="206" spans="1:7" ht="18" customHeight="1" thickBot="1">
      <c r="A206" s="97"/>
      <c r="B206" s="147" t="s">
        <v>26</v>
      </c>
      <c r="C206" s="98">
        <f>C199+C200+130+C202+C203+C204+C205</f>
        <v>860</v>
      </c>
      <c r="D206" s="163">
        <f>SUM(D199:D205)</f>
        <v>24.669999999999998</v>
      </c>
      <c r="E206" s="137">
        <f>SUM(E199:E205)</f>
        <v>21.14</v>
      </c>
      <c r="F206" s="137">
        <f>SUM(F199:F205)</f>
        <v>111.82</v>
      </c>
      <c r="G206" s="138">
        <f>SUM(G199:G205)</f>
        <v>793.5100000000001</v>
      </c>
    </row>
    <row r="207" spans="1:7" ht="18.600000000000001" customHeight="1" thickBot="1">
      <c r="A207" s="58"/>
      <c r="B207" s="28" t="s">
        <v>27</v>
      </c>
      <c r="C207" s="63">
        <f>C197+C206</f>
        <v>1380</v>
      </c>
      <c r="D207" s="60">
        <f>D197+D206</f>
        <v>48.01</v>
      </c>
      <c r="E207" s="61">
        <f>E197+E206</f>
        <v>36.47</v>
      </c>
      <c r="F207" s="61">
        <f>F197+F206</f>
        <v>187.14999999999998</v>
      </c>
      <c r="G207" s="62">
        <f>G197+G206</f>
        <v>1328.0100000000002</v>
      </c>
    </row>
    <row r="208" spans="1:7" ht="19.5" customHeight="1" thickBot="1">
      <c r="A208" s="443" t="s">
        <v>90</v>
      </c>
      <c r="B208" s="443"/>
      <c r="C208" s="443"/>
      <c r="D208" s="443"/>
      <c r="E208" s="443"/>
      <c r="F208" s="443"/>
      <c r="G208" s="443"/>
    </row>
    <row r="209" spans="1:7" ht="17.25" customHeight="1" thickBot="1">
      <c r="A209" s="6"/>
      <c r="B209" s="441" t="s">
        <v>11</v>
      </c>
      <c r="C209" s="441"/>
      <c r="D209" s="441"/>
      <c r="E209" s="441"/>
      <c r="F209" s="441"/>
      <c r="G209" s="441"/>
    </row>
    <row r="210" spans="1:7" ht="19.350000000000001" customHeight="1">
      <c r="A210" s="34">
        <v>182</v>
      </c>
      <c r="B210" s="100" t="s">
        <v>38</v>
      </c>
      <c r="C210" s="81">
        <v>250</v>
      </c>
      <c r="D210" s="10">
        <v>7.33</v>
      </c>
      <c r="E210" s="11">
        <v>11.44</v>
      </c>
      <c r="F210" s="11">
        <v>36.159999999999997</v>
      </c>
      <c r="G210" s="12">
        <v>278.20999999999998</v>
      </c>
    </row>
    <row r="211" spans="1:7" ht="17.100000000000001" customHeight="1">
      <c r="A211" s="182">
        <v>382</v>
      </c>
      <c r="B211" s="102" t="s">
        <v>39</v>
      </c>
      <c r="C211" s="103">
        <v>180</v>
      </c>
      <c r="D211" s="104">
        <v>4.07</v>
      </c>
      <c r="E211" s="105">
        <v>3.54</v>
      </c>
      <c r="F211" s="105">
        <v>17.57</v>
      </c>
      <c r="G211" s="106">
        <v>118.6</v>
      </c>
    </row>
    <row r="212" spans="1:7" ht="17.100000000000001" customHeight="1">
      <c r="A212" s="19">
        <v>3</v>
      </c>
      <c r="B212" s="20" t="s">
        <v>14</v>
      </c>
      <c r="C212" s="21" t="s">
        <v>15</v>
      </c>
      <c r="D212" s="22">
        <v>6.3</v>
      </c>
      <c r="E212" s="23">
        <v>9.17</v>
      </c>
      <c r="F212" s="23">
        <v>19.399999999999999</v>
      </c>
      <c r="G212" s="24">
        <v>185.33</v>
      </c>
    </row>
    <row r="213" spans="1:7" ht="18.600000000000001" customHeight="1" thickBot="1">
      <c r="A213" s="156"/>
      <c r="B213" s="53" t="s">
        <v>13</v>
      </c>
      <c r="C213" s="107">
        <v>40</v>
      </c>
      <c r="D213" s="16">
        <v>3.04</v>
      </c>
      <c r="E213" s="17">
        <v>0.36</v>
      </c>
      <c r="F213" s="17">
        <v>19.88</v>
      </c>
      <c r="G213" s="18">
        <v>90.4</v>
      </c>
    </row>
    <row r="214" spans="1:7" ht="17.100000000000001" customHeight="1" thickBot="1">
      <c r="A214" s="97"/>
      <c r="B214" s="147" t="s">
        <v>17</v>
      </c>
      <c r="C214" s="108">
        <f>C210+C211+50+C213</f>
        <v>520</v>
      </c>
      <c r="D214" s="60">
        <f>SUM(D226:D228)</f>
        <v>34.57</v>
      </c>
      <c r="E214" s="61">
        <f>SUM(E226:E228)</f>
        <v>21.099999999999998</v>
      </c>
      <c r="F214" s="61">
        <f>SUM(F226:F228)</f>
        <v>47.52</v>
      </c>
      <c r="G214" s="62">
        <f>SUM(G226:G228)</f>
        <v>524.5</v>
      </c>
    </row>
    <row r="215" spans="1:7" ht="19.5" customHeight="1" thickBot="1">
      <c r="A215" s="33"/>
      <c r="B215" s="442" t="s">
        <v>18</v>
      </c>
      <c r="C215" s="442"/>
      <c r="D215" s="442"/>
      <c r="E215" s="442"/>
      <c r="F215" s="442"/>
      <c r="G215" s="442"/>
    </row>
    <row r="216" spans="1:7" ht="16.5" customHeight="1">
      <c r="A216" s="323">
        <v>106</v>
      </c>
      <c r="B216" s="324" t="s">
        <v>54</v>
      </c>
      <c r="C216" s="333">
        <v>250</v>
      </c>
      <c r="D216" s="325">
        <f>8.78/1000*250</f>
        <v>2.1949999999999998</v>
      </c>
      <c r="E216" s="326">
        <f>11.12/1000*250</f>
        <v>2.78</v>
      </c>
      <c r="F216" s="326">
        <f>61.56/1000*250</f>
        <v>15.39</v>
      </c>
      <c r="G216" s="327">
        <f>424/1000*250</f>
        <v>106</v>
      </c>
    </row>
    <row r="217" spans="1:7" ht="15" customHeight="1">
      <c r="A217" s="328">
        <v>290</v>
      </c>
      <c r="B217" s="25" t="s">
        <v>91</v>
      </c>
      <c r="C217" s="334">
        <v>150</v>
      </c>
      <c r="D217" s="307">
        <v>11.09</v>
      </c>
      <c r="E217" s="308">
        <v>11.26</v>
      </c>
      <c r="F217" s="308">
        <v>3.51</v>
      </c>
      <c r="G217" s="329">
        <v>166</v>
      </c>
    </row>
    <row r="218" spans="1:7" ht="16.5" customHeight="1">
      <c r="A218" s="328">
        <v>310</v>
      </c>
      <c r="B218" s="25" t="s">
        <v>92</v>
      </c>
      <c r="C218" s="334">
        <v>150</v>
      </c>
      <c r="D218" s="22">
        <v>3.06</v>
      </c>
      <c r="E218" s="23">
        <v>5.52</v>
      </c>
      <c r="F218" s="23">
        <v>11.84</v>
      </c>
      <c r="G218" s="317">
        <v>115.5</v>
      </c>
    </row>
    <row r="219" spans="1:7" ht="15" customHeight="1">
      <c r="A219" s="328"/>
      <c r="B219" s="51" t="s">
        <v>13</v>
      </c>
      <c r="C219" s="335">
        <v>40</v>
      </c>
      <c r="D219" s="16">
        <v>3.04</v>
      </c>
      <c r="E219" s="17">
        <v>0.36</v>
      </c>
      <c r="F219" s="17">
        <v>19.88</v>
      </c>
      <c r="G219" s="306">
        <v>90.4</v>
      </c>
    </row>
    <row r="220" spans="1:7" ht="15" customHeight="1">
      <c r="A220" s="328"/>
      <c r="B220" s="45" t="s">
        <v>24</v>
      </c>
      <c r="C220" s="335">
        <v>30</v>
      </c>
      <c r="D220" s="16">
        <f>1.44/40*30</f>
        <v>1.0799999999999998</v>
      </c>
      <c r="E220" s="17">
        <f>0.36/40*30</f>
        <v>0.26999999999999996</v>
      </c>
      <c r="F220" s="17">
        <f>12.48/40*30</f>
        <v>9.36</v>
      </c>
      <c r="G220" s="306">
        <f>59.4/30*40</f>
        <v>79.2</v>
      </c>
    </row>
    <row r="221" spans="1:7" ht="18.600000000000001" customHeight="1" thickBot="1">
      <c r="A221" s="330">
        <v>389</v>
      </c>
      <c r="B221" s="331" t="s">
        <v>25</v>
      </c>
      <c r="C221" s="336">
        <v>200</v>
      </c>
      <c r="D221" s="332">
        <v>1</v>
      </c>
      <c r="E221" s="321">
        <v>0.2</v>
      </c>
      <c r="F221" s="321">
        <v>20.2</v>
      </c>
      <c r="G221" s="322">
        <v>92</v>
      </c>
    </row>
    <row r="222" spans="1:7" ht="18" customHeight="1" thickBot="1">
      <c r="A222" s="33"/>
      <c r="B222" s="261" t="s">
        <v>26</v>
      </c>
      <c r="C222" s="121">
        <f>SUM(C216:C221)</f>
        <v>820</v>
      </c>
      <c r="D222" s="203">
        <f>SUM(D216:D221)</f>
        <v>21.464999999999996</v>
      </c>
      <c r="E222" s="204">
        <f>SUM(E216:E221)</f>
        <v>20.389999999999997</v>
      </c>
      <c r="F222" s="204">
        <f>SUM(F216:F221)</f>
        <v>80.179999999999993</v>
      </c>
      <c r="G222" s="205">
        <f>SUM(G216:G221)</f>
        <v>649.1</v>
      </c>
    </row>
    <row r="223" spans="1:7" ht="18.600000000000001" customHeight="1" thickBot="1">
      <c r="A223" s="58"/>
      <c r="B223" s="28" t="s">
        <v>27</v>
      </c>
      <c r="C223" s="125">
        <f>C214+C222</f>
        <v>1340</v>
      </c>
      <c r="D223" s="60">
        <f>D214+D222</f>
        <v>56.034999999999997</v>
      </c>
      <c r="E223" s="61">
        <f>E214+E222</f>
        <v>41.489999999999995</v>
      </c>
      <c r="F223" s="61">
        <f>F214+F222</f>
        <v>127.69999999999999</v>
      </c>
      <c r="G223" s="62">
        <f>G214+G222</f>
        <v>1173.5999999999999</v>
      </c>
    </row>
    <row r="224" spans="1:7" ht="19.5" customHeight="1" thickBot="1">
      <c r="A224" s="443" t="s">
        <v>93</v>
      </c>
      <c r="B224" s="443"/>
      <c r="C224" s="443"/>
      <c r="D224" s="443"/>
      <c r="E224" s="443"/>
      <c r="F224" s="443"/>
      <c r="G224" s="443"/>
    </row>
    <row r="225" spans="1:7" ht="19.5" customHeight="1" thickBot="1">
      <c r="A225" s="6"/>
      <c r="B225" s="444" t="s">
        <v>11</v>
      </c>
      <c r="C225" s="444"/>
      <c r="D225" s="444"/>
      <c r="E225" s="444"/>
      <c r="F225" s="444"/>
      <c r="G225" s="444"/>
    </row>
    <row r="226" spans="1:7" ht="16.5" customHeight="1">
      <c r="A226" s="80">
        <v>223</v>
      </c>
      <c r="B226" s="126" t="s">
        <v>47</v>
      </c>
      <c r="C226" s="262" t="s">
        <v>30</v>
      </c>
      <c r="D226" s="127">
        <v>26.31</v>
      </c>
      <c r="E226" s="11">
        <v>18.079999999999998</v>
      </c>
      <c r="F226" s="11">
        <v>25.73</v>
      </c>
      <c r="G226" s="12">
        <v>370.5</v>
      </c>
    </row>
    <row r="227" spans="1:7" ht="18" customHeight="1">
      <c r="A227" s="72">
        <v>386</v>
      </c>
      <c r="B227" s="128" t="s">
        <v>31</v>
      </c>
      <c r="C227" s="19">
        <v>180</v>
      </c>
      <c r="D227" s="129">
        <v>8.1999999999999993</v>
      </c>
      <c r="E227" s="23">
        <v>3</v>
      </c>
      <c r="F227" s="23">
        <v>11.8</v>
      </c>
      <c r="G227" s="24">
        <v>114</v>
      </c>
    </row>
    <row r="228" spans="1:7" ht="17.850000000000001" customHeight="1" thickBot="1">
      <c r="A228" s="130">
        <v>392</v>
      </c>
      <c r="B228" s="131" t="s">
        <v>48</v>
      </c>
      <c r="C228" s="263">
        <v>180</v>
      </c>
      <c r="D228" s="337">
        <v>0.06</v>
      </c>
      <c r="E228" s="338">
        <v>0.02</v>
      </c>
      <c r="F228" s="338">
        <v>9.99</v>
      </c>
      <c r="G228" s="339">
        <v>40</v>
      </c>
    </row>
    <row r="229" spans="1:7" ht="19.350000000000001" customHeight="1" thickBot="1">
      <c r="A229" s="264"/>
      <c r="B229" s="265" t="s">
        <v>17</v>
      </c>
      <c r="C229" s="206">
        <f>C227+C228+170</f>
        <v>530</v>
      </c>
      <c r="D229" s="149">
        <f>SUM(D210:D213)</f>
        <v>20.74</v>
      </c>
      <c r="E229" s="61">
        <f>SUM(E210:E213)</f>
        <v>24.509999999999998</v>
      </c>
      <c r="F229" s="61">
        <f>SUM(F210:F213)</f>
        <v>93.009999999999991</v>
      </c>
      <c r="G229" s="62">
        <f>SUM(G210:G213)</f>
        <v>672.54</v>
      </c>
    </row>
    <row r="230" spans="1:7" ht="19.5" customHeight="1" thickBot="1">
      <c r="A230" s="139"/>
      <c r="B230" s="446" t="s">
        <v>18</v>
      </c>
      <c r="C230" s="446"/>
      <c r="D230" s="446"/>
      <c r="E230" s="446"/>
      <c r="F230" s="446"/>
      <c r="G230" s="446"/>
    </row>
    <row r="231" spans="1:7" ht="16.350000000000001" customHeight="1">
      <c r="A231" s="34">
        <v>24</v>
      </c>
      <c r="B231" s="35" t="s">
        <v>82</v>
      </c>
      <c r="C231" s="36">
        <v>60</v>
      </c>
      <c r="D231" s="10">
        <f>9.64/1000*60</f>
        <v>0.57840000000000003</v>
      </c>
      <c r="E231" s="11">
        <f>60.76/1000*60</f>
        <v>3.6455999999999995</v>
      </c>
      <c r="F231" s="11">
        <f>36.46/1000*60</f>
        <v>2.1875999999999998</v>
      </c>
      <c r="G231" s="12">
        <f>707/1000*60</f>
        <v>42.419999999999995</v>
      </c>
    </row>
    <row r="232" spans="1:7" ht="17.850000000000001" customHeight="1">
      <c r="A232" s="19">
        <v>106</v>
      </c>
      <c r="B232" s="159" t="s">
        <v>54</v>
      </c>
      <c r="C232" s="160">
        <v>250</v>
      </c>
      <c r="D232" s="142">
        <v>1.65</v>
      </c>
      <c r="E232" s="143">
        <v>5.6</v>
      </c>
      <c r="F232" s="143">
        <v>9.15</v>
      </c>
      <c r="G232" s="144">
        <v>93.5</v>
      </c>
    </row>
    <row r="233" spans="1:7" ht="18.600000000000001" customHeight="1">
      <c r="A233" s="19">
        <v>246</v>
      </c>
      <c r="B233" s="161" t="s">
        <v>79</v>
      </c>
      <c r="C233" s="72">
        <v>100</v>
      </c>
      <c r="D233" s="22">
        <v>21.3</v>
      </c>
      <c r="E233" s="23">
        <v>22.8</v>
      </c>
      <c r="F233" s="23">
        <v>21.8</v>
      </c>
      <c r="G233" s="24">
        <v>387.7</v>
      </c>
    </row>
    <row r="234" spans="1:7" ht="18.600000000000001" customHeight="1">
      <c r="A234" s="50">
        <v>302</v>
      </c>
      <c r="B234" s="14" t="s">
        <v>35</v>
      </c>
      <c r="C234" s="46">
        <v>150</v>
      </c>
      <c r="D234" s="16">
        <v>3.04</v>
      </c>
      <c r="E234" s="17">
        <v>0.36</v>
      </c>
      <c r="F234" s="17">
        <v>19.88</v>
      </c>
      <c r="G234" s="18">
        <v>90.4</v>
      </c>
    </row>
    <row r="235" spans="1:7" ht="19.350000000000001" customHeight="1">
      <c r="A235" s="19"/>
      <c r="B235" s="51" t="s">
        <v>13</v>
      </c>
      <c r="C235" s="15">
        <v>40</v>
      </c>
      <c r="D235" s="16">
        <v>3.04</v>
      </c>
      <c r="E235" s="17">
        <v>0.36</v>
      </c>
      <c r="F235" s="17">
        <v>19.88</v>
      </c>
      <c r="G235" s="306">
        <v>90.4</v>
      </c>
    </row>
    <row r="236" spans="1:7" ht="19.350000000000001" customHeight="1">
      <c r="A236" s="19"/>
      <c r="B236" s="45" t="s">
        <v>24</v>
      </c>
      <c r="C236" s="15">
        <v>30</v>
      </c>
      <c r="D236" s="16">
        <f>1.44/40*30</f>
        <v>1.0799999999999998</v>
      </c>
      <c r="E236" s="17">
        <f>0.36/40*30</f>
        <v>0.26999999999999996</v>
      </c>
      <c r="F236" s="17">
        <f>12.48/40*30</f>
        <v>9.36</v>
      </c>
      <c r="G236" s="306">
        <f>59.4/30*40</f>
        <v>79.2</v>
      </c>
    </row>
    <row r="237" spans="1:7" ht="19.350000000000001" customHeight="1" thickBot="1">
      <c r="A237" s="96">
        <v>349</v>
      </c>
      <c r="B237" s="115" t="s">
        <v>36</v>
      </c>
      <c r="C237" s="54">
        <v>180</v>
      </c>
      <c r="D237" s="55">
        <f>3.31/1000*180</f>
        <v>0.5958</v>
      </c>
      <c r="E237" s="56">
        <f>0.45/1000*180</f>
        <v>8.1000000000000003E-2</v>
      </c>
      <c r="F237" s="56">
        <f>160.07/1000*180</f>
        <v>28.8126</v>
      </c>
      <c r="G237" s="57">
        <f>664/1000*180</f>
        <v>119.52000000000001</v>
      </c>
    </row>
    <row r="238" spans="1:7" ht="20.25" customHeight="1" thickBot="1">
      <c r="A238" s="97"/>
      <c r="B238" s="147" t="s">
        <v>26</v>
      </c>
      <c r="C238" s="266">
        <f>C231+C232+C233+C234+C235+C236+C237</f>
        <v>810</v>
      </c>
      <c r="D238" s="163">
        <f>SUM(D231:D237)</f>
        <v>31.284199999999998</v>
      </c>
      <c r="E238" s="137">
        <f>SUM(E231:E237)</f>
        <v>33.116600000000005</v>
      </c>
      <c r="F238" s="137">
        <f>SUM(F231:F237)</f>
        <v>111.0702</v>
      </c>
      <c r="G238" s="138">
        <f>SUM(G231:G237)</f>
        <v>903.14</v>
      </c>
    </row>
    <row r="239" spans="1:7" ht="20.100000000000001" customHeight="1" thickBot="1">
      <c r="A239" s="58"/>
      <c r="B239" s="28" t="s">
        <v>27</v>
      </c>
      <c r="C239" s="125">
        <f>C229+C238</f>
        <v>1340</v>
      </c>
      <c r="D239" s="60">
        <f>D229+D238</f>
        <v>52.024199999999993</v>
      </c>
      <c r="E239" s="61">
        <f>E229+E238</f>
        <v>57.626600000000003</v>
      </c>
      <c r="F239" s="61">
        <f>F229+F238</f>
        <v>204.08019999999999</v>
      </c>
      <c r="G239" s="62">
        <f>G229+G238</f>
        <v>1575.6799999999998</v>
      </c>
    </row>
    <row r="240" spans="1:7" ht="19.5" customHeight="1" thickBot="1">
      <c r="A240" s="443" t="s">
        <v>94</v>
      </c>
      <c r="B240" s="443"/>
      <c r="C240" s="443"/>
      <c r="D240" s="443"/>
      <c r="E240" s="443"/>
      <c r="F240" s="443"/>
      <c r="G240" s="443"/>
    </row>
    <row r="241" spans="1:7" ht="19.5" customHeight="1" thickBot="1">
      <c r="A241" s="6"/>
      <c r="B241" s="444" t="s">
        <v>11</v>
      </c>
      <c r="C241" s="441"/>
      <c r="D241" s="444"/>
      <c r="E241" s="444"/>
      <c r="F241" s="444"/>
      <c r="G241" s="444"/>
    </row>
    <row r="242" spans="1:7" ht="17.100000000000001" customHeight="1">
      <c r="A242" s="7">
        <v>182</v>
      </c>
      <c r="B242" s="8" t="s">
        <v>12</v>
      </c>
      <c r="C242" s="343">
        <v>250</v>
      </c>
      <c r="D242" s="151">
        <v>7.63</v>
      </c>
      <c r="E242" s="152">
        <v>12.52</v>
      </c>
      <c r="F242" s="152">
        <v>33.450000000000003</v>
      </c>
      <c r="G242" s="153">
        <v>278.20999999999998</v>
      </c>
    </row>
    <row r="243" spans="1:7" ht="17.100000000000001" customHeight="1">
      <c r="A243" s="154"/>
      <c r="B243" s="51" t="s">
        <v>13</v>
      </c>
      <c r="C243" s="335">
        <v>40</v>
      </c>
      <c r="D243" s="16">
        <v>3.04</v>
      </c>
      <c r="E243" s="17">
        <v>0.36</v>
      </c>
      <c r="F243" s="17">
        <v>19.88</v>
      </c>
      <c r="G243" s="18">
        <v>90.4</v>
      </c>
    </row>
    <row r="244" spans="1:7" ht="18" customHeight="1">
      <c r="A244" s="19">
        <v>379</v>
      </c>
      <c r="B244" s="25" t="s">
        <v>16</v>
      </c>
      <c r="C244" s="344">
        <v>180</v>
      </c>
      <c r="D244" s="22">
        <v>3.16</v>
      </c>
      <c r="E244" s="23">
        <v>2.7</v>
      </c>
      <c r="F244" s="23">
        <v>16</v>
      </c>
      <c r="G244" s="24">
        <v>100.6</v>
      </c>
    </row>
    <row r="245" spans="1:7" ht="18.600000000000001" customHeight="1" thickBot="1">
      <c r="A245" s="73">
        <v>338</v>
      </c>
      <c r="B245" s="74" t="s">
        <v>32</v>
      </c>
      <c r="C245" s="312">
        <v>150</v>
      </c>
      <c r="D245" s="340">
        <v>1.6</v>
      </c>
      <c r="E245" s="341">
        <f>0.4/100*150</f>
        <v>0.6</v>
      </c>
      <c r="F245" s="341">
        <f>7.5/100*150</f>
        <v>11.25</v>
      </c>
      <c r="G245" s="342">
        <f>41/100*180</f>
        <v>73.8</v>
      </c>
    </row>
    <row r="246" spans="1:7" ht="19.350000000000001" customHeight="1" thickBot="1">
      <c r="A246" s="58"/>
      <c r="B246" s="28" t="s">
        <v>17</v>
      </c>
      <c r="C246" s="98">
        <f>C242+C243+C244+C245</f>
        <v>620</v>
      </c>
      <c r="D246" s="149">
        <f>0.8/100*150</f>
        <v>1.2</v>
      </c>
      <c r="E246" s="61">
        <f>SUM(E242:E245)</f>
        <v>16.18</v>
      </c>
      <c r="F246" s="61">
        <f>SUM(F242:F245)</f>
        <v>80.58</v>
      </c>
      <c r="G246" s="62">
        <f>SUM(G242:G245)</f>
        <v>543.01</v>
      </c>
    </row>
    <row r="247" spans="1:7" ht="19.5" customHeight="1" thickBot="1">
      <c r="A247" s="33"/>
      <c r="B247" s="442"/>
      <c r="C247" s="442"/>
      <c r="D247" s="442"/>
      <c r="E247" s="442"/>
      <c r="F247" s="442"/>
      <c r="G247" s="442"/>
    </row>
    <row r="248" spans="1:7" ht="15.75" customHeight="1">
      <c r="A248" s="389">
        <v>108</v>
      </c>
      <c r="B248" s="393" t="s">
        <v>40</v>
      </c>
      <c r="C248" s="391">
        <v>250</v>
      </c>
      <c r="D248" s="10">
        <v>0.56999999999999995</v>
      </c>
      <c r="E248" s="11">
        <v>3.63</v>
      </c>
      <c r="F248" s="11">
        <v>1.82</v>
      </c>
      <c r="G248" s="12">
        <v>42.36</v>
      </c>
    </row>
    <row r="249" spans="1:7" ht="18" customHeight="1">
      <c r="A249" s="374">
        <v>143</v>
      </c>
      <c r="B249" s="394" t="s">
        <v>95</v>
      </c>
      <c r="C249" s="392">
        <v>150</v>
      </c>
      <c r="D249" s="307">
        <v>2.6128571428571399</v>
      </c>
      <c r="E249" s="308">
        <v>16.223333333333301</v>
      </c>
      <c r="F249" s="308">
        <v>12.6952380952381</v>
      </c>
      <c r="G249" s="309">
        <v>209.61904761904799</v>
      </c>
    </row>
    <row r="250" spans="1:7" ht="16.5" customHeight="1">
      <c r="A250" s="374">
        <v>294</v>
      </c>
      <c r="B250" s="395" t="s">
        <v>41</v>
      </c>
      <c r="C250" s="392">
        <v>100</v>
      </c>
      <c r="D250" s="22">
        <v>13.36</v>
      </c>
      <c r="E250" s="23">
        <v>14.08</v>
      </c>
      <c r="F250" s="23">
        <v>3.27</v>
      </c>
      <c r="G250" s="24">
        <v>164</v>
      </c>
    </row>
    <row r="251" spans="1:7" ht="15.75" customHeight="1">
      <c r="A251" s="374"/>
      <c r="B251" s="380" t="s">
        <v>13</v>
      </c>
      <c r="C251" s="254">
        <v>40</v>
      </c>
      <c r="D251" s="16">
        <v>3.04</v>
      </c>
      <c r="E251" s="17">
        <v>0.36</v>
      </c>
      <c r="F251" s="17">
        <v>19.88</v>
      </c>
      <c r="G251" s="306">
        <v>90.4</v>
      </c>
    </row>
    <row r="252" spans="1:7" ht="17.25" customHeight="1">
      <c r="A252" s="374"/>
      <c r="B252" s="377" t="s">
        <v>24</v>
      </c>
      <c r="C252" s="254">
        <v>30</v>
      </c>
      <c r="D252" s="16">
        <f>1.44/40*30</f>
        <v>1.0799999999999998</v>
      </c>
      <c r="E252" s="17">
        <f>0.36/40*30</f>
        <v>0.26999999999999996</v>
      </c>
      <c r="F252" s="17">
        <f>12.48/40*30</f>
        <v>9.36</v>
      </c>
      <c r="G252" s="306">
        <f>59.4/30*40</f>
        <v>79.2</v>
      </c>
    </row>
    <row r="253" spans="1:7" ht="19.5" thickBot="1">
      <c r="A253" s="390">
        <v>342</v>
      </c>
      <c r="B253" s="381" t="s">
        <v>43</v>
      </c>
      <c r="C253" s="375">
        <v>180</v>
      </c>
      <c r="D253" s="104">
        <f>1.6/1000*180</f>
        <v>0.28800000000000003</v>
      </c>
      <c r="E253" s="105">
        <f>0.4/1000*180</f>
        <v>7.2000000000000008E-2</v>
      </c>
      <c r="F253" s="105">
        <f>141/1000*180</f>
        <v>25.38</v>
      </c>
      <c r="G253" s="106">
        <f>583/1000*180</f>
        <v>104.94</v>
      </c>
    </row>
    <row r="254" spans="1:7" ht="19.5" thickBot="1">
      <c r="A254" s="97"/>
      <c r="B254" s="147" t="s">
        <v>26</v>
      </c>
      <c r="C254" s="98">
        <f>SUM(C248:C253)</f>
        <v>750</v>
      </c>
      <c r="D254" s="345">
        <f>SUM(D248:D253)</f>
        <v>20.950857142857135</v>
      </c>
      <c r="E254" s="123">
        <f>SUM(E248:E253)</f>
        <v>34.635333333333307</v>
      </c>
      <c r="F254" s="123">
        <f>SUM(F248:F253)</f>
        <v>72.40523809523809</v>
      </c>
      <c r="G254" s="124">
        <f>SUM(G248:G253)</f>
        <v>690.51904761904802</v>
      </c>
    </row>
    <row r="255" spans="1:7" ht="15.75" customHeight="1" thickBot="1">
      <c r="A255" s="97"/>
      <c r="B255" s="147" t="s">
        <v>27</v>
      </c>
      <c r="C255" s="135">
        <f>C246+C254</f>
        <v>1370</v>
      </c>
      <c r="D255" s="346">
        <f>D246+D254</f>
        <v>22.150857142857134</v>
      </c>
      <c r="E255" s="347">
        <f>E246+E254</f>
        <v>50.815333333333307</v>
      </c>
      <c r="F255" s="347">
        <f>F246+F254</f>
        <v>152.98523809523809</v>
      </c>
      <c r="G255" s="348">
        <f>G246+G254</f>
        <v>1233.529047619048</v>
      </c>
    </row>
    <row r="256" spans="1:7" ht="19.5" customHeight="1" thickBot="1">
      <c r="A256" s="447" t="s">
        <v>96</v>
      </c>
      <c r="B256" s="447"/>
      <c r="C256" s="447"/>
      <c r="D256" s="443"/>
      <c r="E256" s="443"/>
      <c r="F256" s="443"/>
      <c r="G256" s="443"/>
    </row>
    <row r="257" spans="1:254" ht="18" customHeight="1" thickBot="1">
      <c r="A257" s="6"/>
      <c r="B257" s="441" t="s">
        <v>11</v>
      </c>
      <c r="C257" s="441"/>
      <c r="D257" s="441"/>
      <c r="E257" s="441"/>
      <c r="F257" s="441"/>
      <c r="G257" s="441"/>
    </row>
    <row r="258" spans="1:254">
      <c r="A258" s="268">
        <v>181</v>
      </c>
      <c r="B258" s="269" t="s">
        <v>97</v>
      </c>
      <c r="C258" s="270">
        <v>250</v>
      </c>
      <c r="D258" s="10">
        <v>26.27</v>
      </c>
      <c r="E258" s="11">
        <v>14.4</v>
      </c>
      <c r="F258" s="11">
        <v>30.15</v>
      </c>
      <c r="G258" s="12">
        <v>336</v>
      </c>
    </row>
    <row r="259" spans="1:254">
      <c r="A259" s="101">
        <v>382</v>
      </c>
      <c r="B259" s="102" t="s">
        <v>39</v>
      </c>
      <c r="C259" s="103">
        <v>180</v>
      </c>
      <c r="D259" s="104">
        <v>4.07</v>
      </c>
      <c r="E259" s="105">
        <v>3.54</v>
      </c>
      <c r="F259" s="105">
        <v>17.57</v>
      </c>
      <c r="G259" s="106">
        <v>118.6</v>
      </c>
    </row>
    <row r="260" spans="1:254">
      <c r="A260" s="19"/>
      <c r="B260" s="14" t="s">
        <v>13</v>
      </c>
      <c r="C260" s="15">
        <v>40</v>
      </c>
      <c r="D260" s="22">
        <v>8</v>
      </c>
      <c r="E260" s="23">
        <v>3</v>
      </c>
      <c r="F260" s="23">
        <v>28.6</v>
      </c>
      <c r="G260" s="24">
        <v>180</v>
      </c>
    </row>
    <row r="261" spans="1:254" ht="19.5" thickBot="1">
      <c r="A261" s="73"/>
      <c r="B261" s="271" t="s">
        <v>44</v>
      </c>
      <c r="C261" s="75">
        <v>50</v>
      </c>
      <c r="D261" s="76">
        <v>1.6</v>
      </c>
      <c r="E261" s="77">
        <v>4.2</v>
      </c>
      <c r="F261" s="77">
        <v>17.12</v>
      </c>
      <c r="G261" s="78">
        <v>112.75</v>
      </c>
    </row>
    <row r="262" spans="1:254" ht="19.5" thickBot="1">
      <c r="A262" s="58"/>
      <c r="B262" s="28" t="s">
        <v>17</v>
      </c>
      <c r="C262" s="356">
        <f>C258+C259+C260+C261</f>
        <v>520</v>
      </c>
      <c r="D262" s="346">
        <f>SUM(D258:D261)</f>
        <v>39.940000000000005</v>
      </c>
      <c r="E262" s="347">
        <f>SUM(E258:E261)</f>
        <v>25.14</v>
      </c>
      <c r="F262" s="347">
        <f>SUM(F258:F261)</f>
        <v>93.44</v>
      </c>
      <c r="G262" s="348">
        <f>SUM(G258:G261)</f>
        <v>747.35</v>
      </c>
    </row>
    <row r="263" spans="1:254" ht="19.5" customHeight="1" thickBot="1">
      <c r="A263" s="97"/>
      <c r="B263" s="445" t="s">
        <v>18</v>
      </c>
      <c r="C263" s="442"/>
      <c r="D263" s="442"/>
      <c r="E263" s="442"/>
      <c r="F263" s="442"/>
      <c r="G263" s="442"/>
    </row>
    <row r="264" spans="1:254">
      <c r="A264" s="177">
        <v>111</v>
      </c>
      <c r="B264" s="272" t="s">
        <v>98</v>
      </c>
      <c r="C264" s="414">
        <v>250</v>
      </c>
      <c r="D264" s="420">
        <f>28.9/1000*250</f>
        <v>7.2249999999999996</v>
      </c>
      <c r="E264" s="421">
        <f>20.53/1000*250</f>
        <v>5.1325000000000003</v>
      </c>
      <c r="F264" s="421">
        <f>89.19/1000*250</f>
        <v>22.297499999999999</v>
      </c>
      <c r="G264" s="422">
        <f>723/1000*250</f>
        <v>180.75</v>
      </c>
      <c r="H264" s="167"/>
      <c r="I264" s="167"/>
      <c r="J264" s="167"/>
    </row>
    <row r="265" spans="1:254" s="167" customFormat="1" ht="19.5" customHeight="1">
      <c r="A265" s="19">
        <v>24</v>
      </c>
      <c r="B265" s="25" t="s">
        <v>19</v>
      </c>
      <c r="C265" s="415">
        <v>60</v>
      </c>
      <c r="D265" s="423">
        <f>9.64/1000*60</f>
        <v>0.57840000000000003</v>
      </c>
      <c r="E265" s="416">
        <f>60.76/1000*60</f>
        <v>3.6455999999999995</v>
      </c>
      <c r="F265" s="416">
        <f>36.46/1000*60</f>
        <v>2.1875999999999998</v>
      </c>
      <c r="G265" s="424">
        <f>707/1000*60</f>
        <v>42.419999999999995</v>
      </c>
      <c r="H265" s="3"/>
      <c r="I265" s="3"/>
      <c r="J265" s="3"/>
    </row>
    <row r="266" spans="1:254" ht="16.5" customHeight="1">
      <c r="A266" s="296">
        <v>235</v>
      </c>
      <c r="B266" s="45" t="s">
        <v>99</v>
      </c>
      <c r="C266" s="396">
        <v>90</v>
      </c>
      <c r="D266" s="425">
        <f>7.3/80*90</f>
        <v>8.2125000000000004</v>
      </c>
      <c r="E266" s="417">
        <f>5.54/80*90</f>
        <v>6.2325000000000008</v>
      </c>
      <c r="F266" s="417">
        <f>6.19/80*90</f>
        <v>6.9637500000000001</v>
      </c>
      <c r="G266" s="426">
        <f>104/80*90</f>
        <v>117</v>
      </c>
    </row>
    <row r="267" spans="1:254" s="369" customFormat="1" ht="17.25" customHeight="1">
      <c r="A267" s="275">
        <v>349</v>
      </c>
      <c r="B267" s="201" t="s">
        <v>71</v>
      </c>
      <c r="C267" s="397">
        <v>50</v>
      </c>
      <c r="D267" s="427">
        <f>14.58/1000*50</f>
        <v>0.72899999999999998</v>
      </c>
      <c r="E267" s="418">
        <f>70.82/1000*50</f>
        <v>3.5409999999999995</v>
      </c>
      <c r="F267" s="418">
        <f>125.89/1000*50</f>
        <v>6.2945000000000002</v>
      </c>
      <c r="G267" s="428">
        <f>1199/1000*50</f>
        <v>59.95</v>
      </c>
      <c r="H267" s="368"/>
      <c r="I267" s="368"/>
      <c r="J267" s="368"/>
      <c r="K267" s="368"/>
      <c r="L267" s="368"/>
      <c r="M267" s="368"/>
      <c r="N267" s="368"/>
      <c r="O267" s="368"/>
      <c r="P267" s="368"/>
      <c r="Q267" s="368"/>
      <c r="R267" s="368"/>
      <c r="S267" s="368"/>
      <c r="T267" s="368"/>
      <c r="U267" s="368"/>
      <c r="V267" s="368"/>
      <c r="W267" s="368"/>
      <c r="X267" s="368"/>
      <c r="Y267" s="368"/>
      <c r="Z267" s="368"/>
      <c r="AA267" s="368"/>
      <c r="AB267" s="368"/>
      <c r="AC267" s="368"/>
      <c r="AD267" s="368"/>
      <c r="AE267" s="368"/>
      <c r="AF267" s="368"/>
      <c r="AG267" s="368"/>
      <c r="AH267" s="368"/>
      <c r="AI267" s="368"/>
      <c r="AJ267" s="368"/>
      <c r="AK267" s="368"/>
      <c r="AL267" s="368"/>
      <c r="AM267" s="368"/>
      <c r="AN267" s="368"/>
      <c r="AO267" s="368"/>
      <c r="AP267" s="368"/>
      <c r="AQ267" s="368"/>
      <c r="AR267" s="368"/>
      <c r="AS267" s="368"/>
      <c r="AT267" s="368"/>
      <c r="AU267" s="368"/>
      <c r="AV267" s="368"/>
      <c r="AW267" s="368"/>
      <c r="AX267" s="368"/>
      <c r="AY267" s="368"/>
      <c r="AZ267" s="368"/>
      <c r="BA267" s="368"/>
      <c r="BB267" s="368"/>
      <c r="BC267" s="368"/>
      <c r="BD267" s="368"/>
      <c r="BE267" s="368"/>
      <c r="BF267" s="368"/>
      <c r="BG267" s="368"/>
      <c r="BH267" s="368"/>
      <c r="BI267" s="368"/>
      <c r="BJ267" s="368"/>
      <c r="BK267" s="368"/>
      <c r="BL267" s="368"/>
      <c r="BM267" s="368"/>
      <c r="BN267" s="368"/>
      <c r="BO267" s="368"/>
      <c r="BP267" s="368"/>
      <c r="BQ267" s="368"/>
      <c r="BR267" s="368"/>
      <c r="BS267" s="368"/>
      <c r="BT267" s="368"/>
      <c r="BU267" s="368"/>
      <c r="BV267" s="368"/>
      <c r="BW267" s="368"/>
      <c r="BX267" s="368"/>
      <c r="BY267" s="368"/>
      <c r="BZ267" s="368"/>
      <c r="CA267" s="368"/>
      <c r="CB267" s="368"/>
      <c r="CC267" s="368"/>
      <c r="CD267" s="368"/>
      <c r="CE267" s="368"/>
      <c r="CF267" s="368"/>
      <c r="CG267" s="368"/>
      <c r="CH267" s="368"/>
      <c r="CI267" s="368"/>
      <c r="CJ267" s="368"/>
      <c r="CK267" s="368"/>
      <c r="CL267" s="368"/>
      <c r="CM267" s="368"/>
      <c r="CN267" s="368"/>
      <c r="CO267" s="368"/>
      <c r="CP267" s="368"/>
      <c r="CQ267" s="368"/>
      <c r="CR267" s="368"/>
      <c r="CS267" s="368"/>
      <c r="CT267" s="368"/>
      <c r="CU267" s="368"/>
      <c r="CV267" s="368"/>
      <c r="CW267" s="368"/>
      <c r="CX267" s="368"/>
      <c r="CY267" s="368"/>
      <c r="CZ267" s="368"/>
      <c r="DA267" s="368"/>
      <c r="DB267" s="368"/>
      <c r="DC267" s="368"/>
      <c r="DD267" s="368"/>
      <c r="DE267" s="368"/>
      <c r="DF267" s="368"/>
      <c r="DG267" s="368"/>
      <c r="DH267" s="368"/>
      <c r="DI267" s="368"/>
      <c r="DJ267" s="368"/>
      <c r="DK267" s="368"/>
      <c r="DL267" s="368"/>
      <c r="DM267" s="368"/>
      <c r="DN267" s="368"/>
      <c r="DO267" s="368"/>
      <c r="DP267" s="368"/>
      <c r="DQ267" s="368"/>
      <c r="DR267" s="368"/>
      <c r="DS267" s="368"/>
      <c r="DT267" s="368"/>
      <c r="DU267" s="368"/>
      <c r="DV267" s="368"/>
      <c r="DW267" s="368"/>
      <c r="DX267" s="368"/>
      <c r="DY267" s="368"/>
      <c r="DZ267" s="368"/>
      <c r="EA267" s="368"/>
      <c r="EB267" s="368"/>
      <c r="EC267" s="368"/>
      <c r="ED267" s="368"/>
      <c r="EE267" s="368"/>
      <c r="EF267" s="368"/>
      <c r="EG267" s="368"/>
      <c r="EH267" s="368"/>
      <c r="EI267" s="368"/>
      <c r="EJ267" s="368"/>
      <c r="EK267" s="368"/>
      <c r="EL267" s="368"/>
      <c r="EM267" s="368"/>
      <c r="EN267" s="368"/>
      <c r="EO267" s="368"/>
      <c r="EP267" s="368"/>
      <c r="EQ267" s="368"/>
      <c r="ER267" s="368"/>
      <c r="ES267" s="368"/>
      <c r="ET267" s="368"/>
      <c r="EU267" s="368"/>
      <c r="EV267" s="368"/>
      <c r="EW267" s="368"/>
      <c r="EX267" s="368"/>
      <c r="EY267" s="368"/>
      <c r="EZ267" s="368"/>
      <c r="FA267" s="368"/>
      <c r="FB267" s="368"/>
      <c r="FC267" s="368"/>
      <c r="FD267" s="368"/>
      <c r="FE267" s="368"/>
      <c r="FF267" s="368"/>
      <c r="FG267" s="368"/>
      <c r="FH267" s="368"/>
      <c r="FI267" s="368"/>
      <c r="FJ267" s="368"/>
      <c r="FK267" s="368"/>
      <c r="FL267" s="368"/>
      <c r="FM267" s="368"/>
      <c r="FN267" s="368"/>
      <c r="FO267" s="368"/>
      <c r="FP267" s="368"/>
      <c r="FQ267" s="368"/>
      <c r="FR267" s="368"/>
      <c r="FS267" s="368"/>
      <c r="FT267" s="368"/>
      <c r="FU267" s="368"/>
      <c r="FV267" s="368"/>
      <c r="FW267" s="368"/>
      <c r="FX267" s="368"/>
      <c r="FY267" s="368"/>
      <c r="FZ267" s="368"/>
      <c r="GA267" s="368"/>
      <c r="GB267" s="368"/>
      <c r="GC267" s="368"/>
      <c r="GD267" s="368"/>
      <c r="GE267" s="368"/>
      <c r="GF267" s="368"/>
      <c r="GG267" s="368"/>
      <c r="GH267" s="368"/>
      <c r="GI267" s="368"/>
      <c r="GJ267" s="368"/>
      <c r="GK267" s="368"/>
      <c r="GL267" s="368"/>
      <c r="GM267" s="368"/>
      <c r="GN267" s="368"/>
      <c r="GO267" s="368"/>
      <c r="GP267" s="368"/>
      <c r="GQ267" s="368"/>
      <c r="GR267" s="368"/>
      <c r="GS267" s="368"/>
      <c r="GT267" s="368"/>
      <c r="GU267" s="368"/>
      <c r="GV267" s="368"/>
      <c r="GW267" s="368"/>
      <c r="GX267" s="368"/>
      <c r="GY267" s="368"/>
      <c r="GZ267" s="368"/>
      <c r="HA267" s="368"/>
      <c r="HB267" s="368"/>
      <c r="HC267" s="368"/>
      <c r="HD267" s="368"/>
      <c r="HE267" s="368"/>
      <c r="HF267" s="368"/>
      <c r="HG267" s="368"/>
      <c r="HH267" s="368"/>
      <c r="HI267" s="368"/>
      <c r="HJ267" s="368"/>
      <c r="HK267" s="368"/>
      <c r="HL267" s="368"/>
      <c r="HM267" s="368"/>
      <c r="HN267" s="368"/>
      <c r="HO267" s="368"/>
      <c r="HP267" s="368"/>
      <c r="HQ267" s="368"/>
      <c r="HR267" s="368"/>
      <c r="HS267" s="368"/>
      <c r="HT267" s="368"/>
      <c r="HU267" s="368"/>
      <c r="HV267" s="368"/>
      <c r="HW267" s="368"/>
      <c r="HX267" s="368"/>
      <c r="HY267" s="368"/>
      <c r="HZ267" s="368"/>
      <c r="IA267" s="368"/>
      <c r="IB267" s="368"/>
      <c r="IC267" s="368"/>
      <c r="ID267" s="368"/>
      <c r="IE267" s="368"/>
      <c r="IF267" s="368"/>
      <c r="IG267" s="368"/>
      <c r="IH267" s="368"/>
      <c r="II267" s="368"/>
      <c r="IJ267" s="368"/>
      <c r="IK267" s="368"/>
      <c r="IL267" s="368"/>
      <c r="IM267" s="368"/>
      <c r="IN267" s="368"/>
      <c r="IO267" s="368"/>
      <c r="IP267" s="368"/>
      <c r="IQ267" s="368"/>
      <c r="IR267" s="368"/>
      <c r="IS267" s="368"/>
      <c r="IT267" s="368"/>
    </row>
    <row r="268" spans="1:254" ht="15.6" customHeight="1">
      <c r="A268" s="44">
        <v>312</v>
      </c>
      <c r="B268" s="14" t="s">
        <v>56</v>
      </c>
      <c r="C268" s="396">
        <v>150</v>
      </c>
      <c r="D268" s="427">
        <f>20.43/1000*150</f>
        <v>3.0645000000000002</v>
      </c>
      <c r="E268" s="418">
        <f>32.01/1000*150</f>
        <v>4.8014999999999999</v>
      </c>
      <c r="F268" s="418">
        <f>136.26/1000*150</f>
        <v>20.439</v>
      </c>
      <c r="G268" s="428">
        <f>915/1000*150</f>
        <v>137.25</v>
      </c>
    </row>
    <row r="269" spans="1:254" ht="15.75" customHeight="1">
      <c r="A269" s="19"/>
      <c r="B269" s="253" t="s">
        <v>13</v>
      </c>
      <c r="C269" s="172">
        <v>40</v>
      </c>
      <c r="D269" s="429">
        <v>3.04</v>
      </c>
      <c r="E269" s="419">
        <v>0.36</v>
      </c>
      <c r="F269" s="419">
        <v>19.88</v>
      </c>
      <c r="G269" s="430">
        <v>90.4</v>
      </c>
    </row>
    <row r="270" spans="1:254" ht="17.25" customHeight="1">
      <c r="A270" s="19"/>
      <c r="B270" s="252" t="s">
        <v>24</v>
      </c>
      <c r="C270" s="172">
        <v>30</v>
      </c>
      <c r="D270" s="429">
        <f>1.44/40*30</f>
        <v>1.0799999999999998</v>
      </c>
      <c r="E270" s="419">
        <f>0.36/40*30</f>
        <v>0.26999999999999996</v>
      </c>
      <c r="F270" s="419">
        <f>12.48/40*30</f>
        <v>9.36</v>
      </c>
      <c r="G270" s="430">
        <f>59.4/30*40</f>
        <v>79.2</v>
      </c>
    </row>
    <row r="271" spans="1:254" ht="19.350000000000001" customHeight="1" thickBot="1">
      <c r="A271" s="96">
        <v>349</v>
      </c>
      <c r="B271" s="115" t="s">
        <v>36</v>
      </c>
      <c r="C271" s="274">
        <v>180</v>
      </c>
      <c r="D271" s="431">
        <f>3.31/1000*180</f>
        <v>0.5958</v>
      </c>
      <c r="E271" s="432">
        <f>0.45/1000*180</f>
        <v>8.1000000000000003E-2</v>
      </c>
      <c r="F271" s="432">
        <f>160.07/1000*180</f>
        <v>28.8126</v>
      </c>
      <c r="G271" s="433">
        <f>664/1000*180</f>
        <v>119.52000000000001</v>
      </c>
    </row>
    <row r="272" spans="1:254" ht="19.5" thickBot="1">
      <c r="A272" s="58"/>
      <c r="B272" s="28" t="s">
        <v>26</v>
      </c>
      <c r="C272" s="98">
        <f>C264+C265+C266+C267+C271+C268+C269+C270</f>
        <v>850</v>
      </c>
      <c r="D272" s="136">
        <f>SUM(D264:D271)</f>
        <v>24.525199999999998</v>
      </c>
      <c r="E272" s="137">
        <f>SUM(E264:E271)</f>
        <v>24.0641</v>
      </c>
      <c r="F272" s="137">
        <f>SUM(F264:F271)</f>
        <v>116.23495</v>
      </c>
      <c r="G272" s="138">
        <f>SUM(G264:G271)</f>
        <v>826.4899999999999</v>
      </c>
    </row>
    <row r="273" spans="1:10" ht="19.5" thickBot="1">
      <c r="A273" s="58"/>
      <c r="B273" s="28" t="s">
        <v>27</v>
      </c>
      <c r="C273" s="63">
        <f>C262+C272</f>
        <v>1370</v>
      </c>
      <c r="D273" s="149">
        <f>D262+D272</f>
        <v>64.46520000000001</v>
      </c>
      <c r="E273" s="61">
        <f>E262+E272</f>
        <v>49.204099999999997</v>
      </c>
      <c r="F273" s="61">
        <f>F262+F272</f>
        <v>209.67495</v>
      </c>
      <c r="G273" s="62">
        <f>G262+G272</f>
        <v>1573.84</v>
      </c>
    </row>
    <row r="274" spans="1:10" ht="19.5" customHeight="1" thickBot="1">
      <c r="A274" s="443" t="s">
        <v>100</v>
      </c>
      <c r="B274" s="443"/>
      <c r="C274" s="443"/>
      <c r="D274" s="443"/>
      <c r="E274" s="443"/>
      <c r="F274" s="443"/>
      <c r="G274" s="443"/>
    </row>
    <row r="275" spans="1:10" ht="19.5" customHeight="1" thickBot="1">
      <c r="A275" s="58"/>
      <c r="B275" s="444" t="s">
        <v>11</v>
      </c>
      <c r="C275" s="441"/>
      <c r="D275" s="444"/>
      <c r="E275" s="444"/>
      <c r="F275" s="444"/>
      <c r="G275" s="444"/>
    </row>
    <row r="276" spans="1:10">
      <c r="A276" s="34">
        <v>219</v>
      </c>
      <c r="B276" s="100" t="s">
        <v>58</v>
      </c>
      <c r="C276" s="388" t="s">
        <v>30</v>
      </c>
      <c r="D276" s="179">
        <v>5.96</v>
      </c>
      <c r="E276" s="180">
        <v>10.46</v>
      </c>
      <c r="F276" s="180">
        <v>31.6</v>
      </c>
      <c r="G276" s="181">
        <v>245.02</v>
      </c>
    </row>
    <row r="277" spans="1:10">
      <c r="A277" s="19">
        <v>386</v>
      </c>
      <c r="B277" s="20" t="s">
        <v>31</v>
      </c>
      <c r="C277" s="334">
        <v>180</v>
      </c>
      <c r="D277" s="104">
        <v>4.07</v>
      </c>
      <c r="E277" s="105">
        <v>3.54</v>
      </c>
      <c r="F277" s="105">
        <v>17.57</v>
      </c>
      <c r="G277" s="106">
        <v>118.6</v>
      </c>
    </row>
    <row r="278" spans="1:10" ht="17.850000000000001" customHeight="1" thickBot="1">
      <c r="A278" s="241">
        <v>392</v>
      </c>
      <c r="B278" s="131" t="s">
        <v>48</v>
      </c>
      <c r="C278" s="75">
        <v>180</v>
      </c>
      <c r="D278" s="132">
        <v>0.06</v>
      </c>
      <c r="E278" s="133">
        <v>0.02</v>
      </c>
      <c r="F278" s="133">
        <v>9.99</v>
      </c>
      <c r="G278" s="134">
        <v>40</v>
      </c>
    </row>
    <row r="279" spans="1:10" ht="19.5" thickBot="1">
      <c r="A279" s="58"/>
      <c r="B279" s="28" t="s">
        <v>17</v>
      </c>
      <c r="C279" s="98">
        <f>170+C277+C278</f>
        <v>530</v>
      </c>
      <c r="D279" s="60">
        <f>SUM(D276:D278)</f>
        <v>10.090000000000002</v>
      </c>
      <c r="E279" s="61">
        <f>SUM(E276:E278)</f>
        <v>14.02</v>
      </c>
      <c r="F279" s="61">
        <f>SUM(F276:F278)</f>
        <v>59.160000000000004</v>
      </c>
      <c r="G279" s="62">
        <f>SUM(G276:G278)</f>
        <v>403.62</v>
      </c>
    </row>
    <row r="280" spans="1:10" ht="19.5" customHeight="1" thickBot="1">
      <c r="A280" s="97"/>
      <c r="B280" s="445" t="s">
        <v>18</v>
      </c>
      <c r="C280" s="442"/>
      <c r="D280" s="445"/>
      <c r="E280" s="445"/>
      <c r="F280" s="445"/>
      <c r="G280" s="445"/>
    </row>
    <row r="281" spans="1:10">
      <c r="A281" s="194">
        <v>102</v>
      </c>
      <c r="B281" s="195" t="s">
        <v>64</v>
      </c>
      <c r="C281" s="357">
        <v>250</v>
      </c>
      <c r="D281" s="402">
        <v>4.3899999999999997</v>
      </c>
      <c r="E281" s="403">
        <v>4.22</v>
      </c>
      <c r="F281" s="404">
        <v>13.23</v>
      </c>
      <c r="G281" s="405">
        <v>118.6</v>
      </c>
    </row>
    <row r="282" spans="1:10" ht="15.75" customHeight="1">
      <c r="A282" s="200">
        <v>298</v>
      </c>
      <c r="B282" s="201" t="s">
        <v>65</v>
      </c>
      <c r="C282" s="370">
        <v>210</v>
      </c>
      <c r="D282" s="406">
        <v>14.12</v>
      </c>
      <c r="E282" s="407">
        <v>9.0399999999999991</v>
      </c>
      <c r="F282" s="407">
        <v>20.260000000000002</v>
      </c>
      <c r="G282" s="408">
        <v>219</v>
      </c>
    </row>
    <row r="283" spans="1:10">
      <c r="A283" s="19"/>
      <c r="B283" s="51" t="s">
        <v>13</v>
      </c>
      <c r="C283" s="335">
        <v>40</v>
      </c>
      <c r="D283" s="16">
        <v>3.04</v>
      </c>
      <c r="E283" s="17">
        <v>0.36</v>
      </c>
      <c r="F283" s="17">
        <v>19.88</v>
      </c>
      <c r="G283" s="306">
        <v>90.4</v>
      </c>
    </row>
    <row r="284" spans="1:10">
      <c r="A284" s="19"/>
      <c r="B284" s="45" t="s">
        <v>24</v>
      </c>
      <c r="C284" s="335">
        <v>30</v>
      </c>
      <c r="D284" s="16">
        <f>1.44/40*30</f>
        <v>1.0799999999999998</v>
      </c>
      <c r="E284" s="17">
        <f>0.36/40*30</f>
        <v>0.26999999999999996</v>
      </c>
      <c r="F284" s="17">
        <f>12.48/40*30</f>
        <v>9.36</v>
      </c>
      <c r="G284" s="306">
        <f>59.4/30*40</f>
        <v>79.2</v>
      </c>
    </row>
    <row r="285" spans="1:10" ht="19.5" thickBot="1">
      <c r="A285" s="101">
        <v>342</v>
      </c>
      <c r="B285" s="102" t="s">
        <v>43</v>
      </c>
      <c r="C285" s="359">
        <v>180</v>
      </c>
      <c r="D285" s="104">
        <f>1.6/1000*180</f>
        <v>0.28800000000000003</v>
      </c>
      <c r="E285" s="105">
        <f>0.4/1000*180</f>
        <v>7.2000000000000008E-2</v>
      </c>
      <c r="F285" s="105">
        <f>141/1000*180</f>
        <v>25.38</v>
      </c>
      <c r="G285" s="106">
        <f>583/1000*180</f>
        <v>104.94</v>
      </c>
    </row>
    <row r="286" spans="1:10" ht="19.5" thickBot="1">
      <c r="A286" s="58"/>
      <c r="B286" s="28" t="s">
        <v>26</v>
      </c>
      <c r="C286" s="98">
        <f>SUM(C281:C285)</f>
        <v>710</v>
      </c>
      <c r="D286" s="60">
        <f>SUM(D281:D285)</f>
        <v>22.917999999999996</v>
      </c>
      <c r="E286" s="61">
        <f>SUM(E281:E285)</f>
        <v>13.961999999999996</v>
      </c>
      <c r="F286" s="61">
        <f>SUM(F281:F285)</f>
        <v>88.11</v>
      </c>
      <c r="G286" s="62">
        <f>SUM(G281:G285)</f>
        <v>612.14</v>
      </c>
    </row>
    <row r="287" spans="1:10" ht="19.5" thickBot="1">
      <c r="A287" s="58"/>
      <c r="B287" s="28" t="s">
        <v>27</v>
      </c>
      <c r="C287" s="98">
        <f>C279+C286</f>
        <v>1240</v>
      </c>
      <c r="D287" s="163">
        <f>D279+D286</f>
        <v>33.007999999999996</v>
      </c>
      <c r="E287" s="137">
        <f>E279+E286</f>
        <v>27.981999999999996</v>
      </c>
      <c r="F287" s="137">
        <f>F279+F286</f>
        <v>147.27000000000001</v>
      </c>
      <c r="G287" s="138">
        <f>G279+G286</f>
        <v>1015.76</v>
      </c>
    </row>
    <row r="288" spans="1:10" ht="19.5" customHeight="1" thickBot="1">
      <c r="A288" s="448" t="s">
        <v>101</v>
      </c>
      <c r="B288" s="448"/>
      <c r="C288" s="448"/>
      <c r="D288" s="448"/>
      <c r="E288" s="448"/>
      <c r="F288" s="448"/>
      <c r="G288" s="448"/>
      <c r="H288" s="207"/>
      <c r="I288" s="207"/>
      <c r="J288" s="207"/>
    </row>
    <row r="289" spans="1:254" s="207" customFormat="1" ht="17.850000000000001" customHeight="1" thickBot="1">
      <c r="A289" s="58"/>
      <c r="B289" s="449" t="s">
        <v>67</v>
      </c>
      <c r="C289" s="449"/>
      <c r="D289" s="449"/>
      <c r="E289" s="449"/>
      <c r="F289" s="449"/>
      <c r="G289" s="449"/>
      <c r="H289" s="3"/>
      <c r="I289" s="3"/>
      <c r="J289" s="3"/>
    </row>
    <row r="290" spans="1:254">
      <c r="A290" s="109">
        <v>204</v>
      </c>
      <c r="B290" s="110" t="s">
        <v>62</v>
      </c>
      <c r="C290" s="111" t="s">
        <v>63</v>
      </c>
      <c r="D290" s="112">
        <v>11.5</v>
      </c>
      <c r="E290" s="113">
        <v>13.53</v>
      </c>
      <c r="F290" s="113">
        <v>28.99</v>
      </c>
      <c r="G290" s="114">
        <v>284</v>
      </c>
    </row>
    <row r="291" spans="1:254">
      <c r="A291" s="19">
        <v>379</v>
      </c>
      <c r="B291" s="25" t="s">
        <v>16</v>
      </c>
      <c r="C291" s="155">
        <v>180</v>
      </c>
      <c r="D291" s="22">
        <v>3.16</v>
      </c>
      <c r="E291" s="23">
        <v>2.7</v>
      </c>
      <c r="F291" s="23">
        <v>16</v>
      </c>
      <c r="G291" s="24">
        <v>100.6</v>
      </c>
    </row>
    <row r="292" spans="1:254">
      <c r="A292" s="19"/>
      <c r="B292" s="14" t="s">
        <v>13</v>
      </c>
      <c r="C292" s="46">
        <v>30</v>
      </c>
      <c r="D292" s="183">
        <v>2.2799999999999998</v>
      </c>
      <c r="E292" s="184">
        <v>0.27</v>
      </c>
      <c r="F292" s="184">
        <v>14.91</v>
      </c>
      <c r="G292" s="185">
        <v>67.8</v>
      </c>
    </row>
    <row r="293" spans="1:254" ht="19.899999999999999" customHeight="1" thickBot="1">
      <c r="A293" s="73">
        <v>338</v>
      </c>
      <c r="B293" s="74" t="s">
        <v>32</v>
      </c>
      <c r="C293" s="75">
        <v>150</v>
      </c>
      <c r="D293" s="364">
        <f>1.1/100*150</f>
        <v>1.6500000000000001</v>
      </c>
      <c r="E293" s="365">
        <f>0.4/100*150</f>
        <v>0.6</v>
      </c>
      <c r="F293" s="365">
        <f>1.06/100*150</f>
        <v>1.59</v>
      </c>
      <c r="G293" s="366">
        <f>52/100*150</f>
        <v>78</v>
      </c>
      <c r="H293" s="215"/>
      <c r="I293" s="215"/>
      <c r="J293" s="215"/>
    </row>
    <row r="294" spans="1:254" s="215" customFormat="1" ht="17.100000000000001" customHeight="1" thickBot="1">
      <c r="A294" s="58"/>
      <c r="B294" s="213" t="s">
        <v>17</v>
      </c>
      <c r="C294" s="276">
        <f>170+C291+C292+C293</f>
        <v>530</v>
      </c>
      <c r="D294" s="60">
        <f>SUM(D290:D293)</f>
        <v>18.59</v>
      </c>
      <c r="E294" s="61">
        <f>SUM(E290:E293)</f>
        <v>17.100000000000001</v>
      </c>
      <c r="F294" s="61">
        <f>SUM(F290:F293)</f>
        <v>61.489999999999995</v>
      </c>
      <c r="G294" s="62">
        <f>SUM(G290:G293)</f>
        <v>530.40000000000009</v>
      </c>
      <c r="H294" s="3"/>
      <c r="I294" s="3"/>
      <c r="J294" s="3"/>
    </row>
    <row r="295" spans="1:254" ht="19.5" customHeight="1" thickBot="1">
      <c r="A295" s="6"/>
      <c r="B295" s="441" t="s">
        <v>18</v>
      </c>
      <c r="C295" s="441"/>
      <c r="D295" s="441"/>
      <c r="E295" s="441"/>
      <c r="F295" s="441"/>
      <c r="G295" s="441"/>
    </row>
    <row r="296" spans="1:254" ht="16.350000000000001" customHeight="1">
      <c r="A296" s="34">
        <v>71</v>
      </c>
      <c r="B296" s="376" t="s">
        <v>49</v>
      </c>
      <c r="C296" s="400">
        <v>60</v>
      </c>
      <c r="D296" s="10">
        <v>0.43</v>
      </c>
      <c r="E296" s="11">
        <v>0.08</v>
      </c>
      <c r="F296" s="11">
        <v>1.1399999999999999</v>
      </c>
      <c r="G296" s="12">
        <v>7.2</v>
      </c>
    </row>
    <row r="297" spans="1:254" s="369" customFormat="1">
      <c r="A297" s="401">
        <v>84</v>
      </c>
      <c r="B297" s="398" t="s">
        <v>33</v>
      </c>
      <c r="C297" s="370">
        <v>250</v>
      </c>
      <c r="D297" s="220">
        <f>14.23/1000*250</f>
        <v>3.5575000000000001</v>
      </c>
      <c r="E297" s="221">
        <f>20.46/1000*250</f>
        <v>5.1150000000000002</v>
      </c>
      <c r="F297" s="221">
        <f>56.66/1000*250</f>
        <v>14.164999999999999</v>
      </c>
      <c r="G297" s="222">
        <f>511/1000*250</f>
        <v>127.75</v>
      </c>
      <c r="H297" s="368"/>
      <c r="I297" s="368"/>
      <c r="J297" s="368"/>
      <c r="K297" s="368"/>
      <c r="L297" s="368"/>
      <c r="M297" s="368"/>
      <c r="N297" s="368"/>
      <c r="O297" s="368"/>
      <c r="P297" s="368"/>
      <c r="Q297" s="368"/>
      <c r="R297" s="368"/>
      <c r="S297" s="368"/>
      <c r="T297" s="368"/>
      <c r="U297" s="368"/>
      <c r="V297" s="368"/>
      <c r="W297" s="368"/>
      <c r="X297" s="368"/>
      <c r="Y297" s="368"/>
      <c r="Z297" s="368"/>
      <c r="AA297" s="368"/>
      <c r="AB297" s="368"/>
      <c r="AC297" s="368"/>
      <c r="AD297" s="368"/>
      <c r="AE297" s="368"/>
      <c r="AF297" s="368"/>
      <c r="AG297" s="368"/>
      <c r="AH297" s="368"/>
      <c r="AI297" s="368"/>
      <c r="AJ297" s="368"/>
      <c r="AK297" s="368"/>
      <c r="AL297" s="368"/>
      <c r="AM297" s="368"/>
      <c r="AN297" s="368"/>
      <c r="AO297" s="368"/>
      <c r="AP297" s="368"/>
      <c r="AQ297" s="368"/>
      <c r="AR297" s="368"/>
      <c r="AS297" s="368"/>
      <c r="AT297" s="368"/>
      <c r="AU297" s="368"/>
      <c r="AV297" s="368"/>
      <c r="AW297" s="368"/>
      <c r="AX297" s="368"/>
      <c r="AY297" s="368"/>
      <c r="AZ297" s="368"/>
      <c r="BA297" s="368"/>
      <c r="BB297" s="368"/>
      <c r="BC297" s="368"/>
      <c r="BD297" s="368"/>
      <c r="BE297" s="368"/>
      <c r="BF297" s="368"/>
      <c r="BG297" s="368"/>
      <c r="BH297" s="368"/>
      <c r="BI297" s="368"/>
      <c r="BJ297" s="368"/>
      <c r="BK297" s="368"/>
      <c r="BL297" s="368"/>
      <c r="BM297" s="368"/>
      <c r="BN297" s="368"/>
      <c r="BO297" s="368"/>
      <c r="BP297" s="368"/>
      <c r="BQ297" s="368"/>
      <c r="BR297" s="368"/>
      <c r="BS297" s="368"/>
      <c r="BT297" s="368"/>
      <c r="BU297" s="368"/>
      <c r="BV297" s="368"/>
      <c r="BW297" s="368"/>
      <c r="BX297" s="368"/>
      <c r="BY297" s="368"/>
      <c r="BZ297" s="368"/>
      <c r="CA297" s="368"/>
      <c r="CB297" s="368"/>
      <c r="CC297" s="368"/>
      <c r="CD297" s="368"/>
      <c r="CE297" s="368"/>
      <c r="CF297" s="368"/>
      <c r="CG297" s="368"/>
      <c r="CH297" s="368"/>
      <c r="CI297" s="368"/>
      <c r="CJ297" s="368"/>
      <c r="CK297" s="368"/>
      <c r="CL297" s="368"/>
      <c r="CM297" s="368"/>
      <c r="CN297" s="368"/>
      <c r="CO297" s="368"/>
      <c r="CP297" s="368"/>
      <c r="CQ297" s="368"/>
      <c r="CR297" s="368"/>
      <c r="CS297" s="368"/>
      <c r="CT297" s="368"/>
      <c r="CU297" s="368"/>
      <c r="CV297" s="368"/>
      <c r="CW297" s="368"/>
      <c r="CX297" s="368"/>
      <c r="CY297" s="368"/>
      <c r="CZ297" s="368"/>
      <c r="DA297" s="368"/>
      <c r="DB297" s="368"/>
      <c r="DC297" s="368"/>
      <c r="DD297" s="368"/>
      <c r="DE297" s="368"/>
      <c r="DF297" s="368"/>
      <c r="DG297" s="368"/>
      <c r="DH297" s="368"/>
      <c r="DI297" s="368"/>
      <c r="DJ297" s="368"/>
      <c r="DK297" s="368"/>
      <c r="DL297" s="368"/>
      <c r="DM297" s="368"/>
      <c r="DN297" s="368"/>
      <c r="DO297" s="368"/>
      <c r="DP297" s="368"/>
      <c r="DQ297" s="368"/>
      <c r="DR297" s="368"/>
      <c r="DS297" s="368"/>
      <c r="DT297" s="368"/>
      <c r="DU297" s="368"/>
      <c r="DV297" s="368"/>
      <c r="DW297" s="368"/>
      <c r="DX297" s="368"/>
      <c r="DY297" s="368"/>
      <c r="DZ297" s="368"/>
      <c r="EA297" s="368"/>
      <c r="EB297" s="368"/>
      <c r="EC297" s="368"/>
      <c r="ED297" s="368"/>
      <c r="EE297" s="368"/>
      <c r="EF297" s="368"/>
      <c r="EG297" s="368"/>
      <c r="EH297" s="368"/>
      <c r="EI297" s="368"/>
      <c r="EJ297" s="368"/>
      <c r="EK297" s="368"/>
      <c r="EL297" s="368"/>
      <c r="EM297" s="368"/>
      <c r="EN297" s="368"/>
      <c r="EO297" s="368"/>
      <c r="EP297" s="368"/>
      <c r="EQ297" s="368"/>
      <c r="ER297" s="368"/>
      <c r="ES297" s="368"/>
      <c r="ET297" s="368"/>
      <c r="EU297" s="368"/>
      <c r="EV297" s="368"/>
      <c r="EW297" s="368"/>
      <c r="EX297" s="368"/>
      <c r="EY297" s="368"/>
      <c r="EZ297" s="368"/>
      <c r="FA297" s="368"/>
      <c r="FB297" s="368"/>
      <c r="FC297" s="368"/>
      <c r="FD297" s="368"/>
      <c r="FE297" s="368"/>
      <c r="FF297" s="368"/>
      <c r="FG297" s="368"/>
      <c r="FH297" s="368"/>
      <c r="FI297" s="368"/>
      <c r="FJ297" s="368"/>
      <c r="FK297" s="368"/>
      <c r="FL297" s="368"/>
      <c r="FM297" s="368"/>
      <c r="FN297" s="368"/>
      <c r="FO297" s="368"/>
      <c r="FP297" s="368"/>
      <c r="FQ297" s="368"/>
      <c r="FR297" s="368"/>
      <c r="FS297" s="368"/>
      <c r="FT297" s="368"/>
      <c r="FU297" s="368"/>
      <c r="FV297" s="368"/>
      <c r="FW297" s="368"/>
      <c r="FX297" s="368"/>
      <c r="FY297" s="368"/>
      <c r="FZ297" s="368"/>
      <c r="GA297" s="368"/>
      <c r="GB297" s="368"/>
      <c r="GC297" s="368"/>
      <c r="GD297" s="368"/>
      <c r="GE297" s="368"/>
      <c r="GF297" s="368"/>
      <c r="GG297" s="368"/>
      <c r="GH297" s="368"/>
      <c r="GI297" s="368"/>
      <c r="GJ297" s="368"/>
      <c r="GK297" s="368"/>
      <c r="GL297" s="368"/>
      <c r="GM297" s="368"/>
      <c r="GN297" s="368"/>
      <c r="GO297" s="368"/>
      <c r="GP297" s="368"/>
      <c r="GQ297" s="368"/>
      <c r="GR297" s="368"/>
      <c r="GS297" s="368"/>
      <c r="GT297" s="368"/>
      <c r="GU297" s="368"/>
      <c r="GV297" s="368"/>
      <c r="GW297" s="368"/>
      <c r="GX297" s="368"/>
      <c r="GY297" s="368"/>
      <c r="GZ297" s="368"/>
      <c r="HA297" s="368"/>
      <c r="HB297" s="368"/>
      <c r="HC297" s="368"/>
      <c r="HD297" s="368"/>
      <c r="HE297" s="368"/>
      <c r="HF297" s="368"/>
      <c r="HG297" s="368"/>
      <c r="HH297" s="368"/>
      <c r="HI297" s="368"/>
      <c r="HJ297" s="368"/>
      <c r="HK297" s="368"/>
      <c r="HL297" s="368"/>
      <c r="HM297" s="368"/>
      <c r="HN297" s="368"/>
      <c r="HO297" s="368"/>
      <c r="HP297" s="368"/>
      <c r="HQ297" s="368"/>
      <c r="HR297" s="368"/>
      <c r="HS297" s="368"/>
      <c r="HT297" s="368"/>
      <c r="HU297" s="368"/>
      <c r="HV297" s="368"/>
      <c r="HW297" s="368"/>
      <c r="HX297" s="368"/>
      <c r="HY297" s="368"/>
      <c r="HZ297" s="368"/>
      <c r="IA297" s="368"/>
      <c r="IB297" s="368"/>
      <c r="IC297" s="368"/>
      <c r="ID297" s="368"/>
      <c r="IE297" s="368"/>
      <c r="IF297" s="368"/>
      <c r="IG297" s="368"/>
      <c r="IH297" s="368"/>
      <c r="II297" s="368"/>
      <c r="IJ297" s="368"/>
      <c r="IK297" s="368"/>
      <c r="IL297" s="368"/>
      <c r="IM297" s="368"/>
      <c r="IN297" s="368"/>
      <c r="IO297" s="368"/>
      <c r="IP297" s="368"/>
      <c r="IQ297" s="368"/>
      <c r="IR297" s="368"/>
      <c r="IS297" s="368"/>
      <c r="IT297" s="368"/>
    </row>
    <row r="298" spans="1:254" ht="15.6" customHeight="1">
      <c r="A298" s="396">
        <v>312</v>
      </c>
      <c r="B298" s="378" t="s">
        <v>56</v>
      </c>
      <c r="C298" s="358">
        <v>150</v>
      </c>
      <c r="D298" s="183">
        <f>20.43/1000*150</f>
        <v>3.0645000000000002</v>
      </c>
      <c r="E298" s="184">
        <f>32.01/1000*150</f>
        <v>4.8014999999999999</v>
      </c>
      <c r="F298" s="184">
        <f>136.26/1000*150</f>
        <v>20.439</v>
      </c>
      <c r="G298" s="185">
        <f>915/1000*150</f>
        <v>137.25</v>
      </c>
    </row>
    <row r="299" spans="1:254" ht="18" customHeight="1">
      <c r="A299" s="328">
        <v>234</v>
      </c>
      <c r="B299" s="379" t="s">
        <v>70</v>
      </c>
      <c r="C299" s="382">
        <v>90</v>
      </c>
      <c r="D299" s="307">
        <v>6.88</v>
      </c>
      <c r="E299" s="308">
        <f>5.6/80*90</f>
        <v>6.2999999999999989</v>
      </c>
      <c r="F299" s="308">
        <f>9.81/80*90</f>
        <v>11.036250000000001</v>
      </c>
      <c r="G299" s="309">
        <f>116/80*90</f>
        <v>130.5</v>
      </c>
    </row>
    <row r="300" spans="1:254" s="369" customFormat="1" ht="16.5" customHeight="1">
      <c r="A300" s="397">
        <v>349</v>
      </c>
      <c r="B300" s="398" t="s">
        <v>71</v>
      </c>
      <c r="C300" s="370">
        <v>50</v>
      </c>
      <c r="D300" s="183">
        <f>14.58/1000*50</f>
        <v>0.72899999999999998</v>
      </c>
      <c r="E300" s="184">
        <f>70.82/1000*50</f>
        <v>3.5409999999999995</v>
      </c>
      <c r="F300" s="184">
        <f>125.89/1000*50</f>
        <v>6.2945000000000002</v>
      </c>
      <c r="G300" s="185">
        <f>1199/1000*50</f>
        <v>59.95</v>
      </c>
      <c r="H300" s="368"/>
      <c r="I300" s="368"/>
      <c r="J300" s="368"/>
      <c r="K300" s="368"/>
      <c r="L300" s="368"/>
      <c r="M300" s="368"/>
      <c r="N300" s="368"/>
      <c r="O300" s="368"/>
      <c r="P300" s="368"/>
      <c r="Q300" s="368"/>
      <c r="R300" s="368"/>
      <c r="S300" s="368"/>
      <c r="T300" s="368"/>
      <c r="U300" s="368"/>
      <c r="V300" s="368"/>
      <c r="W300" s="368"/>
      <c r="X300" s="368"/>
      <c r="Y300" s="368"/>
      <c r="Z300" s="368"/>
      <c r="AA300" s="368"/>
      <c r="AB300" s="368"/>
      <c r="AC300" s="368"/>
      <c r="AD300" s="368"/>
      <c r="AE300" s="368"/>
      <c r="AF300" s="368"/>
      <c r="AG300" s="368"/>
      <c r="AH300" s="368"/>
      <c r="AI300" s="368"/>
      <c r="AJ300" s="368"/>
      <c r="AK300" s="368"/>
      <c r="AL300" s="368"/>
      <c r="AM300" s="368"/>
      <c r="AN300" s="368"/>
      <c r="AO300" s="368"/>
      <c r="AP300" s="368"/>
      <c r="AQ300" s="368"/>
      <c r="AR300" s="368"/>
      <c r="AS300" s="368"/>
      <c r="AT300" s="368"/>
      <c r="AU300" s="368"/>
      <c r="AV300" s="368"/>
      <c r="AW300" s="368"/>
      <c r="AX300" s="368"/>
      <c r="AY300" s="368"/>
      <c r="AZ300" s="368"/>
      <c r="BA300" s="368"/>
      <c r="BB300" s="368"/>
      <c r="BC300" s="368"/>
      <c r="BD300" s="368"/>
      <c r="BE300" s="368"/>
      <c r="BF300" s="368"/>
      <c r="BG300" s="368"/>
      <c r="BH300" s="368"/>
      <c r="BI300" s="368"/>
      <c r="BJ300" s="368"/>
      <c r="BK300" s="368"/>
      <c r="BL300" s="368"/>
      <c r="BM300" s="368"/>
      <c r="BN300" s="368"/>
      <c r="BO300" s="368"/>
      <c r="BP300" s="368"/>
      <c r="BQ300" s="368"/>
      <c r="BR300" s="368"/>
      <c r="BS300" s="368"/>
      <c r="BT300" s="368"/>
      <c r="BU300" s="368"/>
      <c r="BV300" s="368"/>
      <c r="BW300" s="368"/>
      <c r="BX300" s="368"/>
      <c r="BY300" s="368"/>
      <c r="BZ300" s="368"/>
      <c r="CA300" s="368"/>
      <c r="CB300" s="368"/>
      <c r="CC300" s="368"/>
      <c r="CD300" s="368"/>
      <c r="CE300" s="368"/>
      <c r="CF300" s="368"/>
      <c r="CG300" s="368"/>
      <c r="CH300" s="368"/>
      <c r="CI300" s="368"/>
      <c r="CJ300" s="368"/>
      <c r="CK300" s="368"/>
      <c r="CL300" s="368"/>
      <c r="CM300" s="368"/>
      <c r="CN300" s="368"/>
      <c r="CO300" s="368"/>
      <c r="CP300" s="368"/>
      <c r="CQ300" s="368"/>
      <c r="CR300" s="368"/>
      <c r="CS300" s="368"/>
      <c r="CT300" s="368"/>
      <c r="CU300" s="368"/>
      <c r="CV300" s="368"/>
      <c r="CW300" s="368"/>
      <c r="CX300" s="368"/>
      <c r="CY300" s="368"/>
      <c r="CZ300" s="368"/>
      <c r="DA300" s="368"/>
      <c r="DB300" s="368"/>
      <c r="DC300" s="368"/>
      <c r="DD300" s="368"/>
      <c r="DE300" s="368"/>
      <c r="DF300" s="368"/>
      <c r="DG300" s="368"/>
      <c r="DH300" s="368"/>
      <c r="DI300" s="368"/>
      <c r="DJ300" s="368"/>
      <c r="DK300" s="368"/>
      <c r="DL300" s="368"/>
      <c r="DM300" s="368"/>
      <c r="DN300" s="368"/>
      <c r="DO300" s="368"/>
      <c r="DP300" s="368"/>
      <c r="DQ300" s="368"/>
      <c r="DR300" s="368"/>
      <c r="DS300" s="368"/>
      <c r="DT300" s="368"/>
      <c r="DU300" s="368"/>
      <c r="DV300" s="368"/>
      <c r="DW300" s="368"/>
      <c r="DX300" s="368"/>
      <c r="DY300" s="368"/>
      <c r="DZ300" s="368"/>
      <c r="EA300" s="368"/>
      <c r="EB300" s="368"/>
      <c r="EC300" s="368"/>
      <c r="ED300" s="368"/>
      <c r="EE300" s="368"/>
      <c r="EF300" s="368"/>
      <c r="EG300" s="368"/>
      <c r="EH300" s="368"/>
      <c r="EI300" s="368"/>
      <c r="EJ300" s="368"/>
      <c r="EK300" s="368"/>
      <c r="EL300" s="368"/>
      <c r="EM300" s="368"/>
      <c r="EN300" s="368"/>
      <c r="EO300" s="368"/>
      <c r="EP300" s="368"/>
      <c r="EQ300" s="368"/>
      <c r="ER300" s="368"/>
      <c r="ES300" s="368"/>
      <c r="ET300" s="368"/>
      <c r="EU300" s="368"/>
      <c r="EV300" s="368"/>
      <c r="EW300" s="368"/>
      <c r="EX300" s="368"/>
      <c r="EY300" s="368"/>
      <c r="EZ300" s="368"/>
      <c r="FA300" s="368"/>
      <c r="FB300" s="368"/>
      <c r="FC300" s="368"/>
      <c r="FD300" s="368"/>
      <c r="FE300" s="368"/>
      <c r="FF300" s="368"/>
      <c r="FG300" s="368"/>
      <c r="FH300" s="368"/>
      <c r="FI300" s="368"/>
      <c r="FJ300" s="368"/>
      <c r="FK300" s="368"/>
      <c r="FL300" s="368"/>
      <c r="FM300" s="368"/>
      <c r="FN300" s="368"/>
      <c r="FO300" s="368"/>
      <c r="FP300" s="368"/>
      <c r="FQ300" s="368"/>
      <c r="FR300" s="368"/>
      <c r="FS300" s="368"/>
      <c r="FT300" s="368"/>
      <c r="FU300" s="368"/>
      <c r="FV300" s="368"/>
      <c r="FW300" s="368"/>
      <c r="FX300" s="368"/>
      <c r="FY300" s="368"/>
      <c r="FZ300" s="368"/>
      <c r="GA300" s="368"/>
      <c r="GB300" s="368"/>
      <c r="GC300" s="368"/>
      <c r="GD300" s="368"/>
      <c r="GE300" s="368"/>
      <c r="GF300" s="368"/>
      <c r="GG300" s="368"/>
      <c r="GH300" s="368"/>
      <c r="GI300" s="368"/>
      <c r="GJ300" s="368"/>
      <c r="GK300" s="368"/>
      <c r="GL300" s="368"/>
      <c r="GM300" s="368"/>
      <c r="GN300" s="368"/>
      <c r="GO300" s="368"/>
      <c r="GP300" s="368"/>
      <c r="GQ300" s="368"/>
      <c r="GR300" s="368"/>
      <c r="GS300" s="368"/>
      <c r="GT300" s="368"/>
      <c r="GU300" s="368"/>
      <c r="GV300" s="368"/>
      <c r="GW300" s="368"/>
      <c r="GX300" s="368"/>
      <c r="GY300" s="368"/>
      <c r="GZ300" s="368"/>
      <c r="HA300" s="368"/>
      <c r="HB300" s="368"/>
      <c r="HC300" s="368"/>
      <c r="HD300" s="368"/>
      <c r="HE300" s="368"/>
      <c r="HF300" s="368"/>
      <c r="HG300" s="368"/>
      <c r="HH300" s="368"/>
      <c r="HI300" s="368"/>
      <c r="HJ300" s="368"/>
      <c r="HK300" s="368"/>
      <c r="HL300" s="368"/>
      <c r="HM300" s="368"/>
      <c r="HN300" s="368"/>
      <c r="HO300" s="368"/>
      <c r="HP300" s="368"/>
      <c r="HQ300" s="368"/>
      <c r="HR300" s="368"/>
      <c r="HS300" s="368"/>
      <c r="HT300" s="368"/>
      <c r="HU300" s="368"/>
      <c r="HV300" s="368"/>
      <c r="HW300" s="368"/>
      <c r="HX300" s="368"/>
      <c r="HY300" s="368"/>
      <c r="HZ300" s="368"/>
      <c r="IA300" s="368"/>
      <c r="IB300" s="368"/>
      <c r="IC300" s="368"/>
      <c r="ID300" s="368"/>
      <c r="IE300" s="368"/>
      <c r="IF300" s="368"/>
      <c r="IG300" s="368"/>
      <c r="IH300" s="368"/>
      <c r="II300" s="368"/>
      <c r="IJ300" s="368"/>
      <c r="IK300" s="368"/>
      <c r="IL300" s="368"/>
      <c r="IM300" s="368"/>
      <c r="IN300" s="368"/>
      <c r="IO300" s="368"/>
      <c r="IP300" s="368"/>
      <c r="IQ300" s="368"/>
      <c r="IR300" s="368"/>
      <c r="IS300" s="368"/>
      <c r="IT300" s="368"/>
    </row>
    <row r="301" spans="1:254">
      <c r="A301" s="328"/>
      <c r="B301" s="380" t="s">
        <v>13</v>
      </c>
      <c r="C301" s="335">
        <v>40</v>
      </c>
      <c r="D301" s="16">
        <v>3.04</v>
      </c>
      <c r="E301" s="17">
        <v>0.36</v>
      </c>
      <c r="F301" s="17">
        <v>19.88</v>
      </c>
      <c r="G301" s="18">
        <v>90.4</v>
      </c>
    </row>
    <row r="302" spans="1:254">
      <c r="A302" s="328"/>
      <c r="B302" s="377" t="s">
        <v>24</v>
      </c>
      <c r="C302" s="335">
        <v>30</v>
      </c>
      <c r="D302" s="16">
        <f>1.44/40*30</f>
        <v>1.0799999999999998</v>
      </c>
      <c r="E302" s="17">
        <f>0.36/40*30</f>
        <v>0.26999999999999996</v>
      </c>
      <c r="F302" s="17">
        <f>12.48/40*30</f>
        <v>9.36</v>
      </c>
      <c r="G302" s="18">
        <f>59.4/30*40</f>
        <v>79.2</v>
      </c>
    </row>
    <row r="303" spans="1:254" ht="19.5" thickBot="1">
      <c r="A303" s="330">
        <v>389</v>
      </c>
      <c r="B303" s="399" t="s">
        <v>25</v>
      </c>
      <c r="C303" s="359">
        <v>180</v>
      </c>
      <c r="D303" s="371">
        <v>1</v>
      </c>
      <c r="E303" s="338">
        <v>0.2</v>
      </c>
      <c r="F303" s="338">
        <v>20.2</v>
      </c>
      <c r="G303" s="339">
        <v>92</v>
      </c>
    </row>
    <row r="304" spans="1:254" ht="17.100000000000001" customHeight="1" thickBot="1">
      <c r="A304" s="97"/>
      <c r="B304" s="147" t="s">
        <v>26</v>
      </c>
      <c r="C304" s="98">
        <f>SUM(C296:C303)</f>
        <v>850</v>
      </c>
      <c r="D304" s="122">
        <f>SUM(D296:D303)</f>
        <v>19.780999999999999</v>
      </c>
      <c r="E304" s="123">
        <f>SUM(E296:E303)</f>
        <v>20.6675</v>
      </c>
      <c r="F304" s="123">
        <f>SUM(F296:F303)</f>
        <v>102.51475000000001</v>
      </c>
      <c r="G304" s="124">
        <f>SUM(G296:G303)</f>
        <v>724.25</v>
      </c>
    </row>
    <row r="305" spans="1:10" ht="18.600000000000001" customHeight="1" thickBot="1">
      <c r="A305" s="58"/>
      <c r="B305" s="28" t="s">
        <v>27</v>
      </c>
      <c r="C305" s="206">
        <f>C294+C304</f>
        <v>1380</v>
      </c>
      <c r="D305" s="149">
        <f>D294+D304</f>
        <v>38.370999999999995</v>
      </c>
      <c r="E305" s="61">
        <f>E294+E304</f>
        <v>37.767499999999998</v>
      </c>
      <c r="F305" s="61">
        <f>F294+F304</f>
        <v>164.00475</v>
      </c>
      <c r="G305" s="62">
        <f>G294+G304</f>
        <v>1254.6500000000001</v>
      </c>
    </row>
    <row r="306" spans="1:10" ht="17.850000000000001" customHeight="1" thickBot="1">
      <c r="A306" s="450" t="s">
        <v>102</v>
      </c>
      <c r="B306" s="450"/>
      <c r="C306" s="450"/>
      <c r="D306" s="450"/>
      <c r="E306" s="450"/>
      <c r="F306" s="450"/>
      <c r="G306" s="450"/>
      <c r="H306" s="207"/>
      <c r="I306" s="207"/>
      <c r="J306" s="207"/>
    </row>
    <row r="307" spans="1:10" s="207" customFormat="1" ht="16.350000000000001" customHeight="1" thickBot="1">
      <c r="A307" s="58"/>
      <c r="B307" s="449" t="s">
        <v>11</v>
      </c>
      <c r="C307" s="451"/>
      <c r="D307" s="449"/>
      <c r="E307" s="449"/>
      <c r="F307" s="449"/>
      <c r="G307" s="449"/>
      <c r="H307" s="3"/>
      <c r="I307" s="3"/>
      <c r="J307" s="3"/>
    </row>
    <row r="308" spans="1:10">
      <c r="A308" s="34">
        <v>23</v>
      </c>
      <c r="B308" s="216" t="s">
        <v>68</v>
      </c>
      <c r="C308" s="361">
        <v>60</v>
      </c>
      <c r="D308" s="217">
        <f>10.78/1000*60</f>
        <v>0.64679999999999993</v>
      </c>
      <c r="E308" s="218">
        <v>3.65</v>
      </c>
      <c r="F308" s="218">
        <v>2.06</v>
      </c>
      <c r="G308" s="219">
        <v>43.68</v>
      </c>
    </row>
    <row r="309" spans="1:10" ht="16.5" customHeight="1">
      <c r="A309" s="99">
        <v>210</v>
      </c>
      <c r="B309" s="226" t="s">
        <v>73</v>
      </c>
      <c r="C309" s="362">
        <v>150</v>
      </c>
      <c r="D309" s="16">
        <f>5.39/58*150</f>
        <v>13.939655172413794</v>
      </c>
      <c r="E309" s="17">
        <f>9.6/58*150</f>
        <v>24.827586206896552</v>
      </c>
      <c r="F309" s="17">
        <f>1.02/58*150</f>
        <v>2.6379310344827589</v>
      </c>
      <c r="G309" s="18">
        <f>112/58*150</f>
        <v>289.65517241379314</v>
      </c>
    </row>
    <row r="310" spans="1:10" ht="16.5" customHeight="1">
      <c r="A310" s="159"/>
      <c r="B310" s="14" t="s">
        <v>13</v>
      </c>
      <c r="C310" s="335">
        <v>40</v>
      </c>
      <c r="D310" s="16">
        <v>3.04</v>
      </c>
      <c r="E310" s="17">
        <v>0.36</v>
      </c>
      <c r="F310" s="17">
        <v>19.88</v>
      </c>
      <c r="G310" s="18">
        <v>90.4</v>
      </c>
    </row>
    <row r="311" spans="1:10" ht="16.5" customHeight="1">
      <c r="A311" s="72">
        <v>392</v>
      </c>
      <c r="B311" s="131" t="s">
        <v>48</v>
      </c>
      <c r="C311" s="363">
        <v>180</v>
      </c>
      <c r="D311" s="231">
        <v>0.2</v>
      </c>
      <c r="E311" s="232">
        <v>0.02</v>
      </c>
      <c r="F311" s="232">
        <v>16</v>
      </c>
      <c r="G311" s="233">
        <v>65</v>
      </c>
    </row>
    <row r="312" spans="1:10" ht="18.75" customHeight="1" thickBot="1">
      <c r="A312" s="130">
        <v>338</v>
      </c>
      <c r="B312" s="131" t="s">
        <v>32</v>
      </c>
      <c r="C312" s="312">
        <v>150</v>
      </c>
      <c r="D312" s="364">
        <f>1.1/100*150</f>
        <v>1.6500000000000001</v>
      </c>
      <c r="E312" s="365">
        <f>0.4/100*150</f>
        <v>0.6</v>
      </c>
      <c r="F312" s="365">
        <f>1.06/100*150</f>
        <v>1.59</v>
      </c>
      <c r="G312" s="366">
        <f>52/100*150</f>
        <v>78</v>
      </c>
    </row>
    <row r="313" spans="1:10" ht="16.5" customHeight="1" thickBot="1">
      <c r="A313" s="58"/>
      <c r="B313" s="213" t="s">
        <v>17</v>
      </c>
      <c r="C313" s="277">
        <f>C308+C309+C310+C311+C312</f>
        <v>580</v>
      </c>
      <c r="D313" s="60">
        <f>SUM(D308:D312)</f>
        <v>19.476455172413793</v>
      </c>
      <c r="E313" s="61">
        <f>SUM(E308:E312)</f>
        <v>29.457586206896551</v>
      </c>
      <c r="F313" s="61">
        <f>SUM(F308:F312)</f>
        <v>42.167931034482763</v>
      </c>
      <c r="G313" s="62">
        <f>SUM(G308:G312)</f>
        <v>566.73517241379318</v>
      </c>
    </row>
    <row r="314" spans="1:10" ht="16.350000000000001" customHeight="1" thickBot="1">
      <c r="A314" s="6"/>
      <c r="B314" s="451" t="s">
        <v>18</v>
      </c>
      <c r="C314" s="451"/>
      <c r="D314" s="451"/>
      <c r="E314" s="451"/>
      <c r="F314" s="451"/>
      <c r="G314" s="451"/>
    </row>
    <row r="315" spans="1:10" ht="18.75" customHeight="1">
      <c r="A315" s="278">
        <v>101</v>
      </c>
      <c r="B315" s="279" t="s">
        <v>103</v>
      </c>
      <c r="C315" s="111">
        <v>250</v>
      </c>
      <c r="D315" s="280">
        <v>2.68</v>
      </c>
      <c r="E315" s="281">
        <v>2.83</v>
      </c>
      <c r="F315" s="281">
        <v>17.45</v>
      </c>
      <c r="G315" s="282">
        <v>118.25</v>
      </c>
    </row>
    <row r="316" spans="1:10" ht="17.850000000000001" customHeight="1">
      <c r="A316" s="72">
        <v>143</v>
      </c>
      <c r="B316" s="267" t="s">
        <v>95</v>
      </c>
      <c r="C316" s="88">
        <v>150</v>
      </c>
      <c r="D316" s="22">
        <v>2.5299999999999998</v>
      </c>
      <c r="E316" s="23">
        <v>16.22</v>
      </c>
      <c r="F316" s="23">
        <v>12.69</v>
      </c>
      <c r="G316" s="24">
        <v>209.61</v>
      </c>
    </row>
    <row r="317" spans="1:10" ht="17.850000000000001" customHeight="1">
      <c r="A317" s="72">
        <v>288</v>
      </c>
      <c r="B317" s="283" t="s">
        <v>104</v>
      </c>
      <c r="C317" s="21" t="s">
        <v>105</v>
      </c>
      <c r="D317" s="22">
        <v>5.55</v>
      </c>
      <c r="E317" s="23">
        <v>16</v>
      </c>
      <c r="F317" s="23">
        <v>0.37</v>
      </c>
      <c r="G317" s="24">
        <v>164</v>
      </c>
    </row>
    <row r="318" spans="1:10" ht="16.350000000000001" customHeight="1">
      <c r="A318" s="72"/>
      <c r="B318" s="284" t="s">
        <v>13</v>
      </c>
      <c r="C318" s="15">
        <v>40</v>
      </c>
      <c r="D318" s="16">
        <v>3.04</v>
      </c>
      <c r="E318" s="17">
        <v>0.36</v>
      </c>
      <c r="F318" s="17">
        <v>19.88</v>
      </c>
      <c r="G318" s="18">
        <v>90.4</v>
      </c>
    </row>
    <row r="319" spans="1:10" ht="16.350000000000001" customHeight="1">
      <c r="A319" s="241"/>
      <c r="B319" s="285" t="s">
        <v>24</v>
      </c>
      <c r="C319" s="15">
        <v>30</v>
      </c>
      <c r="D319" s="16">
        <f>1.44/40*30</f>
        <v>1.0799999999999998</v>
      </c>
      <c r="E319" s="17">
        <f>0.36/40*30</f>
        <v>0.26999999999999996</v>
      </c>
      <c r="F319" s="17">
        <f>12.48/40*30</f>
        <v>9.36</v>
      </c>
      <c r="G319" s="18">
        <f>59.4/30*40</f>
        <v>79.2</v>
      </c>
    </row>
    <row r="320" spans="1:10" ht="19.350000000000001" customHeight="1" thickBot="1">
      <c r="A320" s="156">
        <v>389</v>
      </c>
      <c r="B320" s="286" t="s">
        <v>25</v>
      </c>
      <c r="C320" s="54">
        <v>180</v>
      </c>
      <c r="D320" s="55">
        <v>0.66</v>
      </c>
      <c r="E320" s="56">
        <v>0.09</v>
      </c>
      <c r="F320" s="56">
        <v>32.01</v>
      </c>
      <c r="G320" s="57">
        <v>132.80000000000001</v>
      </c>
    </row>
    <row r="321" spans="1:7" ht="15.75" customHeight="1" thickBot="1">
      <c r="A321" s="243"/>
      <c r="B321" s="244" t="s">
        <v>26</v>
      </c>
      <c r="C321" s="287">
        <f>C315+C316+C317+C318+C319+C320</f>
        <v>740</v>
      </c>
      <c r="D321" s="136">
        <f>SUM(D315:D320)</f>
        <v>15.540000000000001</v>
      </c>
      <c r="E321" s="137">
        <f>SUM(E315:E320)</f>
        <v>35.770000000000003</v>
      </c>
      <c r="F321" s="137">
        <f>SUM(F315:F320)</f>
        <v>91.759999999999991</v>
      </c>
      <c r="G321" s="138">
        <f>SUM(G315:G320)</f>
        <v>794.26</v>
      </c>
    </row>
    <row r="322" spans="1:7" ht="16.5" customHeight="1" thickBot="1">
      <c r="A322" s="97"/>
      <c r="B322" s="213" t="s">
        <v>27</v>
      </c>
      <c r="C322" s="63">
        <f>C313+C321</f>
        <v>1320</v>
      </c>
      <c r="D322" s="163">
        <f>D313+D321</f>
        <v>35.016455172413792</v>
      </c>
      <c r="E322" s="137">
        <f>E313+E321</f>
        <v>65.227586206896547</v>
      </c>
      <c r="F322" s="137">
        <f>F313+F321</f>
        <v>133.92793103448275</v>
      </c>
      <c r="G322" s="138">
        <f>G313+G321</f>
        <v>1360.9951724137932</v>
      </c>
    </row>
    <row r="323" spans="1:7" ht="18" customHeight="1" thickBot="1">
      <c r="A323" s="452" t="s">
        <v>106</v>
      </c>
      <c r="B323" s="452"/>
      <c r="C323" s="452"/>
      <c r="D323" s="452"/>
      <c r="E323" s="452"/>
      <c r="F323" s="452"/>
      <c r="G323" s="452"/>
    </row>
    <row r="324" spans="1:7" ht="19.5" customHeight="1" thickBot="1">
      <c r="A324" s="246"/>
      <c r="B324" s="453" t="s">
        <v>11</v>
      </c>
      <c r="C324" s="453"/>
      <c r="D324" s="453"/>
      <c r="E324" s="453"/>
      <c r="F324" s="453"/>
      <c r="G324" s="453"/>
    </row>
    <row r="325" spans="1:7" ht="17.25" customHeight="1" thickBot="1">
      <c r="A325" s="58"/>
      <c r="B325" s="444" t="s">
        <v>11</v>
      </c>
      <c r="C325" s="444"/>
      <c r="D325" s="444"/>
      <c r="E325" s="444"/>
      <c r="F325" s="444"/>
      <c r="G325" s="444"/>
    </row>
    <row r="326" spans="1:7" ht="19.350000000000001" customHeight="1">
      <c r="A326" s="99">
        <v>182</v>
      </c>
      <c r="B326" s="100" t="s">
        <v>38</v>
      </c>
      <c r="C326" s="81">
        <v>250</v>
      </c>
      <c r="D326" s="10">
        <v>7.33</v>
      </c>
      <c r="E326" s="11">
        <v>11.44</v>
      </c>
      <c r="F326" s="11">
        <v>36.159999999999997</v>
      </c>
      <c r="G326" s="12">
        <v>278.20999999999998</v>
      </c>
    </row>
    <row r="327" spans="1:7" ht="17.100000000000001" customHeight="1">
      <c r="A327" s="101">
        <v>382</v>
      </c>
      <c r="B327" s="102" t="s">
        <v>39</v>
      </c>
      <c r="C327" s="103">
        <v>180</v>
      </c>
      <c r="D327" s="104">
        <v>4.07</v>
      </c>
      <c r="E327" s="105">
        <v>3.54</v>
      </c>
      <c r="F327" s="105">
        <v>17.57</v>
      </c>
      <c r="G327" s="106">
        <v>118.6</v>
      </c>
    </row>
    <row r="328" spans="1:7" ht="17.100000000000001" customHeight="1">
      <c r="A328" s="19">
        <v>3</v>
      </c>
      <c r="B328" s="20" t="s">
        <v>14</v>
      </c>
      <c r="C328" s="288" t="s">
        <v>15</v>
      </c>
      <c r="D328" s="22">
        <v>6.3</v>
      </c>
      <c r="E328" s="23">
        <v>9.17</v>
      </c>
      <c r="F328" s="23">
        <v>19.399999999999999</v>
      </c>
      <c r="G328" s="24">
        <v>185.33</v>
      </c>
    </row>
    <row r="329" spans="1:7" ht="18.600000000000001" customHeight="1" thickBot="1">
      <c r="A329" s="73"/>
      <c r="B329" s="102" t="s">
        <v>13</v>
      </c>
      <c r="C329" s="107">
        <v>40</v>
      </c>
      <c r="D329" s="16">
        <v>3.04</v>
      </c>
      <c r="E329" s="17">
        <v>0.36</v>
      </c>
      <c r="F329" s="17">
        <v>19.88</v>
      </c>
      <c r="G329" s="18">
        <v>90.4</v>
      </c>
    </row>
    <row r="330" spans="1:7" ht="17.100000000000001" customHeight="1" thickBot="1">
      <c r="A330" s="58"/>
      <c r="B330" s="28" t="s">
        <v>17</v>
      </c>
      <c r="C330" s="108">
        <f>C326+C327+50+C329</f>
        <v>520</v>
      </c>
      <c r="D330" s="60">
        <f>SUM(D340:D342)</f>
        <v>12.03</v>
      </c>
      <c r="E330" s="61">
        <f>SUM(E340:E342)</f>
        <v>12.23</v>
      </c>
      <c r="F330" s="61">
        <f>SUM(F340:F342)</f>
        <v>68.73</v>
      </c>
      <c r="G330" s="62">
        <f>SUM(G340:G342)</f>
        <v>433</v>
      </c>
    </row>
    <row r="331" spans="1:7" ht="19.5" customHeight="1" thickBot="1">
      <c r="A331" s="97"/>
      <c r="B331" s="445" t="s">
        <v>18</v>
      </c>
      <c r="C331" s="445"/>
      <c r="D331" s="445"/>
      <c r="E331" s="445"/>
      <c r="F331" s="445"/>
      <c r="G331" s="445"/>
    </row>
    <row r="332" spans="1:7" ht="16.5" customHeight="1">
      <c r="A332" s="80">
        <v>71</v>
      </c>
      <c r="B332" s="289" t="s">
        <v>49</v>
      </c>
      <c r="C332" s="36">
        <v>60</v>
      </c>
      <c r="D332" s="220">
        <v>0.7</v>
      </c>
      <c r="E332" s="221">
        <v>0.05</v>
      </c>
      <c r="F332" s="221">
        <v>1.9</v>
      </c>
      <c r="G332" s="222">
        <v>12</v>
      </c>
    </row>
    <row r="333" spans="1:7" ht="17.850000000000001" customHeight="1">
      <c r="A333" s="72">
        <v>78</v>
      </c>
      <c r="B333" s="141" t="s">
        <v>50</v>
      </c>
      <c r="C333" s="88">
        <v>250</v>
      </c>
      <c r="D333" s="142">
        <f>6.62/1000*250</f>
        <v>1.655</v>
      </c>
      <c r="E333" s="367">
        <f>22.37/1000*250</f>
        <v>5.5925000000000002</v>
      </c>
      <c r="F333" s="367">
        <f>36.57/1000*250</f>
        <v>9.1425000000000001</v>
      </c>
      <c r="G333" s="144">
        <f>374/1000*250</f>
        <v>93.5</v>
      </c>
    </row>
    <row r="334" spans="1:7" ht="15" customHeight="1">
      <c r="A334" s="72">
        <v>259</v>
      </c>
      <c r="B334" s="290" t="s">
        <v>51</v>
      </c>
      <c r="C334" s="88" t="s">
        <v>107</v>
      </c>
      <c r="D334" s="22">
        <v>21.3</v>
      </c>
      <c r="E334" s="23">
        <v>22.8</v>
      </c>
      <c r="F334" s="23">
        <v>21.8</v>
      </c>
      <c r="G334" s="24">
        <v>387.7</v>
      </c>
    </row>
    <row r="335" spans="1:7" ht="16.5" customHeight="1">
      <c r="A335" s="19"/>
      <c r="B335" s="51" t="s">
        <v>13</v>
      </c>
      <c r="C335" s="15">
        <v>40</v>
      </c>
      <c r="D335" s="16">
        <v>3.04</v>
      </c>
      <c r="E335" s="17">
        <v>0.36</v>
      </c>
      <c r="F335" s="17">
        <v>19.88</v>
      </c>
      <c r="G335" s="306">
        <v>90.4</v>
      </c>
    </row>
    <row r="336" spans="1:7" ht="15" customHeight="1">
      <c r="A336" s="19"/>
      <c r="B336" s="45" t="s">
        <v>24</v>
      </c>
      <c r="C336" s="15">
        <v>30</v>
      </c>
      <c r="D336" s="16">
        <f>1.44/40*30</f>
        <v>1.0799999999999998</v>
      </c>
      <c r="E336" s="17">
        <f>0.36/40*30</f>
        <v>0.26999999999999996</v>
      </c>
      <c r="F336" s="17">
        <f>12.48/40*30</f>
        <v>9.36</v>
      </c>
      <c r="G336" s="306">
        <f>59.4/30*40</f>
        <v>79.2</v>
      </c>
    </row>
    <row r="337" spans="1:254" ht="19.5" thickBot="1">
      <c r="A337" s="101">
        <v>342</v>
      </c>
      <c r="B337" s="102" t="s">
        <v>43</v>
      </c>
      <c r="C337" s="359">
        <v>180</v>
      </c>
      <c r="D337" s="104">
        <f>1.6/1000*180</f>
        <v>0.28800000000000003</v>
      </c>
      <c r="E337" s="105">
        <f>0.4/1000*180</f>
        <v>7.2000000000000008E-2</v>
      </c>
      <c r="F337" s="105">
        <f>141/1000*180</f>
        <v>25.38</v>
      </c>
      <c r="G337" s="106">
        <f>583/1000*180</f>
        <v>104.94</v>
      </c>
    </row>
    <row r="338" spans="1:254" ht="20.100000000000001" customHeight="1" thickBot="1">
      <c r="A338" s="6"/>
      <c r="B338" s="120" t="s">
        <v>26</v>
      </c>
      <c r="C338" s="121">
        <f>C332+C333+C335+C336+C337+230</f>
        <v>790</v>
      </c>
      <c r="D338" s="122">
        <f>SUM(D332:D337)</f>
        <v>28.062999999999999</v>
      </c>
      <c r="E338" s="123">
        <f>SUM(E332:E337)</f>
        <v>29.144500000000001</v>
      </c>
      <c r="F338" s="123">
        <f>SUM(F332:F337)</f>
        <v>87.462499999999991</v>
      </c>
      <c r="G338" s="124">
        <f>SUM(G332:G337)</f>
        <v>767.74</v>
      </c>
    </row>
    <row r="339" spans="1:254" ht="18.600000000000001" customHeight="1" thickBot="1">
      <c r="A339" s="58"/>
      <c r="B339" s="28" t="s">
        <v>27</v>
      </c>
      <c r="C339" s="125">
        <f>C330+C338</f>
        <v>1310</v>
      </c>
      <c r="D339" s="60">
        <f>D330+D338</f>
        <v>40.092999999999996</v>
      </c>
      <c r="E339" s="61">
        <f>E330+E338</f>
        <v>41.374499999999998</v>
      </c>
      <c r="F339" s="61">
        <f>F330+F338</f>
        <v>156.1925</v>
      </c>
      <c r="G339" s="62">
        <f>G330+G338</f>
        <v>1200.74</v>
      </c>
    </row>
    <row r="340" spans="1:254" ht="19.350000000000001" customHeight="1" thickBot="1">
      <c r="A340" s="440" t="s">
        <v>108</v>
      </c>
      <c r="B340" s="440"/>
      <c r="C340" s="440"/>
      <c r="D340" s="440"/>
      <c r="E340" s="440"/>
      <c r="F340" s="440"/>
      <c r="G340" s="440"/>
    </row>
    <row r="341" spans="1:254" ht="19.5" customHeight="1" thickBot="1">
      <c r="A341" s="246"/>
      <c r="B341" s="453" t="s">
        <v>11</v>
      </c>
      <c r="C341" s="453"/>
      <c r="D341" s="453"/>
      <c r="E341" s="453"/>
      <c r="F341" s="453"/>
      <c r="G341" s="453"/>
    </row>
    <row r="342" spans="1:254" ht="17.25" customHeight="1">
      <c r="A342" s="65">
        <v>403</v>
      </c>
      <c r="B342" s="247" t="s">
        <v>81</v>
      </c>
      <c r="C342" s="248" t="s">
        <v>30</v>
      </c>
      <c r="D342" s="223">
        <v>12.03</v>
      </c>
      <c r="E342" s="224">
        <v>12.23</v>
      </c>
      <c r="F342" s="224">
        <v>68.73</v>
      </c>
      <c r="G342" s="225">
        <v>433</v>
      </c>
    </row>
    <row r="343" spans="1:254" ht="15.75" customHeight="1">
      <c r="A343" s="228">
        <v>377</v>
      </c>
      <c r="B343" s="229" t="s">
        <v>74</v>
      </c>
      <c r="C343" s="230" t="s">
        <v>109</v>
      </c>
      <c r="D343" s="231">
        <v>0.2</v>
      </c>
      <c r="E343" s="232">
        <v>0.02</v>
      </c>
      <c r="F343" s="232">
        <v>16</v>
      </c>
      <c r="G343" s="233">
        <v>65</v>
      </c>
    </row>
    <row r="344" spans="1:254" ht="15.75" hidden="1" customHeight="1">
      <c r="A344" s="19"/>
      <c r="B344" s="25"/>
      <c r="C344" s="88"/>
      <c r="D344" s="291"/>
      <c r="E344" s="292"/>
      <c r="F344" s="292"/>
      <c r="G344" s="293"/>
    </row>
    <row r="345" spans="1:254" ht="15.75" customHeight="1" thickBot="1">
      <c r="A345" s="249">
        <v>338</v>
      </c>
      <c r="B345" s="250" t="s">
        <v>32</v>
      </c>
      <c r="C345" s="294" t="s">
        <v>75</v>
      </c>
      <c r="D345" s="364">
        <f>1.1/100*200</f>
        <v>2.2000000000000002</v>
      </c>
      <c r="E345" s="365">
        <f>0.4/100*200</f>
        <v>0.8</v>
      </c>
      <c r="F345" s="365">
        <f>1.06/100*200</f>
        <v>2.12</v>
      </c>
      <c r="G345" s="366">
        <f>52/100*200</f>
        <v>104</v>
      </c>
    </row>
    <row r="346" spans="1:254" ht="19.5" hidden="1" thickBot="1">
      <c r="A346" s="73"/>
      <c r="B346" s="74"/>
      <c r="C346" s="258"/>
      <c r="D346" s="76"/>
      <c r="E346" s="77"/>
      <c r="F346" s="77"/>
      <c r="G346" s="78"/>
    </row>
    <row r="347" spans="1:254" ht="15" customHeight="1" thickBot="1">
      <c r="A347" s="58"/>
      <c r="B347" s="28" t="s">
        <v>17</v>
      </c>
      <c r="C347" s="63">
        <f>170+180+200</f>
        <v>550</v>
      </c>
      <c r="D347" s="60">
        <f>SUM(D342:D346)</f>
        <v>14.43</v>
      </c>
      <c r="E347" s="61">
        <f>SUM(E342:E346)</f>
        <v>13.05</v>
      </c>
      <c r="F347" s="61">
        <f>SUM(F342:F346)</f>
        <v>86.850000000000009</v>
      </c>
      <c r="G347" s="62">
        <f>SUM(G342:G346)</f>
        <v>602</v>
      </c>
    </row>
    <row r="348" spans="1:254" ht="19.5" customHeight="1" thickBot="1">
      <c r="A348" s="6"/>
      <c r="B348" s="441" t="s">
        <v>18</v>
      </c>
      <c r="C348" s="441"/>
      <c r="D348" s="441"/>
      <c r="E348" s="441"/>
      <c r="F348" s="441"/>
      <c r="G348" s="441"/>
    </row>
    <row r="349" spans="1:254" ht="15.75" customHeight="1">
      <c r="A349" s="34">
        <v>24</v>
      </c>
      <c r="B349" s="35" t="s">
        <v>82</v>
      </c>
      <c r="C349" s="361">
        <v>60</v>
      </c>
      <c r="D349" s="10">
        <f>9.64/1000*60</f>
        <v>0.57840000000000003</v>
      </c>
      <c r="E349" s="11">
        <f>60.76/1000*60</f>
        <v>3.6455999999999995</v>
      </c>
      <c r="F349" s="11">
        <f>36.46/1000*60</f>
        <v>2.1875999999999998</v>
      </c>
      <c r="G349" s="12">
        <f>707/1000*60</f>
        <v>42.419999999999995</v>
      </c>
    </row>
    <row r="350" spans="1:254" ht="15" customHeight="1">
      <c r="A350" s="295">
        <v>82</v>
      </c>
      <c r="B350" s="45" t="s">
        <v>69</v>
      </c>
      <c r="C350" s="358">
        <v>250</v>
      </c>
      <c r="D350" s="47">
        <v>1.81</v>
      </c>
      <c r="E350" s="48">
        <v>4.92</v>
      </c>
      <c r="F350" s="48">
        <v>10.94</v>
      </c>
      <c r="G350" s="49">
        <v>103.75</v>
      </c>
    </row>
    <row r="351" spans="1:254" ht="16.5" customHeight="1">
      <c r="A351" s="296">
        <v>235</v>
      </c>
      <c r="B351" s="45" t="s">
        <v>99</v>
      </c>
      <c r="C351" s="358">
        <v>90</v>
      </c>
      <c r="D351" s="47">
        <f>7.3/80*90</f>
        <v>8.2125000000000004</v>
      </c>
      <c r="E351" s="48">
        <f>5.54/80*90</f>
        <v>6.2325000000000008</v>
      </c>
      <c r="F351" s="48">
        <f>6.19/80*90</f>
        <v>6.9637500000000001</v>
      </c>
      <c r="G351" s="49">
        <f>104/80*90</f>
        <v>117</v>
      </c>
    </row>
    <row r="352" spans="1:254" s="369" customFormat="1" ht="17.25" customHeight="1">
      <c r="A352" s="275">
        <v>349</v>
      </c>
      <c r="B352" s="201" t="s">
        <v>71</v>
      </c>
      <c r="C352" s="370">
        <v>50</v>
      </c>
      <c r="D352" s="183">
        <f>14.58/1000*50</f>
        <v>0.72899999999999998</v>
      </c>
      <c r="E352" s="184">
        <f>70.82/1000*50</f>
        <v>3.5409999999999995</v>
      </c>
      <c r="F352" s="184">
        <f>125.89/1000*50</f>
        <v>6.2945000000000002</v>
      </c>
      <c r="G352" s="185">
        <f>1199/1000*50</f>
        <v>59.95</v>
      </c>
      <c r="H352" s="368"/>
      <c r="I352" s="368"/>
      <c r="J352" s="368"/>
      <c r="K352" s="368"/>
      <c r="L352" s="368"/>
      <c r="M352" s="368"/>
      <c r="N352" s="368"/>
      <c r="O352" s="368"/>
      <c r="P352" s="368"/>
      <c r="Q352" s="368"/>
      <c r="R352" s="368"/>
      <c r="S352" s="368"/>
      <c r="T352" s="368"/>
      <c r="U352" s="368"/>
      <c r="V352" s="368"/>
      <c r="W352" s="368"/>
      <c r="X352" s="368"/>
      <c r="Y352" s="368"/>
      <c r="Z352" s="368"/>
      <c r="AA352" s="368"/>
      <c r="AB352" s="368"/>
      <c r="AC352" s="368"/>
      <c r="AD352" s="368"/>
      <c r="AE352" s="368"/>
      <c r="AF352" s="368"/>
      <c r="AG352" s="368"/>
      <c r="AH352" s="368"/>
      <c r="AI352" s="368"/>
      <c r="AJ352" s="368"/>
      <c r="AK352" s="368"/>
      <c r="AL352" s="368"/>
      <c r="AM352" s="368"/>
      <c r="AN352" s="368"/>
      <c r="AO352" s="368"/>
      <c r="AP352" s="368"/>
      <c r="AQ352" s="368"/>
      <c r="AR352" s="368"/>
      <c r="AS352" s="368"/>
      <c r="AT352" s="368"/>
      <c r="AU352" s="368"/>
      <c r="AV352" s="368"/>
      <c r="AW352" s="368"/>
      <c r="AX352" s="368"/>
      <c r="AY352" s="368"/>
      <c r="AZ352" s="368"/>
      <c r="BA352" s="368"/>
      <c r="BB352" s="368"/>
      <c r="BC352" s="368"/>
      <c r="BD352" s="368"/>
      <c r="BE352" s="368"/>
      <c r="BF352" s="368"/>
      <c r="BG352" s="368"/>
      <c r="BH352" s="368"/>
      <c r="BI352" s="368"/>
      <c r="BJ352" s="368"/>
      <c r="BK352" s="368"/>
      <c r="BL352" s="368"/>
      <c r="BM352" s="368"/>
      <c r="BN352" s="368"/>
      <c r="BO352" s="368"/>
      <c r="BP352" s="368"/>
      <c r="BQ352" s="368"/>
      <c r="BR352" s="368"/>
      <c r="BS352" s="368"/>
      <c r="BT352" s="368"/>
      <c r="BU352" s="368"/>
      <c r="BV352" s="368"/>
      <c r="BW352" s="368"/>
      <c r="BX352" s="368"/>
      <c r="BY352" s="368"/>
      <c r="BZ352" s="368"/>
      <c r="CA352" s="368"/>
      <c r="CB352" s="368"/>
      <c r="CC352" s="368"/>
      <c r="CD352" s="368"/>
      <c r="CE352" s="368"/>
      <c r="CF352" s="368"/>
      <c r="CG352" s="368"/>
      <c r="CH352" s="368"/>
      <c r="CI352" s="368"/>
      <c r="CJ352" s="368"/>
      <c r="CK352" s="368"/>
      <c r="CL352" s="368"/>
      <c r="CM352" s="368"/>
      <c r="CN352" s="368"/>
      <c r="CO352" s="368"/>
      <c r="CP352" s="368"/>
      <c r="CQ352" s="368"/>
      <c r="CR352" s="368"/>
      <c r="CS352" s="368"/>
      <c r="CT352" s="368"/>
      <c r="CU352" s="368"/>
      <c r="CV352" s="368"/>
      <c r="CW352" s="368"/>
      <c r="CX352" s="368"/>
      <c r="CY352" s="368"/>
      <c r="CZ352" s="368"/>
      <c r="DA352" s="368"/>
      <c r="DB352" s="368"/>
      <c r="DC352" s="368"/>
      <c r="DD352" s="368"/>
      <c r="DE352" s="368"/>
      <c r="DF352" s="368"/>
      <c r="DG352" s="368"/>
      <c r="DH352" s="368"/>
      <c r="DI352" s="368"/>
      <c r="DJ352" s="368"/>
      <c r="DK352" s="368"/>
      <c r="DL352" s="368"/>
      <c r="DM352" s="368"/>
      <c r="DN352" s="368"/>
      <c r="DO352" s="368"/>
      <c r="DP352" s="368"/>
      <c r="DQ352" s="368"/>
      <c r="DR352" s="368"/>
      <c r="DS352" s="368"/>
      <c r="DT352" s="368"/>
      <c r="DU352" s="368"/>
      <c r="DV352" s="368"/>
      <c r="DW352" s="368"/>
      <c r="DX352" s="368"/>
      <c r="DY352" s="368"/>
      <c r="DZ352" s="368"/>
      <c r="EA352" s="368"/>
      <c r="EB352" s="368"/>
      <c r="EC352" s="368"/>
      <c r="ED352" s="368"/>
      <c r="EE352" s="368"/>
      <c r="EF352" s="368"/>
      <c r="EG352" s="368"/>
      <c r="EH352" s="368"/>
      <c r="EI352" s="368"/>
      <c r="EJ352" s="368"/>
      <c r="EK352" s="368"/>
      <c r="EL352" s="368"/>
      <c r="EM352" s="368"/>
      <c r="EN352" s="368"/>
      <c r="EO352" s="368"/>
      <c r="EP352" s="368"/>
      <c r="EQ352" s="368"/>
      <c r="ER352" s="368"/>
      <c r="ES352" s="368"/>
      <c r="ET352" s="368"/>
      <c r="EU352" s="368"/>
      <c r="EV352" s="368"/>
      <c r="EW352" s="368"/>
      <c r="EX352" s="368"/>
      <c r="EY352" s="368"/>
      <c r="EZ352" s="368"/>
      <c r="FA352" s="368"/>
      <c r="FB352" s="368"/>
      <c r="FC352" s="368"/>
      <c r="FD352" s="368"/>
      <c r="FE352" s="368"/>
      <c r="FF352" s="368"/>
      <c r="FG352" s="368"/>
      <c r="FH352" s="368"/>
      <c r="FI352" s="368"/>
      <c r="FJ352" s="368"/>
      <c r="FK352" s="368"/>
      <c r="FL352" s="368"/>
      <c r="FM352" s="368"/>
      <c r="FN352" s="368"/>
      <c r="FO352" s="368"/>
      <c r="FP352" s="368"/>
      <c r="FQ352" s="368"/>
      <c r="FR352" s="368"/>
      <c r="FS352" s="368"/>
      <c r="FT352" s="368"/>
      <c r="FU352" s="368"/>
      <c r="FV352" s="368"/>
      <c r="FW352" s="368"/>
      <c r="FX352" s="368"/>
      <c r="FY352" s="368"/>
      <c r="FZ352" s="368"/>
      <c r="GA352" s="368"/>
      <c r="GB352" s="368"/>
      <c r="GC352" s="368"/>
      <c r="GD352" s="368"/>
      <c r="GE352" s="368"/>
      <c r="GF352" s="368"/>
      <c r="GG352" s="368"/>
      <c r="GH352" s="368"/>
      <c r="GI352" s="368"/>
      <c r="GJ352" s="368"/>
      <c r="GK352" s="368"/>
      <c r="GL352" s="368"/>
      <c r="GM352" s="368"/>
      <c r="GN352" s="368"/>
      <c r="GO352" s="368"/>
      <c r="GP352" s="368"/>
      <c r="GQ352" s="368"/>
      <c r="GR352" s="368"/>
      <c r="GS352" s="368"/>
      <c r="GT352" s="368"/>
      <c r="GU352" s="368"/>
      <c r="GV352" s="368"/>
      <c r="GW352" s="368"/>
      <c r="GX352" s="368"/>
      <c r="GY352" s="368"/>
      <c r="GZ352" s="368"/>
      <c r="HA352" s="368"/>
      <c r="HB352" s="368"/>
      <c r="HC352" s="368"/>
      <c r="HD352" s="368"/>
      <c r="HE352" s="368"/>
      <c r="HF352" s="368"/>
      <c r="HG352" s="368"/>
      <c r="HH352" s="368"/>
      <c r="HI352" s="368"/>
      <c r="HJ352" s="368"/>
      <c r="HK352" s="368"/>
      <c r="HL352" s="368"/>
      <c r="HM352" s="368"/>
      <c r="HN352" s="368"/>
      <c r="HO352" s="368"/>
      <c r="HP352" s="368"/>
      <c r="HQ352" s="368"/>
      <c r="HR352" s="368"/>
      <c r="HS352" s="368"/>
      <c r="HT352" s="368"/>
      <c r="HU352" s="368"/>
      <c r="HV352" s="368"/>
      <c r="HW352" s="368"/>
      <c r="HX352" s="368"/>
      <c r="HY352" s="368"/>
      <c r="HZ352" s="368"/>
      <c r="IA352" s="368"/>
      <c r="IB352" s="368"/>
      <c r="IC352" s="368"/>
      <c r="ID352" s="368"/>
      <c r="IE352" s="368"/>
      <c r="IF352" s="368"/>
      <c r="IG352" s="368"/>
      <c r="IH352" s="368"/>
      <c r="II352" s="368"/>
      <c r="IJ352" s="368"/>
      <c r="IK352" s="368"/>
      <c r="IL352" s="368"/>
      <c r="IM352" s="368"/>
      <c r="IN352" s="368"/>
      <c r="IO352" s="368"/>
      <c r="IP352" s="368"/>
      <c r="IQ352" s="368"/>
      <c r="IR352" s="368"/>
      <c r="IS352" s="368"/>
      <c r="IT352" s="368"/>
    </row>
    <row r="353" spans="1:7" ht="15.6" customHeight="1">
      <c r="A353" s="44">
        <v>312</v>
      </c>
      <c r="B353" s="14" t="s">
        <v>56</v>
      </c>
      <c r="C353" s="358">
        <v>150</v>
      </c>
      <c r="D353" s="183">
        <f>20.43/1000*150</f>
        <v>3.0645000000000002</v>
      </c>
      <c r="E353" s="184">
        <f>32.01/1000*150</f>
        <v>4.8014999999999999</v>
      </c>
      <c r="F353" s="184">
        <f>136.26/1000*150</f>
        <v>20.439</v>
      </c>
      <c r="G353" s="185">
        <f>915/1000*150</f>
        <v>137.25</v>
      </c>
    </row>
    <row r="354" spans="1:7" ht="17.25" customHeight="1">
      <c r="A354" s="19"/>
      <c r="B354" s="51" t="s">
        <v>13</v>
      </c>
      <c r="C354" s="335">
        <v>40</v>
      </c>
      <c r="D354" s="16">
        <v>3.04</v>
      </c>
      <c r="E354" s="17">
        <v>0.36</v>
      </c>
      <c r="F354" s="17">
        <v>19.88</v>
      </c>
      <c r="G354" s="18">
        <v>90.4</v>
      </c>
    </row>
    <row r="355" spans="1:7" ht="16.5" customHeight="1">
      <c r="A355" s="19"/>
      <c r="B355" s="45" t="s">
        <v>24</v>
      </c>
      <c r="C355" s="335">
        <v>30</v>
      </c>
      <c r="D355" s="16">
        <f>1.44/40*30</f>
        <v>1.0799999999999998</v>
      </c>
      <c r="E355" s="17">
        <f>0.36/40*30</f>
        <v>0.26999999999999996</v>
      </c>
      <c r="F355" s="17">
        <f>12.48/40*30</f>
        <v>9.36</v>
      </c>
      <c r="G355" s="18">
        <f>59.4/30*40</f>
        <v>79.2</v>
      </c>
    </row>
    <row r="356" spans="1:7" ht="19.5" thickBot="1">
      <c r="A356" s="101">
        <v>342</v>
      </c>
      <c r="B356" s="102" t="s">
        <v>43</v>
      </c>
      <c r="C356" s="359">
        <v>180</v>
      </c>
      <c r="D356" s="104">
        <f>1.6/1000*180</f>
        <v>0.28800000000000003</v>
      </c>
      <c r="E356" s="105">
        <f>0.4/1000*180</f>
        <v>7.2000000000000008E-2</v>
      </c>
      <c r="F356" s="105">
        <f>141/1000*180</f>
        <v>25.38</v>
      </c>
      <c r="G356" s="106">
        <f>583/1000*180</f>
        <v>104.94</v>
      </c>
    </row>
    <row r="357" spans="1:7" ht="17.850000000000001" customHeight="1" thickBot="1">
      <c r="A357" s="264"/>
      <c r="B357" s="255" t="s">
        <v>84</v>
      </c>
      <c r="C357" s="98">
        <f>SUM(C349:C356)</f>
        <v>850</v>
      </c>
      <c r="D357" s="60">
        <f>SUM(D349:D356)</f>
        <v>18.802399999999999</v>
      </c>
      <c r="E357" s="61">
        <f>SUM(E349:E356)</f>
        <v>23.842600000000001</v>
      </c>
      <c r="F357" s="61">
        <f>SUM(F349:F356)</f>
        <v>101.44484999999999</v>
      </c>
      <c r="G357" s="62">
        <f>SUM(G349:G356)</f>
        <v>734.91000000000008</v>
      </c>
    </row>
    <row r="358" spans="1:7" ht="19.149999999999999" customHeight="1" thickBot="1">
      <c r="A358" s="243"/>
      <c r="B358" s="255" t="s">
        <v>27</v>
      </c>
      <c r="C358" s="63">
        <f>C347+C357</f>
        <v>1400</v>
      </c>
      <c r="D358" s="60">
        <f>D347+D357</f>
        <v>33.232399999999998</v>
      </c>
      <c r="E358" s="61">
        <f>E347+E357</f>
        <v>36.892600000000002</v>
      </c>
      <c r="F358" s="61">
        <f>F347+F357</f>
        <v>188.29485</v>
      </c>
      <c r="G358" s="62">
        <f>G347+G357</f>
        <v>1336.91</v>
      </c>
    </row>
  </sheetData>
  <sheetProtection selectLockedCells="1" selectUnlockedCells="1"/>
  <mergeCells count="72">
    <mergeCell ref="B331:G331"/>
    <mergeCell ref="A340:G340"/>
    <mergeCell ref="B341:G341"/>
    <mergeCell ref="B348:G348"/>
    <mergeCell ref="A306:G306"/>
    <mergeCell ref="B307:G307"/>
    <mergeCell ref="B314:G314"/>
    <mergeCell ref="A323:G323"/>
    <mergeCell ref="B324:G324"/>
    <mergeCell ref="B325:G325"/>
    <mergeCell ref="A274:G274"/>
    <mergeCell ref="B275:G275"/>
    <mergeCell ref="B280:G280"/>
    <mergeCell ref="A288:G288"/>
    <mergeCell ref="B289:G289"/>
    <mergeCell ref="B295:G295"/>
    <mergeCell ref="A240:G240"/>
    <mergeCell ref="B241:G241"/>
    <mergeCell ref="B247:G247"/>
    <mergeCell ref="A256:G256"/>
    <mergeCell ref="B257:G257"/>
    <mergeCell ref="B263:G263"/>
    <mergeCell ref="A208:G208"/>
    <mergeCell ref="B209:G209"/>
    <mergeCell ref="B215:G215"/>
    <mergeCell ref="A224:G224"/>
    <mergeCell ref="B225:G225"/>
    <mergeCell ref="B230:G230"/>
    <mergeCell ref="A175:G175"/>
    <mergeCell ref="B176:G176"/>
    <mergeCell ref="B182:G182"/>
    <mergeCell ref="A192:G192"/>
    <mergeCell ref="B193:G193"/>
    <mergeCell ref="B198:G198"/>
    <mergeCell ref="A140:G140"/>
    <mergeCell ref="B141:G141"/>
    <mergeCell ref="B148:G148"/>
    <mergeCell ref="A158:G158"/>
    <mergeCell ref="B159:G159"/>
    <mergeCell ref="B164:G164"/>
    <mergeCell ref="A106:G106"/>
    <mergeCell ref="B107:G107"/>
    <mergeCell ref="B113:G113"/>
    <mergeCell ref="A122:G122"/>
    <mergeCell ref="B123:G123"/>
    <mergeCell ref="B129:G129"/>
    <mergeCell ref="A74:G74"/>
    <mergeCell ref="B75:G75"/>
    <mergeCell ref="B81:G81"/>
    <mergeCell ref="A91:G91"/>
    <mergeCell ref="B92:G92"/>
    <mergeCell ref="B97:G97"/>
    <mergeCell ref="A42:G42"/>
    <mergeCell ref="B43:G43"/>
    <mergeCell ref="B49:G49"/>
    <mergeCell ref="A59:G59"/>
    <mergeCell ref="B60:G60"/>
    <mergeCell ref="B65:G65"/>
    <mergeCell ref="A9:G9"/>
    <mergeCell ref="B10:G10"/>
    <mergeCell ref="B16:G16"/>
    <mergeCell ref="A26:G26"/>
    <mergeCell ref="B27:G27"/>
    <mergeCell ref="B32:G32"/>
    <mergeCell ref="A1:B4"/>
    <mergeCell ref="C1:G4"/>
    <mergeCell ref="A5:G5"/>
    <mergeCell ref="A6:G6"/>
    <mergeCell ref="A7:A8"/>
    <mergeCell ref="B7:B8"/>
    <mergeCell ref="C7:C8"/>
    <mergeCell ref="D7:G7"/>
  </mergeCells>
  <pageMargins left="0.19652777777777777" right="0.19652777777777777" top="0.19652777777777777" bottom="0.19652777777777777" header="0.51180555555555551" footer="0.51180555555555551"/>
  <pageSetup paperSize="9" scale="83" firstPageNumber="0" fitToHeight="0" orientation="portrait" r:id="rId1"/>
  <headerFooter alignWithMargins="0"/>
  <rowBreaks count="7" manualBreakCount="7">
    <brk id="41" max="6" man="1"/>
    <brk id="90" max="6" man="1"/>
    <brk id="139" max="6" man="1"/>
    <brk id="191" max="6" man="1"/>
    <brk id="239" max="6" man="1"/>
    <brk id="287" max="6" man="1"/>
    <brk id="33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10_дней 7-11</vt:lpstr>
      <vt:lpstr>'10_дней 7-11'!Excel_BuiltIn_Print_Area</vt:lpstr>
      <vt:lpstr>'10_дней 7-11'!Область_печати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2026-02-24T08:12:01Z</cp:lastPrinted>
  <dcterms:created xsi:type="dcterms:W3CDTF">2024-03-21T08:05:08Z</dcterms:created>
  <dcterms:modified xsi:type="dcterms:W3CDTF">2026-02-24T08:12:54Z</dcterms:modified>
</cp:coreProperties>
</file>