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Цикличное меню 12-18 лет" sheetId="1" state="visible" r:id="rId2"/>
    <sheet name="Распределение по нормам" sheetId="2" state="visible" r:id="rId3"/>
    <sheet name="Ведомость 12-18 лет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<sst xmlns="http://schemas.openxmlformats.org/spreadsheetml/2006/main" count="608" uniqueCount="191">
  <si>
    <t xml:space="preserve">День: Второй</t>
  </si>
  <si>
    <r>
      <rPr>
        <b val="true"/>
        <sz val="11"/>
        <color rgb="FF000000"/>
        <rFont val="Times New Roman"/>
        <family val="1"/>
        <charset val="204"/>
      </rPr>
      <t xml:space="preserve">Неделя:</t>
    </r>
    <r>
      <rPr>
        <sz val="11"/>
        <color rgb="FF000000"/>
        <rFont val="Times New Roman"/>
        <family val="1"/>
        <charset val="204"/>
      </rPr>
      <t xml:space="preserve"> первая</t>
    </r>
  </si>
  <si>
    <r>
      <rPr>
        <b val="true"/>
        <sz val="11"/>
        <color rgb="FF000000"/>
        <rFont val="Times New Roman"/>
        <family val="1"/>
        <charset val="204"/>
      </rPr>
      <t xml:space="preserve">Возрастная категория:</t>
    </r>
    <r>
      <rPr>
        <sz val="11"/>
        <color rgb="FF000000"/>
        <rFont val="Times New Roman"/>
        <family val="1"/>
        <charset val="204"/>
      </rPr>
      <t xml:space="preserve">  12-18 лет</t>
    </r>
  </si>
  <si>
    <t xml:space="preserve">№ рецептуры</t>
  </si>
  <si>
    <t xml:space="preserve">Прием пищи, наименование блюда</t>
  </si>
  <si>
    <t xml:space="preserve">Масса порции</t>
  </si>
  <si>
    <t xml:space="preserve">Пищевые</t>
  </si>
  <si>
    <t xml:space="preserve">Энергетическая ценность</t>
  </si>
  <si>
    <t xml:space="preserve">Витамины ( мг)</t>
  </si>
  <si>
    <t xml:space="preserve">Минеральные вещества (мг)</t>
  </si>
  <si>
    <t xml:space="preserve">вещества</t>
  </si>
  <si>
    <t xml:space="preserve">Б</t>
  </si>
  <si>
    <t xml:space="preserve">Ж</t>
  </si>
  <si>
    <t xml:space="preserve">У</t>
  </si>
  <si>
    <t xml:space="preserve">А</t>
  </si>
  <si>
    <r>
      <rPr>
        <sz val="12"/>
        <color rgb="FF000000"/>
        <rFont val="Times New Roman"/>
        <family val="1"/>
        <charset val="204"/>
      </rPr>
      <t xml:space="preserve">В</t>
    </r>
    <r>
      <rPr>
        <vertAlign val="subscript"/>
        <sz val="12"/>
        <color rgb="FF000000"/>
        <rFont val="Times New Roman"/>
        <family val="1"/>
        <charset val="204"/>
      </rPr>
      <t xml:space="preserve">1</t>
    </r>
  </si>
  <si>
    <t xml:space="preserve">С</t>
  </si>
  <si>
    <t xml:space="preserve">Са</t>
  </si>
  <si>
    <t xml:space="preserve">P</t>
  </si>
  <si>
    <t xml:space="preserve">Fe</t>
  </si>
  <si>
    <t xml:space="preserve">Завтрак</t>
  </si>
  <si>
    <t xml:space="preserve">Рис отварной</t>
  </si>
  <si>
    <t xml:space="preserve">Рыба тушеная с овощами</t>
  </si>
  <si>
    <t xml:space="preserve">Чай с сахаром</t>
  </si>
  <si>
    <t xml:space="preserve">Масло сливочное</t>
  </si>
  <si>
    <t xml:space="preserve">Хлеб пшеничный</t>
  </si>
  <si>
    <t xml:space="preserve">Хлеб ржаной</t>
  </si>
  <si>
    <t xml:space="preserve">итого</t>
  </si>
  <si>
    <t xml:space="preserve">Обед</t>
  </si>
  <si>
    <t xml:space="preserve">Икра кабачковая</t>
  </si>
  <si>
    <t xml:space="preserve">Борщ из свежей капусты с картофелем</t>
  </si>
  <si>
    <t xml:space="preserve">Картофельное пюре</t>
  </si>
  <si>
    <t xml:space="preserve">Котлета из рубленной говядины</t>
  </si>
  <si>
    <t xml:space="preserve">Кисель из сока плодового</t>
  </si>
  <si>
    <t xml:space="preserve">Яблоко</t>
  </si>
  <si>
    <t xml:space="preserve">ИТОГО за день</t>
  </si>
  <si>
    <t xml:space="preserve">Норматив по СанПиН </t>
  </si>
  <si>
    <t xml:space="preserve">День: Первый</t>
  </si>
  <si>
    <r>
      <rPr>
        <sz val="11"/>
        <color rgb="FF000000"/>
        <rFont val="Times New Roman"/>
        <family val="1"/>
        <charset val="204"/>
      </rPr>
      <t xml:space="preserve">В</t>
    </r>
    <r>
      <rPr>
        <vertAlign val="subscript"/>
        <sz val="11"/>
        <color rgb="FF000000"/>
        <rFont val="Times New Roman"/>
        <family val="1"/>
        <charset val="204"/>
      </rPr>
      <t xml:space="preserve">1</t>
    </r>
  </si>
  <si>
    <t xml:space="preserve">Каша вязкая молочная овсяная</t>
  </si>
  <si>
    <t xml:space="preserve">Кисломолочный напиток</t>
  </si>
  <si>
    <t xml:space="preserve">Каша рассыпчатая пшеничная</t>
  </si>
  <si>
    <t xml:space="preserve">Рассольник Ленинградский</t>
  </si>
  <si>
    <t xml:space="preserve">Мясо тушеное</t>
  </si>
  <si>
    <t xml:space="preserve">Компот из свежих яблок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</si>
  <si>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Третий</t>
    </r>
  </si>
  <si>
    <t xml:space="preserve">Запеканка из творога со сметаной (170/40)</t>
  </si>
  <si>
    <t xml:space="preserve">Плоды свежие(яблоко)</t>
  </si>
  <si>
    <t xml:space="preserve">Щи с картофелем и капустой</t>
  </si>
  <si>
    <t xml:space="preserve">Каша гречневая рассыпчатая</t>
  </si>
  <si>
    <t xml:space="preserve">Котлета из цыпленка-бройлера</t>
  </si>
  <si>
    <t xml:space="preserve">Чай с  сахаром</t>
  </si>
  <si>
    <t xml:space="preserve">яблоко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</si>
  <si>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Четвертый</t>
    </r>
  </si>
  <si>
    <t xml:space="preserve">Овощи по сезону</t>
  </si>
  <si>
    <t xml:space="preserve">Макаронные изделия отварные</t>
  </si>
  <si>
    <t xml:space="preserve">Котлета мясная</t>
  </si>
  <si>
    <t xml:space="preserve">Суп картофельный с макаронными изделиями</t>
  </si>
  <si>
    <t xml:space="preserve">Гуляш из куриного филе</t>
  </si>
  <si>
    <t xml:space="preserve">Сок яблочный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</si>
  <si>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Пятый</t>
    </r>
  </si>
  <si>
    <t xml:space="preserve">Макароны отварные </t>
  </si>
  <si>
    <t xml:space="preserve">Котлета рыбная </t>
  </si>
  <si>
    <t xml:space="preserve">Суп картофельный с бобовыми</t>
  </si>
  <si>
    <t xml:space="preserve">Картофель отварной</t>
  </si>
  <si>
    <t xml:space="preserve">Биточки рубленные куриные</t>
  </si>
  <si>
    <t xml:space="preserve">День: Седьмой</t>
  </si>
  <si>
    <r>
      <rPr>
        <b val="true"/>
        <sz val="11"/>
        <color rgb="FF000000"/>
        <rFont val="Times New Roman"/>
        <family val="1"/>
        <charset val="204"/>
      </rPr>
      <t xml:space="preserve">Неделя:</t>
    </r>
    <r>
      <rPr>
        <sz val="11"/>
        <color rgb="FF000000"/>
        <rFont val="Times New Roman"/>
        <family val="1"/>
        <charset val="204"/>
      </rPr>
      <t xml:space="preserve"> вторая</t>
    </r>
  </si>
  <si>
    <t xml:space="preserve">Котлета говяжья</t>
  </si>
  <si>
    <t xml:space="preserve">Сыр порциями</t>
  </si>
  <si>
    <t xml:space="preserve"> </t>
  </si>
  <si>
    <t xml:space="preserve">Рыба тушенная с овощами</t>
  </si>
  <si>
    <t xml:space="preserve">День: Шестой</t>
  </si>
  <si>
    <t xml:space="preserve">Омлет натуральный с маслом (155/5)</t>
  </si>
  <si>
    <t xml:space="preserve">Какао с молоком</t>
  </si>
  <si>
    <t xml:space="preserve">Борщ с капустой и картофелем</t>
  </si>
  <si>
    <t xml:space="preserve">Каша рассыпчатая гречневая</t>
  </si>
  <si>
    <t xml:space="preserve">Котлета рубленая с говядины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</si>
  <si>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Восьмой</t>
    </r>
  </si>
  <si>
    <t xml:space="preserve">Каша рассыпчатая пшенная</t>
  </si>
  <si>
    <t xml:space="preserve">Птица тушеная в сметанном соусе</t>
  </si>
  <si>
    <t xml:space="preserve">Салат из белокочанной капусты </t>
  </si>
  <si>
    <t xml:space="preserve">Суп картофельный с вермишелью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</si>
  <si>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Девятый</t>
    </r>
  </si>
  <si>
    <t xml:space="preserve">Рагу из курицы</t>
  </si>
  <si>
    <t xml:space="preserve">кисломолочный продукт</t>
  </si>
  <si>
    <t xml:space="preserve">Масло сливочное порциями</t>
  </si>
  <si>
    <t xml:space="preserve">Щи из свежей капусты и картофелем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</si>
  <si>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Десятый</t>
    </r>
  </si>
  <si>
    <t xml:space="preserve">Каша жидкая молочная овсяная</t>
  </si>
  <si>
    <t xml:space="preserve">Бутерброды с повидлом</t>
  </si>
  <si>
    <t xml:space="preserve">Плов из птицы</t>
  </si>
  <si>
    <t xml:space="preserve">Компот из св. яблок</t>
  </si>
  <si>
    <t xml:space="preserve">                                                </t>
  </si>
  <si>
    <t xml:space="preserve">УТВЕРЖДАЮ    </t>
  </si>
  <si>
    <t xml:space="preserve">Директор МБОУ "Красноярская средняя школа им. Бых Н.Н."</t>
  </si>
  <si>
    <t xml:space="preserve"> ___________З.Э. Асанова</t>
  </si>
  <si>
    <t xml:space="preserve">"05" ноября 2026  г.</t>
  </si>
  <si>
    <r>
      <rPr>
        <b val="true"/>
        <sz val="14"/>
        <color rgb="FF000000"/>
        <rFont val="Times New Roman"/>
        <family val="1"/>
        <charset val="204"/>
      </rPr>
      <t xml:space="preserve">ЦИКЛИЧНОЕ ДЕСЯТИДНЕВНОЕ МЕНЮ ДЛЯ ПИТАНИЯ ОБУЧАЮЩИХСЯ В
</t>
    </r>
    <r>
      <rPr>
        <sz val="20"/>
        <color rgb="FF000000"/>
        <rFont val="Times New Roman"/>
        <family val="1"/>
        <charset val="204"/>
      </rPr>
      <t xml:space="preserve">МБОУ "Красноярская средняя школа им. Бых Н.Н."
</t>
    </r>
    <r>
      <rPr>
        <b val="true"/>
        <sz val="14"/>
        <color rgb="FF000000"/>
        <rFont val="Times New Roman"/>
        <family val="1"/>
        <charset val="204"/>
      </rPr>
      <t xml:space="preserve">
(Возрастная категория детей от 12 до 18 лет - завтрак и обед)
</t>
    </r>
  </si>
  <si>
    <t xml:space="preserve">осенне-зимний период</t>
  </si>
  <si>
    <t xml:space="preserve">Наименование блюда</t>
  </si>
  <si>
    <t xml:space="preserve">Выход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</si>
  <si>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</si>
  <si>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</si>
  <si>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</si>
  <si>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</si>
  <si>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</si>
  <si>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Кол-во</t>
  </si>
  <si>
    <t xml:space="preserve">Молоко и кислом. пр-ты</t>
  </si>
  <si>
    <t xml:space="preserve">Творог</t>
  </si>
  <si>
    <t xml:space="preserve">Сметана</t>
  </si>
  <si>
    <t xml:space="preserve">Сыр</t>
  </si>
  <si>
    <t xml:space="preserve">Масло сливочное     </t>
  </si>
  <si>
    <t xml:space="preserve">Яйцо (гр) </t>
  </si>
  <si>
    <t xml:space="preserve">Мясо </t>
  </si>
  <si>
    <t xml:space="preserve">Птица</t>
  </si>
  <si>
    <t xml:space="preserve">Субпродукты говяжьи</t>
  </si>
  <si>
    <t xml:space="preserve">Рыба (филе)</t>
  </si>
  <si>
    <t xml:space="preserve">Картофель</t>
  </si>
  <si>
    <t xml:space="preserve">Овощи </t>
  </si>
  <si>
    <t xml:space="preserve">Фрукты свежие </t>
  </si>
  <si>
    <t xml:space="preserve">Сухофрукты</t>
  </si>
  <si>
    <t xml:space="preserve">Сок фруктовый</t>
  </si>
  <si>
    <t xml:space="preserve">Крупы, бобовые</t>
  </si>
  <si>
    <t xml:space="preserve">Макаронные изделия</t>
  </si>
  <si>
    <t xml:space="preserve">Мука пшеничная</t>
  </si>
  <si>
    <t xml:space="preserve">Дрожжи</t>
  </si>
  <si>
    <t xml:space="preserve">Крахмал</t>
  </si>
  <si>
    <t xml:space="preserve">Масло растительное</t>
  </si>
  <si>
    <t xml:space="preserve">Чай</t>
  </si>
  <si>
    <t xml:space="preserve">Какао-порошок</t>
  </si>
  <si>
    <t xml:space="preserve">Кофейный напиток</t>
  </si>
  <si>
    <t xml:space="preserve">Сахар</t>
  </si>
  <si>
    <t xml:space="preserve">Соль</t>
  </si>
  <si>
    <t xml:space="preserve">Хлеб белый</t>
  </si>
  <si>
    <t xml:space="preserve">Кондитерские изделия</t>
  </si>
  <si>
    <t xml:space="preserve">Каша вязкая молочная гречневая</t>
  </si>
  <si>
    <t xml:space="preserve">Напиток кофейный с молоком</t>
  </si>
  <si>
    <t xml:space="preserve">Йогурт</t>
  </si>
  <si>
    <t xml:space="preserve">Сок плодовый</t>
  </si>
  <si>
    <t xml:space="preserve">Компот из сухофруктов</t>
  </si>
  <si>
    <t xml:space="preserve">Компот из свеж яблок</t>
  </si>
  <si>
    <t xml:space="preserve">Кисель из сока</t>
  </si>
  <si>
    <t xml:space="preserve">Масло</t>
  </si>
  <si>
    <t xml:space="preserve">Яйцо вареное</t>
  </si>
  <si>
    <t xml:space="preserve">Яйцо</t>
  </si>
  <si>
    <t xml:space="preserve">Фрукты</t>
  </si>
  <si>
    <t xml:space="preserve">Огурец свежий</t>
  </si>
  <si>
    <t xml:space="preserve">Помидора свежая</t>
  </si>
  <si>
    <t xml:space="preserve">Салат из белокочанной капусты</t>
  </si>
  <si>
    <t xml:space="preserve">Салат из моркови с сахаром</t>
  </si>
  <si>
    <t xml:space="preserve">Щи из свежей капусты </t>
  </si>
  <si>
    <t xml:space="preserve">Борщ  </t>
  </si>
  <si>
    <t xml:space="preserve">Суп картофел с фрикадельками</t>
  </si>
  <si>
    <t xml:space="preserve">Суп картоф с бобовыми</t>
  </si>
  <si>
    <t xml:space="preserve">Суп картофел с макаронами</t>
  </si>
  <si>
    <t xml:space="preserve">Рагу из овощей</t>
  </si>
  <si>
    <t xml:space="preserve">Варенники ленивые с сахаром</t>
  </si>
  <si>
    <t xml:space="preserve">Рагу из птицы</t>
  </si>
  <si>
    <t xml:space="preserve">Печень по-строгановски</t>
  </si>
  <si>
    <t xml:space="preserve">Рагу из свинины</t>
  </si>
  <si>
    <t xml:space="preserve">Котлета рыбная</t>
  </si>
  <si>
    <t xml:space="preserve">Омлет натуральный</t>
  </si>
  <si>
    <t xml:space="preserve">Молоко сгущеное</t>
  </si>
  <si>
    <t xml:space="preserve">Сырники из творога</t>
  </si>
  <si>
    <t xml:space="preserve">Капуста тушеная</t>
  </si>
  <si>
    <t xml:space="preserve">Тефтели</t>
  </si>
  <si>
    <t xml:space="preserve">Макароны отварные с сыром</t>
  </si>
  <si>
    <t xml:space="preserve">Макароны отварные</t>
  </si>
  <si>
    <t xml:space="preserve">ИТОГО за 10 дней</t>
  </si>
  <si>
    <t xml:space="preserve">Ведомость контроля за рационом питания детей в возрасте от 12 до 18 лет</t>
  </si>
  <si>
    <t xml:space="preserve">с __________ по ____________</t>
  </si>
  <si>
    <t xml:space="preserve">ХИМИЧЕСКИЙ СОСТАВ </t>
  </si>
  <si>
    <t xml:space="preserve">Пищевая ценность</t>
  </si>
  <si>
    <t xml:space="preserve">Норматив по САНПиН (55%)</t>
  </si>
  <si>
    <t xml:space="preserve">Среднее на 1 неделе</t>
  </si>
  <si>
    <t xml:space="preserve">Отклонение от норматива</t>
  </si>
  <si>
    <t xml:space="preserve">Среднее на 2 неделе</t>
  </si>
  <si>
    <t xml:space="preserve">Среднее за 10 дней</t>
  </si>
  <si>
    <t xml:space="preserve">Отклонение от нормы за 10 дней</t>
  </si>
  <si>
    <t xml:space="preserve">п/п</t>
  </si>
  <si>
    <t xml:space="preserve">Наименование группы пищевой продукции</t>
  </si>
  <si>
    <t xml:space="preserve">Количество потребленной продукции в нетто по дням в граммах на одного человека</t>
  </si>
  <si>
    <t xml:space="preserve">Норма (нетто, гр). Режим питания 2 разовое</t>
  </si>
  <si>
    <t xml:space="preserve">Отклонение от нормы в % (+/-)</t>
  </si>
  <si>
    <t xml:space="preserve">Молоко </t>
  </si>
  <si>
    <t xml:space="preserve">Кисломолочные продукты</t>
  </si>
  <si>
    <t xml:space="preserve">Творог (5%-9% м.д.ж.)</t>
  </si>
  <si>
    <t xml:space="preserve">Мясо 1 кат.</t>
  </si>
  <si>
    <t xml:space="preserve">Сок плодоовощной</t>
  </si>
  <si>
    <t xml:space="preserve">Специи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</si>
</sst>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0"/>
    <numFmt numFmtId="167" formatCode="General"/>
    <numFmt numFmtId="168" formatCode="0.00"/>
    <numFmt numFmtId="169" formatCode="@"/>
    <numFmt numFmtId="170" formatCode="#,##0.0"/>
    <numFmt numFmtId="171" formatCode="0.0%"/>
    <numFmt numFmtId="172" formatCode="0%"/>
    <numFmt numFmtId="173" formatCode="0.0_ ;[RED]\-0.0\ "/>
  </numFmts>
  <fonts count="1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bscript"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0"/>
      <color rgb="FF000000"/>
      <name val="Calibri"/>
      <family val="2"/>
      <charset val="204"/>
    </font>
    <font>
      <b val="true"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DCE6F2"/>
      </patternFill>
    </fill>
    <fill>
      <patternFill patternType="solid">
        <fgColor rgb="FFDCE6F2"/>
        <bgColor rgb="FFDBEEF4"/>
      </patternFill>
    </fill>
  </fills>
  <borders count="3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5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6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4" fillId="4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4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0" borderId="2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2" borderId="11" xfId="0" applyFont="true" applyBorder="true" applyAlignment="true" applyProtection="false">
      <alignment horizontal="center" vertical="center" textRotation="89" wrapText="true" indent="0" shrinkToFit="false"/>
      <protection locked="true" hidden="false"/>
    </xf>
    <xf numFmtId="164" fontId="15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4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83"/>
  <sheetViews>
    <sheetView showFormulas="false" showGridLines="true" showRowColHeaders="true" showZeros="true" rightToLeft="false" tabSelected="true" showOutlineSymbols="true" defaultGridColor="true" view="normal" topLeftCell="A286" colorId="64" zoomScale="100" zoomScaleNormal="100" zoomScalePageLayoutView="100" workbookViewId="0">
      <selection pane="topLeft" activeCell="A346" activeCellId="0" sqref="A346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35.57"/>
    <col collapsed="false" customWidth="true" hidden="false" outlineLevel="0" max="3" min="3" style="1" width="10.29"/>
    <col collapsed="false" customWidth="true" hidden="false" outlineLevel="0" max="6" min="4" style="1" width="8.71"/>
    <col collapsed="false" customWidth="true" hidden="false" outlineLevel="0" max="7" min="7" style="1" width="9.29"/>
    <col collapsed="false" customWidth="true" hidden="false" outlineLevel="0" max="8" min="8" style="1" width="9.42"/>
    <col collapsed="false" customWidth="true" hidden="false" outlineLevel="0" max="10" min="9" style="1" width="8.71"/>
    <col collapsed="false" customWidth="false" hidden="false" outlineLevel="0" max="11" min="11" style="1" width="9.14"/>
    <col collapsed="false" customWidth="true" hidden="false" outlineLevel="0" max="12" min="12" style="1" width="9.71"/>
    <col collapsed="false" customWidth="true" hidden="false" outlineLevel="0" max="13" min="13" style="1" width="8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0</v>
      </c>
      <c r="B1" s="2"/>
    </row>
    <row r="2" customFormat="false" ht="15" hidden="false" customHeight="false" outlineLevel="0" collapsed="false">
      <c r="A2" s="2" t="s">
        <v>1</v>
      </c>
      <c r="B2" s="2"/>
    </row>
    <row r="3" customFormat="false" ht="15.75" hidden="false" customHeight="false" outlineLevel="0" collapsed="false">
      <c r="A3" s="3" t="s">
        <v>2</v>
      </c>
      <c r="B3" s="3"/>
    </row>
    <row r="4" customFormat="false" ht="15.7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5"/>
      <c r="F4" s="5"/>
      <c r="G4" s="4" t="s">
        <v>7</v>
      </c>
      <c r="H4" s="4" t="s">
        <v>8</v>
      </c>
      <c r="I4" s="4"/>
      <c r="J4" s="4"/>
      <c r="K4" s="4" t="s">
        <v>9</v>
      </c>
      <c r="L4" s="4"/>
      <c r="M4" s="4"/>
    </row>
    <row r="5" customFormat="false" ht="16.5" hidden="false" customHeight="true" outlineLevel="0" collapsed="false">
      <c r="A5" s="4"/>
      <c r="B5" s="4"/>
      <c r="C5" s="4"/>
      <c r="D5" s="6" t="s">
        <v>10</v>
      </c>
      <c r="E5" s="6"/>
      <c r="F5" s="6"/>
      <c r="G5" s="4"/>
      <c r="H5" s="4"/>
      <c r="I5" s="4"/>
      <c r="J5" s="4"/>
      <c r="K5" s="4"/>
      <c r="L5" s="4"/>
      <c r="M5" s="4"/>
    </row>
    <row r="6" customFormat="false" ht="18" hidden="false" customHeight="true" outlineLevel="0" collapsed="false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</row>
    <row r="7" customFormat="false" ht="15.75" hidden="false" customHeight="true" outlineLevel="0" collapsed="false">
      <c r="A7" s="7"/>
      <c r="B7" s="8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Format="false" ht="15.75" hidden="false" customHeight="true" outlineLevel="0" collapsed="false">
      <c r="A8" s="10" t="n">
        <v>304</v>
      </c>
      <c r="B8" s="11" t="s">
        <v>21</v>
      </c>
      <c r="C8" s="12" t="n">
        <v>180</v>
      </c>
      <c r="D8" s="13" t="n">
        <f aca="false">24.3*C8/1000</f>
        <v>4.374</v>
      </c>
      <c r="E8" s="13" t="n">
        <f aca="false">35.8*C8/1000</f>
        <v>6.444</v>
      </c>
      <c r="F8" s="13" t="n">
        <f aca="false">244.6*C8/1000</f>
        <v>44.028</v>
      </c>
      <c r="G8" s="13" t="n">
        <f aca="false">1398*C8/1000</f>
        <v>251.64</v>
      </c>
      <c r="H8" s="13" t="n">
        <f aca="false">0</f>
        <v>0</v>
      </c>
      <c r="I8" s="13" t="n">
        <f aca="false">0.2*C8/1000</f>
        <v>0.036</v>
      </c>
      <c r="J8" s="13" t="n">
        <f aca="false">0</f>
        <v>0</v>
      </c>
      <c r="K8" s="13" t="n">
        <f aca="false">9.1*C8/1000</f>
        <v>1.638</v>
      </c>
      <c r="L8" s="13" t="n">
        <f aca="false">406.3*C8/1000</f>
        <v>73.134</v>
      </c>
      <c r="M8" s="13" t="n">
        <f aca="false">3.5*C8/1000</f>
        <v>0.63</v>
      </c>
    </row>
    <row r="9" customFormat="false" ht="15.75" hidden="false" customHeight="true" outlineLevel="0" collapsed="false">
      <c r="A9" s="10" t="n">
        <v>229</v>
      </c>
      <c r="B9" s="11" t="s">
        <v>22</v>
      </c>
      <c r="C9" s="12" t="n">
        <v>100</v>
      </c>
      <c r="D9" s="13" t="n">
        <f aca="false">97.5*C9/1000</f>
        <v>9.75</v>
      </c>
      <c r="E9" s="13" t="n">
        <f aca="false">49.5*C9/1000</f>
        <v>4.95</v>
      </c>
      <c r="F9" s="13" t="n">
        <f aca="false">38*C9/1000</f>
        <v>3.8</v>
      </c>
      <c r="G9" s="13" t="n">
        <f aca="false">1050*C9/1000</f>
        <v>105</v>
      </c>
      <c r="H9" s="13" t="n">
        <f aca="false">58.2*C9/1000</f>
        <v>5.82</v>
      </c>
      <c r="I9" s="13" t="n">
        <f aca="false">0.5*C9/1000</f>
        <v>0.05</v>
      </c>
      <c r="J9" s="13" t="n">
        <f aca="false">37.3*C9/1000</f>
        <v>3.73</v>
      </c>
      <c r="K9" s="13" t="n">
        <f aca="false">390.7*C9/1000</f>
        <v>39.07</v>
      </c>
      <c r="L9" s="13" t="n">
        <f aca="false">1621.9*C9/1000</f>
        <v>162.19</v>
      </c>
      <c r="M9" s="13" t="n">
        <f aca="false">8.5*C9/1000</f>
        <v>0.85</v>
      </c>
    </row>
    <row r="10" customFormat="false" ht="15" hidden="false" customHeight="false" outlineLevel="0" collapsed="false">
      <c r="A10" s="10" t="n">
        <v>377</v>
      </c>
      <c r="B10" s="11" t="s">
        <v>23</v>
      </c>
      <c r="C10" s="12" t="n">
        <v>200</v>
      </c>
      <c r="D10" s="14" t="n">
        <v>0.1</v>
      </c>
      <c r="E10" s="14" t="n">
        <v>0</v>
      </c>
      <c r="F10" s="14" t="n">
        <v>15.2</v>
      </c>
      <c r="G10" s="14" t="n">
        <v>62</v>
      </c>
      <c r="H10" s="14" t="n">
        <v>0.1</v>
      </c>
      <c r="I10" s="14" t="n">
        <v>0</v>
      </c>
      <c r="J10" s="14" t="n">
        <v>2.8</v>
      </c>
      <c r="K10" s="14" t="n">
        <v>14.2</v>
      </c>
      <c r="L10" s="14" t="n">
        <v>4.4</v>
      </c>
      <c r="M10" s="14" t="n">
        <v>0.4</v>
      </c>
    </row>
    <row r="11" customFormat="false" ht="15.75" hidden="false" customHeight="true" outlineLevel="0" collapsed="false">
      <c r="A11" s="10" t="n">
        <v>14</v>
      </c>
      <c r="B11" s="11" t="s">
        <v>24</v>
      </c>
      <c r="C11" s="12" t="n">
        <v>10</v>
      </c>
      <c r="D11" s="14" t="n">
        <f aca="false">8*C11/1000</f>
        <v>0.08</v>
      </c>
      <c r="E11" s="14" t="n">
        <f aca="false">725*C11/1000</f>
        <v>7.25</v>
      </c>
      <c r="F11" s="14" t="n">
        <f aca="false">13*C11/1000</f>
        <v>0.13</v>
      </c>
      <c r="G11" s="14" t="n">
        <f aca="false">6600*C11/1000</f>
        <v>66</v>
      </c>
      <c r="H11" s="14" t="n">
        <f aca="false">4000*C11/1000</f>
        <v>40</v>
      </c>
      <c r="I11" s="14" t="n">
        <f aca="false">0</f>
        <v>0</v>
      </c>
      <c r="J11" s="14" t="n">
        <f aca="false">0</f>
        <v>0</v>
      </c>
      <c r="K11" s="14" t="n">
        <f aca="false">240*C11/1000</f>
        <v>2.4</v>
      </c>
      <c r="L11" s="14" t="n">
        <f aca="false">300*C11/1000</f>
        <v>3</v>
      </c>
      <c r="M11" s="14" t="n">
        <f aca="false">2*C11/1000</f>
        <v>0.02</v>
      </c>
    </row>
    <row r="12" customFormat="false" ht="15.75" hidden="false" customHeight="true" outlineLevel="0" collapsed="false">
      <c r="A12" s="15"/>
      <c r="B12" s="11" t="s">
        <v>25</v>
      </c>
      <c r="C12" s="12" t="n">
        <v>60</v>
      </c>
      <c r="D12" s="13" t="n">
        <f aca="false">107*C12/1000</f>
        <v>6.42</v>
      </c>
      <c r="E12" s="13" t="n">
        <f aca="false">45*C12/1000</f>
        <v>2.7</v>
      </c>
      <c r="F12" s="13" t="n">
        <f aca="false">435*C12/1000</f>
        <v>26.1</v>
      </c>
      <c r="G12" s="13" t="n">
        <f aca="false">2740*C12/1000</f>
        <v>164.4</v>
      </c>
      <c r="H12" s="13" t="n">
        <f aca="false">0</f>
        <v>0</v>
      </c>
      <c r="I12" s="13" t="n">
        <f aca="false">4.1*C12/1000</f>
        <v>0.246</v>
      </c>
      <c r="J12" s="13" t="n">
        <f aca="false">2*C12/1000</f>
        <v>0.12</v>
      </c>
      <c r="K12" s="13" t="n">
        <f aca="false">1250*C12/1000</f>
        <v>75</v>
      </c>
      <c r="L12" s="13" t="n">
        <f aca="false">1290*C12/1000</f>
        <v>77.4</v>
      </c>
      <c r="M12" s="13" t="n">
        <f aca="false">36*C12/1000</f>
        <v>2.16</v>
      </c>
    </row>
    <row r="13" customFormat="false" ht="15.75" hidden="false" customHeight="true" outlineLevel="0" collapsed="false">
      <c r="A13" s="15"/>
      <c r="B13" s="11" t="s">
        <v>26</v>
      </c>
      <c r="C13" s="12" t="n">
        <v>30</v>
      </c>
      <c r="D13" s="14" t="n">
        <f aca="false">85*C13/1000</f>
        <v>2.55</v>
      </c>
      <c r="E13" s="14" t="n">
        <f aca="false">33*C13/1000</f>
        <v>0.99</v>
      </c>
      <c r="F13" s="14" t="n">
        <f aca="false">425*C13/1000</f>
        <v>12.75</v>
      </c>
      <c r="G13" s="14" t="n">
        <f aca="false">2590*C13/1000</f>
        <v>77.7</v>
      </c>
      <c r="H13" s="14" t="n">
        <f aca="false">0</f>
        <v>0</v>
      </c>
      <c r="I13" s="14" t="n">
        <f aca="false">4.3*C13/1000</f>
        <v>0.129</v>
      </c>
      <c r="J13" s="14" t="n">
        <f aca="false">4*C13/1000</f>
        <v>0.12</v>
      </c>
      <c r="K13" s="14" t="n">
        <f aca="false">730*C13/1000</f>
        <v>21.9</v>
      </c>
      <c r="L13" s="14" t="n">
        <f aca="false">1250*C13/1000</f>
        <v>37.5</v>
      </c>
      <c r="M13" s="14" t="n">
        <f aca="false">28.3*C13/1000</f>
        <v>0.849</v>
      </c>
    </row>
    <row r="14" customFormat="false" ht="15.75" hidden="false" customHeight="true" outlineLevel="0" collapsed="false">
      <c r="A14" s="15"/>
      <c r="B14" s="16" t="s">
        <v>27</v>
      </c>
      <c r="C14" s="17" t="n">
        <f aca="false">SUM(C8:C13)</f>
        <v>580</v>
      </c>
      <c r="D14" s="18" t="n">
        <f aca="false">SUM(D8:D13)</f>
        <v>23.274</v>
      </c>
      <c r="E14" s="18" t="n">
        <f aca="false">SUM(E8:E13)</f>
        <v>22.334</v>
      </c>
      <c r="F14" s="18" t="n">
        <f aca="false">SUM(F8:F13)</f>
        <v>102.008</v>
      </c>
      <c r="G14" s="18" t="n">
        <f aca="false">SUM(G8:G13)</f>
        <v>726.74</v>
      </c>
      <c r="H14" s="18" t="n">
        <f aca="false">SUM(H8:H13)</f>
        <v>45.92</v>
      </c>
      <c r="I14" s="18" t="n">
        <f aca="false">SUM(I8:I13)</f>
        <v>0.461</v>
      </c>
      <c r="J14" s="18" t="n">
        <f aca="false">SUM(J8:J13)</f>
        <v>6.77</v>
      </c>
      <c r="K14" s="18" t="n">
        <f aca="false">SUM(K8:K13)</f>
        <v>154.208</v>
      </c>
      <c r="L14" s="18" t="n">
        <f aca="false">SUM(L8:L13)</f>
        <v>357.624</v>
      </c>
      <c r="M14" s="18" t="n">
        <f aca="false">SUM(M8:M13)</f>
        <v>4.909</v>
      </c>
    </row>
    <row r="15" customFormat="false" ht="15.75" hidden="false" customHeight="true" outlineLevel="0" collapsed="false">
      <c r="A15" s="15"/>
      <c r="B15" s="19" t="s">
        <v>28</v>
      </c>
      <c r="C15" s="20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customFormat="false" ht="15.75" hidden="false" customHeight="true" outlineLevel="0" collapsed="false">
      <c r="A16" s="10" t="n">
        <v>73</v>
      </c>
      <c r="B16" s="11" t="s">
        <v>29</v>
      </c>
      <c r="C16" s="12" t="n">
        <v>100</v>
      </c>
      <c r="D16" s="13" t="n">
        <f aca="false">14.2*C16/1000</f>
        <v>1.42</v>
      </c>
      <c r="E16" s="13" t="n">
        <f aca="false">60.3*C16/1000</f>
        <v>6.03</v>
      </c>
      <c r="F16" s="13" t="n">
        <f aca="false">62.8*C16/1000</f>
        <v>6.28</v>
      </c>
      <c r="G16" s="13" t="n">
        <f aca="false">850*C16/1000</f>
        <v>85</v>
      </c>
      <c r="H16" s="13" t="n">
        <f aca="false">0*C16/1000</f>
        <v>0</v>
      </c>
      <c r="I16" s="13" t="n">
        <f aca="false">0.3*C16/1000</f>
        <v>0.03</v>
      </c>
      <c r="J16" s="13" t="n">
        <f aca="false">59.5*C16/1000</f>
        <v>5.95</v>
      </c>
      <c r="K16" s="13" t="n">
        <f aca="false">307.2*C16/1000</f>
        <v>30.72</v>
      </c>
      <c r="L16" s="13" t="n">
        <f aca="false">395*C16/1000</f>
        <v>39.5</v>
      </c>
      <c r="M16" s="13" t="n">
        <f aca="false">10.7*C16/1000</f>
        <v>1.07</v>
      </c>
    </row>
    <row r="17" customFormat="false" ht="15.75" hidden="false" customHeight="true" outlineLevel="0" collapsed="false">
      <c r="A17" s="15" t="n">
        <v>88</v>
      </c>
      <c r="B17" s="11" t="s">
        <v>30</v>
      </c>
      <c r="C17" s="12" t="n">
        <v>250</v>
      </c>
      <c r="D17" s="13" t="n">
        <f aca="false">7.1*C17/1000</f>
        <v>1.775</v>
      </c>
      <c r="E17" s="13" t="n">
        <f aca="false">19.8*C17/1000</f>
        <v>4.95</v>
      </c>
      <c r="F17" s="13" t="n">
        <f aca="false">31.6*C17/1000</f>
        <v>7.9</v>
      </c>
      <c r="G17" s="13" t="n">
        <f aca="false">359*C17/1000</f>
        <v>89.75</v>
      </c>
      <c r="H17" s="13" t="n">
        <f aca="false">0*C17/1000</f>
        <v>0</v>
      </c>
      <c r="I17" s="13" t="n">
        <f aca="false">0.2*C17/1000</f>
        <v>0.05</v>
      </c>
      <c r="J17" s="13" t="n">
        <f aca="false">63.1*C17/1000</f>
        <v>15.775</v>
      </c>
      <c r="K17" s="13" t="n">
        <f aca="false">197*C17/1000</f>
        <v>49.25</v>
      </c>
      <c r="L17" s="13" t="n">
        <f aca="false">196*C17/1000</f>
        <v>49</v>
      </c>
      <c r="M17" s="13" t="n">
        <f aca="false">3.3*C17/1000</f>
        <v>0.825</v>
      </c>
    </row>
    <row r="18" customFormat="false" ht="15.75" hidden="false" customHeight="true" outlineLevel="0" collapsed="false">
      <c r="A18" s="10" t="n">
        <v>312</v>
      </c>
      <c r="B18" s="11" t="s">
        <v>31</v>
      </c>
      <c r="C18" s="12" t="n">
        <v>180</v>
      </c>
      <c r="D18" s="13" t="n">
        <f aca="false">20.4*C18/1000</f>
        <v>3.672</v>
      </c>
      <c r="E18" s="13" t="n">
        <f aca="false">32*C18/1000</f>
        <v>5.76</v>
      </c>
      <c r="F18" s="13" t="n">
        <f aca="false">136.3*C18/1000</f>
        <v>24.534</v>
      </c>
      <c r="G18" s="13" t="n">
        <f aca="false">915*C18/1000</f>
        <v>164.7</v>
      </c>
      <c r="H18" s="13" t="n">
        <f aca="false">0</f>
        <v>0</v>
      </c>
      <c r="I18" s="13" t="n">
        <f aca="false">0.9*C18/1000</f>
        <v>0.162</v>
      </c>
      <c r="J18" s="13" t="n">
        <f aca="false">121.1*C18/1000</f>
        <v>21.798</v>
      </c>
      <c r="K18" s="13" t="n">
        <f aca="false">246.5*C18/1000</f>
        <v>44.37</v>
      </c>
      <c r="L18" s="13" t="n">
        <f aca="false">577.3*C18/1000</f>
        <v>103.914</v>
      </c>
      <c r="M18" s="13" t="n">
        <f aca="false">6.7*C18/1000</f>
        <v>1.206</v>
      </c>
    </row>
    <row r="19" customFormat="false" ht="15" hidden="false" customHeight="false" outlineLevel="0" collapsed="false">
      <c r="A19" s="21" t="n">
        <v>295</v>
      </c>
      <c r="B19" s="11" t="s">
        <v>32</v>
      </c>
      <c r="C19" s="12" t="n">
        <v>100</v>
      </c>
      <c r="D19" s="13" t="n">
        <f aca="false">153*C19/1000</f>
        <v>15.3</v>
      </c>
      <c r="E19" s="13" t="n">
        <f aca="false">294*C19/1000</f>
        <v>29.4</v>
      </c>
      <c r="F19" s="13" t="n">
        <f aca="false">154.4*C19/1000</f>
        <v>15.44</v>
      </c>
      <c r="G19" s="13" t="n">
        <f aca="false">3880*C19/1000</f>
        <v>388</v>
      </c>
      <c r="H19" s="13" t="n">
        <f aca="false">914*C19/1000</f>
        <v>91.4</v>
      </c>
      <c r="I19" s="13" t="n">
        <f aca="false">1*C19/1000</f>
        <v>0.1</v>
      </c>
      <c r="J19" s="13" t="n">
        <f aca="false">10.49*C19/1000</f>
        <v>1.049</v>
      </c>
      <c r="K19" s="13" t="n">
        <f aca="false">555.4*C19/1000</f>
        <v>55.54</v>
      </c>
      <c r="L19" s="13" t="n">
        <f aca="false">935.4*C19/1000</f>
        <v>93.54</v>
      </c>
      <c r="M19" s="13" t="n">
        <f aca="false">14.2*C19/1000</f>
        <v>1.42</v>
      </c>
    </row>
    <row r="20" customFormat="false" ht="15.75" hidden="false" customHeight="true" outlineLevel="0" collapsed="false">
      <c r="A20" s="10" t="n">
        <v>359</v>
      </c>
      <c r="B20" s="11" t="s">
        <v>33</v>
      </c>
      <c r="C20" s="12" t="n">
        <v>200</v>
      </c>
      <c r="D20" s="13" t="n">
        <f aca="false">1.6*C20/1000</f>
        <v>0.32</v>
      </c>
      <c r="E20" s="13" t="n">
        <f aca="false">0</f>
        <v>0</v>
      </c>
      <c r="F20" s="13" t="n">
        <f aca="false">197*C20/1000</f>
        <v>39.4</v>
      </c>
      <c r="G20" s="13" t="n">
        <f aca="false">800*C20/1000</f>
        <v>160</v>
      </c>
      <c r="H20" s="13" t="n">
        <f aca="false">0</f>
        <v>0</v>
      </c>
      <c r="I20" s="13" t="n">
        <f aca="false">0.1*C20/1000</f>
        <v>0.02</v>
      </c>
      <c r="J20" s="13" t="n">
        <f aca="false">12*C20/1000</f>
        <v>2.4</v>
      </c>
      <c r="K20" s="13" t="n">
        <f aca="false">112.3*C20/1000</f>
        <v>22.46</v>
      </c>
      <c r="L20" s="13" t="n">
        <f aca="false">92.5*C20/1000</f>
        <v>18.5</v>
      </c>
      <c r="M20" s="13" t="n">
        <f aca="false">0.96*C20/1000</f>
        <v>0.192</v>
      </c>
    </row>
    <row r="21" customFormat="false" ht="15.75" hidden="false" customHeight="true" outlineLevel="0" collapsed="false">
      <c r="A21" s="15"/>
      <c r="B21" s="11" t="s">
        <v>25</v>
      </c>
      <c r="C21" s="12" t="n">
        <v>30</v>
      </c>
      <c r="D21" s="13" t="n">
        <f aca="false">107*C21/1000</f>
        <v>3.21</v>
      </c>
      <c r="E21" s="13" t="n">
        <f aca="false">45*C21/1000</f>
        <v>1.35</v>
      </c>
      <c r="F21" s="13" t="n">
        <f aca="false">435*C21/1000</f>
        <v>13.05</v>
      </c>
      <c r="G21" s="13" t="n">
        <f aca="false">2740*C21/1000</f>
        <v>82.2</v>
      </c>
      <c r="H21" s="13" t="n">
        <f aca="false">0</f>
        <v>0</v>
      </c>
      <c r="I21" s="13" t="n">
        <f aca="false">4.1*C21/1000</f>
        <v>0.123</v>
      </c>
      <c r="J21" s="13" t="n">
        <f aca="false">2*C21/1000</f>
        <v>0.06</v>
      </c>
      <c r="K21" s="13" t="n">
        <f aca="false">1250*C21/1000</f>
        <v>37.5</v>
      </c>
      <c r="L21" s="13" t="n">
        <f aca="false">1290*C21/1000</f>
        <v>38.7</v>
      </c>
      <c r="M21" s="13" t="n">
        <f aca="false">36*C21/1000</f>
        <v>1.08</v>
      </c>
    </row>
    <row r="22" customFormat="false" ht="15.75" hidden="false" customHeight="true" outlineLevel="0" collapsed="false">
      <c r="A22" s="22"/>
      <c r="B22" s="11" t="s">
        <v>26</v>
      </c>
      <c r="C22" s="12" t="n">
        <v>20</v>
      </c>
      <c r="D22" s="14" t="n">
        <f aca="false">85*C22/1000</f>
        <v>1.7</v>
      </c>
      <c r="E22" s="14" t="n">
        <f aca="false">33*C22/1000</f>
        <v>0.66</v>
      </c>
      <c r="F22" s="14" t="n">
        <f aca="false">425*C22/1000</f>
        <v>8.5</v>
      </c>
      <c r="G22" s="14" t="n">
        <f aca="false">2590*C22/1000</f>
        <v>51.8</v>
      </c>
      <c r="H22" s="14" t="n">
        <f aca="false">0</f>
        <v>0</v>
      </c>
      <c r="I22" s="14" t="n">
        <f aca="false">4.3*C22/1000</f>
        <v>0.086</v>
      </c>
      <c r="J22" s="14" t="n">
        <f aca="false">4*C22/1000</f>
        <v>0.08</v>
      </c>
      <c r="K22" s="14" t="n">
        <f aca="false">730*C22/1000</f>
        <v>14.6</v>
      </c>
      <c r="L22" s="14" t="n">
        <f aca="false">1250*C22/1000</f>
        <v>25</v>
      </c>
      <c r="M22" s="14" t="n">
        <f aca="false">28.3*C22/1000</f>
        <v>0.566</v>
      </c>
    </row>
    <row r="23" customFormat="false" ht="15.75" hidden="false" customHeight="true" outlineLevel="0" collapsed="false">
      <c r="A23" s="10" t="n">
        <v>338</v>
      </c>
      <c r="B23" s="11" t="s">
        <v>34</v>
      </c>
      <c r="C23" s="12" t="n">
        <v>100</v>
      </c>
      <c r="D23" s="23" t="n">
        <f aca="false">232*C23/1000</f>
        <v>23.2</v>
      </c>
      <c r="E23" s="23" t="n">
        <f aca="false">295*C23/1000</f>
        <v>29.5</v>
      </c>
      <c r="F23" s="23" t="n">
        <f aca="false">0</f>
        <v>0</v>
      </c>
      <c r="G23" s="23" t="n">
        <f aca="false">3600*C23/1000</f>
        <v>360</v>
      </c>
      <c r="H23" s="23" t="n">
        <f aca="false">2600*C23/1000</f>
        <v>260</v>
      </c>
      <c r="I23" s="23" t="n">
        <f aca="false">0.3*C23/1000</f>
        <v>0.03</v>
      </c>
      <c r="J23" s="23" t="n">
        <f aca="false">7*C23/1000</f>
        <v>0.7</v>
      </c>
      <c r="K23" s="23" t="n">
        <f aca="false">8800*C23/1000</f>
        <v>880</v>
      </c>
      <c r="L23" s="23" t="n">
        <f aca="false">5000*C23/1000</f>
        <v>500</v>
      </c>
      <c r="M23" s="23" t="n">
        <f aca="false">10*C23/1000</f>
        <v>1</v>
      </c>
    </row>
    <row r="24" customFormat="false" ht="15.75" hidden="false" customHeight="true" outlineLevel="0" collapsed="false">
      <c r="A24" s="15"/>
      <c r="B24" s="11"/>
      <c r="C24" s="12"/>
      <c r="D24" s="13" t="n">
        <f aca="false">4*C24/1000</f>
        <v>0</v>
      </c>
      <c r="E24" s="13" t="n">
        <f aca="false">4*C24/1000</f>
        <v>0</v>
      </c>
      <c r="F24" s="13" t="n">
        <f aca="false">98*C24/1000</f>
        <v>0</v>
      </c>
      <c r="G24" s="13" t="n">
        <f aca="false">470*C24/1000</f>
        <v>0</v>
      </c>
      <c r="H24" s="13" t="n">
        <f aca="false">0</f>
        <v>0</v>
      </c>
      <c r="I24" s="13" t="n">
        <f aca="false">0.3*C24/1000</f>
        <v>0</v>
      </c>
      <c r="J24" s="13" t="n">
        <f aca="false">100*C24/1000</f>
        <v>0</v>
      </c>
      <c r="K24" s="13" t="n">
        <f aca="false">160*C24/1000</f>
        <v>0</v>
      </c>
      <c r="L24" s="13" t="n">
        <f aca="false">110*C24/1000</f>
        <v>0</v>
      </c>
      <c r="M24" s="13" t="n">
        <f aca="false">22*C24/1000</f>
        <v>0</v>
      </c>
    </row>
    <row r="25" customFormat="false" ht="15.75" hidden="false" customHeight="true" outlineLevel="0" collapsed="false">
      <c r="A25" s="22"/>
      <c r="B25" s="16" t="s">
        <v>27</v>
      </c>
      <c r="C25" s="17" t="n">
        <f aca="false">SUM(C16:C23)</f>
        <v>980</v>
      </c>
      <c r="D25" s="18" t="n">
        <f aca="false">SUM(D16:D23)</f>
        <v>50.597</v>
      </c>
      <c r="E25" s="18" t="n">
        <f aca="false">SUM(E16:E23)</f>
        <v>77.65</v>
      </c>
      <c r="F25" s="18" t="n">
        <f aca="false">SUM(F16:F23)</f>
        <v>115.104</v>
      </c>
      <c r="G25" s="18" t="n">
        <f aca="false">SUM(G16:G23)</f>
        <v>1381.45</v>
      </c>
      <c r="H25" s="18" t="n">
        <f aca="false">SUM(H16:H23)</f>
        <v>351.4</v>
      </c>
      <c r="I25" s="18" t="n">
        <f aca="false">SUM(I16:I23)</f>
        <v>0.601</v>
      </c>
      <c r="J25" s="18" t="n">
        <f aca="false">SUM(J16:J23)</f>
        <v>47.812</v>
      </c>
      <c r="K25" s="18" t="n">
        <f aca="false">SUM(K16:K23)</f>
        <v>1134.44</v>
      </c>
      <c r="L25" s="18" t="n">
        <f aca="false">SUM(L16:L23)</f>
        <v>868.154</v>
      </c>
      <c r="M25" s="18" t="n">
        <f aca="false">SUM(M16:M23)</f>
        <v>7.359</v>
      </c>
    </row>
    <row r="26" customFormat="false" ht="15.75" hidden="false" customHeight="true" outlineLevel="0" collapsed="false">
      <c r="A26" s="22"/>
      <c r="B26" s="24" t="s">
        <v>35</v>
      </c>
      <c r="C26" s="25" t="n">
        <f aca="false">C14+C25</f>
        <v>1560</v>
      </c>
      <c r="D26" s="26" t="n">
        <f aca="false">D14+D25</f>
        <v>73.871</v>
      </c>
      <c r="E26" s="26" t="n">
        <f aca="false">E14+E25</f>
        <v>99.984</v>
      </c>
      <c r="F26" s="26" t="n">
        <f aca="false">F14+F25</f>
        <v>217.112</v>
      </c>
      <c r="G26" s="26" t="n">
        <f aca="false">G14+G25</f>
        <v>2108.19</v>
      </c>
      <c r="H26" s="26" t="n">
        <f aca="false">H14+H25</f>
        <v>397.32</v>
      </c>
      <c r="I26" s="26" t="n">
        <f aca="false">I14+I25</f>
        <v>1.062</v>
      </c>
      <c r="J26" s="26" t="n">
        <f aca="false">J14+J25</f>
        <v>54.582</v>
      </c>
      <c r="K26" s="26" t="n">
        <f aca="false">K14+K25</f>
        <v>1288.648</v>
      </c>
      <c r="L26" s="26" t="n">
        <f aca="false">L14+L25</f>
        <v>1225.778</v>
      </c>
      <c r="M26" s="26" t="n">
        <f aca="false">M14+M25</f>
        <v>12.268</v>
      </c>
    </row>
    <row r="27" customFormat="false" ht="15.75" hidden="false" customHeight="true" outlineLevel="0" collapsed="false">
      <c r="A27" s="27"/>
      <c r="B27" s="28" t="s">
        <v>36</v>
      </c>
      <c r="C27" s="29" t="n">
        <v>1350</v>
      </c>
      <c r="D27" s="13" t="n">
        <v>49.5</v>
      </c>
      <c r="E27" s="13" t="n">
        <v>50.6</v>
      </c>
      <c r="F27" s="13" t="n">
        <v>210.7</v>
      </c>
      <c r="G27" s="13" t="n">
        <v>1496</v>
      </c>
      <c r="H27" s="13" t="n">
        <v>495</v>
      </c>
      <c r="I27" s="13" t="n">
        <v>0.8</v>
      </c>
      <c r="J27" s="13" t="n">
        <v>38.5</v>
      </c>
      <c r="K27" s="13" t="n">
        <v>660</v>
      </c>
      <c r="L27" s="13" t="n">
        <v>660</v>
      </c>
      <c r="M27" s="13" t="n">
        <v>9.9</v>
      </c>
    </row>
    <row r="28" customFormat="false" ht="15.75" hidden="false" customHeight="true" outlineLevel="0" collapsed="false">
      <c r="A28" s="30"/>
      <c r="B28" s="31"/>
      <c r="C28" s="32"/>
      <c r="D28" s="33"/>
      <c r="E28" s="33"/>
      <c r="F28" s="33"/>
      <c r="G28" s="33"/>
      <c r="H28" s="33"/>
      <c r="I28" s="34"/>
      <c r="J28" s="33"/>
      <c r="K28" s="33"/>
      <c r="L28" s="33"/>
      <c r="M28" s="33"/>
    </row>
    <row r="29" customFormat="false" ht="15.75" hidden="false" customHeight="true" outlineLevel="0" collapsed="false">
      <c r="A29" s="30"/>
      <c r="B29" s="31"/>
      <c r="C29" s="32"/>
      <c r="D29" s="33"/>
      <c r="E29" s="33"/>
      <c r="F29" s="33"/>
      <c r="G29" s="33"/>
      <c r="H29" s="33"/>
      <c r="I29" s="34"/>
      <c r="J29" s="33"/>
      <c r="K29" s="33"/>
      <c r="L29" s="33"/>
      <c r="M29" s="33"/>
    </row>
    <row r="30" customFormat="false" ht="15.75" hidden="false" customHeight="true" outlineLevel="0" collapsed="false">
      <c r="A30" s="30"/>
      <c r="B30" s="31"/>
      <c r="C30" s="32"/>
      <c r="D30" s="33"/>
      <c r="E30" s="33"/>
      <c r="F30" s="33"/>
      <c r="G30" s="33"/>
      <c r="H30" s="33"/>
      <c r="I30" s="34"/>
      <c r="J30" s="33"/>
      <c r="K30" s="33"/>
      <c r="L30" s="33"/>
      <c r="M30" s="33"/>
    </row>
    <row r="31" customFormat="false" ht="15.75" hidden="false" customHeight="true" outlineLevel="0" collapsed="false">
      <c r="A31" s="30"/>
      <c r="B31" s="31"/>
      <c r="C31" s="32"/>
      <c r="D31" s="33"/>
      <c r="E31" s="33"/>
      <c r="F31" s="33"/>
      <c r="G31" s="33"/>
      <c r="H31" s="33"/>
      <c r="I31" s="34"/>
      <c r="J31" s="33"/>
      <c r="K31" s="33"/>
      <c r="L31" s="33"/>
      <c r="M31" s="33"/>
    </row>
    <row r="32" customFormat="false" ht="15.75" hidden="false" customHeight="true" outlineLevel="0" collapsed="false">
      <c r="A32" s="30"/>
      <c r="B32" s="31"/>
      <c r="C32" s="32"/>
      <c r="D32" s="33"/>
      <c r="E32" s="33"/>
      <c r="F32" s="33"/>
      <c r="G32" s="33"/>
      <c r="H32" s="33"/>
      <c r="I32" s="34"/>
      <c r="J32" s="33"/>
      <c r="K32" s="33"/>
      <c r="L32" s="33"/>
      <c r="M32" s="33"/>
    </row>
    <row r="33" customFormat="false" ht="15.75" hidden="false" customHeight="true" outlineLevel="0" collapsed="false">
      <c r="A33" s="30"/>
      <c r="B33" s="31"/>
      <c r="C33" s="32"/>
      <c r="D33" s="33"/>
      <c r="E33" s="33"/>
      <c r="F33" s="33"/>
      <c r="G33" s="33"/>
      <c r="H33" s="33"/>
      <c r="I33" s="34"/>
      <c r="J33" s="33"/>
      <c r="K33" s="33"/>
      <c r="L33" s="33"/>
      <c r="M33" s="33"/>
    </row>
    <row r="34" customFormat="false" ht="15.75" hidden="false" customHeight="true" outlineLevel="0" collapsed="false">
      <c r="A34" s="30"/>
      <c r="B34" s="31"/>
      <c r="C34" s="32"/>
      <c r="D34" s="33"/>
      <c r="E34" s="33"/>
      <c r="F34" s="33"/>
      <c r="G34" s="33"/>
      <c r="H34" s="33"/>
      <c r="I34" s="34"/>
      <c r="J34" s="33"/>
      <c r="K34" s="33"/>
      <c r="L34" s="33"/>
      <c r="M34" s="33"/>
    </row>
    <row r="35" customFormat="false" ht="15.75" hidden="false" customHeight="true" outlineLevel="0" collapsed="false">
      <c r="A35" s="30"/>
      <c r="B35" s="31"/>
      <c r="C35" s="32"/>
      <c r="D35" s="33"/>
      <c r="E35" s="33"/>
      <c r="F35" s="33"/>
      <c r="G35" s="33"/>
      <c r="H35" s="33"/>
      <c r="I35" s="34"/>
      <c r="J35" s="33"/>
      <c r="K35" s="33"/>
      <c r="L35" s="33"/>
      <c r="M35" s="33"/>
    </row>
    <row r="36" customFormat="false" ht="15" hidden="false" customHeight="false" outlineLevel="0" collapsed="false"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customFormat="false" ht="15" hidden="false" customHeight="false" outlineLevel="0" collapsed="false">
      <c r="A37" s="2" t="s">
        <v>37</v>
      </c>
      <c r="B37" s="2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customFormat="false" ht="15" hidden="false" customHeight="false" outlineLevel="0" collapsed="false">
      <c r="A38" s="2" t="s">
        <v>1</v>
      </c>
      <c r="B38" s="2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customFormat="false" ht="15.75" hidden="false" customHeight="false" outlineLevel="0" collapsed="false">
      <c r="A39" s="3" t="s">
        <v>2</v>
      </c>
      <c r="B39" s="3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customFormat="false" ht="15" hidden="false" customHeight="true" outlineLevel="0" collapsed="false">
      <c r="A40" s="4" t="s">
        <v>3</v>
      </c>
      <c r="B40" s="4" t="s">
        <v>4</v>
      </c>
      <c r="C40" s="4" t="s">
        <v>5</v>
      </c>
      <c r="D40" s="36" t="s">
        <v>6</v>
      </c>
      <c r="E40" s="36"/>
      <c r="F40" s="36"/>
      <c r="G40" s="37" t="s">
        <v>7</v>
      </c>
      <c r="H40" s="37" t="s">
        <v>8</v>
      </c>
      <c r="I40" s="37"/>
      <c r="J40" s="37"/>
      <c r="K40" s="37" t="s">
        <v>9</v>
      </c>
      <c r="L40" s="37"/>
      <c r="M40" s="37"/>
    </row>
    <row r="41" customFormat="false" ht="15.75" hidden="false" customHeight="true" outlineLevel="0" collapsed="false">
      <c r="A41" s="4"/>
      <c r="B41" s="4"/>
      <c r="C41" s="4"/>
      <c r="D41" s="38" t="s">
        <v>10</v>
      </c>
      <c r="E41" s="38"/>
      <c r="F41" s="38"/>
      <c r="G41" s="37"/>
      <c r="H41" s="37"/>
      <c r="I41" s="37"/>
      <c r="J41" s="37"/>
      <c r="K41" s="37"/>
      <c r="L41" s="37"/>
      <c r="M41" s="37"/>
    </row>
    <row r="42" customFormat="false" ht="17.25" hidden="false" customHeight="false" outlineLevel="0" collapsed="false">
      <c r="A42" s="4"/>
      <c r="B42" s="4"/>
      <c r="C42" s="4"/>
      <c r="D42" s="37" t="s">
        <v>11</v>
      </c>
      <c r="E42" s="37" t="s">
        <v>12</v>
      </c>
      <c r="F42" s="37" t="s">
        <v>13</v>
      </c>
      <c r="G42" s="37"/>
      <c r="H42" s="37" t="s">
        <v>14</v>
      </c>
      <c r="I42" s="37" t="s">
        <v>38</v>
      </c>
      <c r="J42" s="37" t="s">
        <v>16</v>
      </c>
      <c r="K42" s="37" t="s">
        <v>17</v>
      </c>
      <c r="L42" s="37" t="s">
        <v>18</v>
      </c>
      <c r="M42" s="37" t="s">
        <v>19</v>
      </c>
    </row>
    <row r="43" customFormat="false" ht="18.75" hidden="false" customHeight="false" outlineLevel="0" collapsed="false">
      <c r="A43" s="7"/>
      <c r="B43" s="8" t="s">
        <v>20</v>
      </c>
      <c r="C43" s="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customFormat="false" ht="15" hidden="false" customHeight="false" outlineLevel="0" collapsed="false">
      <c r="A44" s="10" t="n">
        <v>173</v>
      </c>
      <c r="B44" s="11" t="s">
        <v>39</v>
      </c>
      <c r="C44" s="12" t="n">
        <v>250</v>
      </c>
      <c r="D44" s="13" t="n">
        <f aca="false">43.25*C44/1000</f>
        <v>10.8125</v>
      </c>
      <c r="E44" s="13" t="n">
        <f aca="false">55.3*C44/1000</f>
        <v>13.825</v>
      </c>
      <c r="F44" s="13" t="n">
        <f aca="false">221.6*C44/1000</f>
        <v>55.4</v>
      </c>
      <c r="G44" s="13" t="n">
        <f aca="false">1560*C44/1000</f>
        <v>390</v>
      </c>
      <c r="H44" s="13" t="n">
        <f aca="false">274*C44/1000</f>
        <v>68.5</v>
      </c>
      <c r="I44" s="13" t="n">
        <f aca="false">0.7*C44/1000</f>
        <v>0.175</v>
      </c>
      <c r="J44" s="13" t="n">
        <f aca="false">4.8*C44/1000</f>
        <v>1.2</v>
      </c>
      <c r="K44" s="13" t="n">
        <f aca="false">733.9*C44/1000</f>
        <v>183.475</v>
      </c>
      <c r="L44" s="13" t="n">
        <f aca="false">1106.5*C44/1000</f>
        <v>276.625</v>
      </c>
      <c r="M44" s="13" t="n">
        <f aca="false">11.7*C44/1000</f>
        <v>2.925</v>
      </c>
    </row>
    <row r="45" customFormat="false" ht="15" hidden="false" customHeight="false" outlineLevel="0" collapsed="false">
      <c r="A45" s="10" t="n">
        <v>377</v>
      </c>
      <c r="B45" s="11" t="s">
        <v>23</v>
      </c>
      <c r="C45" s="12" t="n">
        <v>200</v>
      </c>
      <c r="D45" s="13" t="n">
        <f aca="false">0.35*C45/1000</f>
        <v>0.07</v>
      </c>
      <c r="E45" s="13" t="n">
        <f aca="false">0.1*C45/1000</f>
        <v>0.02</v>
      </c>
      <c r="F45" s="13" t="n">
        <f aca="false">75*C45/1000</f>
        <v>15</v>
      </c>
      <c r="G45" s="13" t="n">
        <f aca="false">300*C45/1000</f>
        <v>60</v>
      </c>
      <c r="H45" s="13" t="n">
        <f aca="false">0*C45/1000</f>
        <v>0</v>
      </c>
      <c r="I45" s="13" t="n">
        <f aca="false">0*C45/1000</f>
        <v>0</v>
      </c>
      <c r="J45" s="13" t="n">
        <f aca="false">14.2*C45/1000</f>
        <v>2.84</v>
      </c>
      <c r="K45" s="13" t="n">
        <f aca="false">71*C45/1000</f>
        <v>14.2</v>
      </c>
      <c r="L45" s="13" t="n">
        <f aca="false">14*C45/1000</f>
        <v>2.8</v>
      </c>
      <c r="M45" s="13" t="n">
        <f aca="false">1.4*C45/1000</f>
        <v>0.28</v>
      </c>
    </row>
    <row r="46" customFormat="false" ht="15" hidden="false" customHeight="false" outlineLevel="0" collapsed="false">
      <c r="A46" s="15"/>
      <c r="B46" s="11" t="s">
        <v>25</v>
      </c>
      <c r="C46" s="12" t="n">
        <v>60</v>
      </c>
      <c r="D46" s="13" t="n">
        <f aca="false">107*C46/1000</f>
        <v>6.42</v>
      </c>
      <c r="E46" s="13" t="n">
        <f aca="false">45*C46/1000</f>
        <v>2.7</v>
      </c>
      <c r="F46" s="13" t="n">
        <f aca="false">435*C46/1000</f>
        <v>26.1</v>
      </c>
      <c r="G46" s="13" t="n">
        <f aca="false">2740*C46/1000</f>
        <v>164.4</v>
      </c>
      <c r="H46" s="13" t="n">
        <f aca="false">0</f>
        <v>0</v>
      </c>
      <c r="I46" s="13" t="n">
        <f aca="false">4.1*C46/1000</f>
        <v>0.246</v>
      </c>
      <c r="J46" s="13" t="n">
        <f aca="false">2*C46/1000</f>
        <v>0.12</v>
      </c>
      <c r="K46" s="13" t="n">
        <f aca="false">1250*C46/1000</f>
        <v>75</v>
      </c>
      <c r="L46" s="13" t="n">
        <f aca="false">1290*C46/1000</f>
        <v>77.4</v>
      </c>
      <c r="M46" s="13" t="n">
        <f aca="false">36*C46/1000</f>
        <v>2.16</v>
      </c>
    </row>
    <row r="47" customFormat="false" ht="15" hidden="false" customHeight="false" outlineLevel="0" collapsed="false">
      <c r="A47" s="15"/>
      <c r="B47" s="11" t="s">
        <v>26</v>
      </c>
      <c r="C47" s="12" t="n">
        <v>30</v>
      </c>
      <c r="D47" s="14" t="n">
        <f aca="false">85*C47/1000</f>
        <v>2.55</v>
      </c>
      <c r="E47" s="14" t="n">
        <f aca="false">33*C47/1000</f>
        <v>0.99</v>
      </c>
      <c r="F47" s="14" t="n">
        <f aca="false">425*C47/1000</f>
        <v>12.75</v>
      </c>
      <c r="G47" s="14" t="n">
        <f aca="false">2590*C47/1000</f>
        <v>77.7</v>
      </c>
      <c r="H47" s="14" t="n">
        <f aca="false">0</f>
        <v>0</v>
      </c>
      <c r="I47" s="14" t="n">
        <f aca="false">4.3*C47/1000</f>
        <v>0.129</v>
      </c>
      <c r="J47" s="14" t="n">
        <f aca="false">4*C47/1000</f>
        <v>0.12</v>
      </c>
      <c r="K47" s="14" t="n">
        <f aca="false">730*C47/1000</f>
        <v>21.9</v>
      </c>
      <c r="L47" s="14" t="n">
        <f aca="false">1250*C47/1000</f>
        <v>37.5</v>
      </c>
      <c r="M47" s="14" t="n">
        <f aca="false">28.3*C47/1000</f>
        <v>0.849</v>
      </c>
    </row>
    <row r="48" customFormat="false" ht="15" hidden="false" customHeight="false" outlineLevel="0" collapsed="false">
      <c r="A48" s="15" t="n">
        <v>14</v>
      </c>
      <c r="B48" s="11" t="s">
        <v>24</v>
      </c>
      <c r="C48" s="12" t="n">
        <v>10</v>
      </c>
      <c r="D48" s="14" t="n">
        <f aca="false">8*C48/1000</f>
        <v>0.08</v>
      </c>
      <c r="E48" s="14" t="n">
        <f aca="false">725*C48/1000</f>
        <v>7.25</v>
      </c>
      <c r="F48" s="14" t="n">
        <f aca="false">13*C48/1000</f>
        <v>0.13</v>
      </c>
      <c r="G48" s="14" t="n">
        <f aca="false">6600*C48/1000</f>
        <v>66</v>
      </c>
      <c r="H48" s="14" t="n">
        <f aca="false">4000*C48/1000</f>
        <v>40</v>
      </c>
      <c r="I48" s="14" t="n">
        <f aca="false">0</f>
        <v>0</v>
      </c>
      <c r="J48" s="14" t="n">
        <f aca="false">0</f>
        <v>0</v>
      </c>
      <c r="K48" s="14" t="n">
        <f aca="false">240*C48/1000</f>
        <v>2.4</v>
      </c>
      <c r="L48" s="14" t="n">
        <f aca="false">300*C48/1000</f>
        <v>3</v>
      </c>
      <c r="M48" s="14" t="n">
        <f aca="false">2*C48/1000</f>
        <v>0.02</v>
      </c>
    </row>
    <row r="49" customFormat="false" ht="15" hidden="false" customHeight="false" outlineLevel="0" collapsed="false">
      <c r="A49" s="10"/>
      <c r="B49" s="11" t="s">
        <v>40</v>
      </c>
      <c r="C49" s="12" t="n">
        <v>200</v>
      </c>
      <c r="D49" s="13" t="n">
        <v>8.2</v>
      </c>
      <c r="E49" s="13" t="n">
        <v>3</v>
      </c>
      <c r="F49" s="13" t="n">
        <v>11.8</v>
      </c>
      <c r="G49" s="13" t="n">
        <v>114</v>
      </c>
      <c r="H49" s="13" t="n">
        <v>20</v>
      </c>
      <c r="I49" s="13" t="n">
        <v>0.06</v>
      </c>
      <c r="J49" s="13" t="n">
        <v>1.2</v>
      </c>
      <c r="K49" s="13" t="n">
        <v>248</v>
      </c>
      <c r="L49" s="13" t="n">
        <v>190</v>
      </c>
      <c r="M49" s="13" t="n">
        <v>0.2</v>
      </c>
    </row>
    <row r="50" customFormat="false" ht="15" hidden="false" customHeight="false" outlineLevel="0" collapsed="false">
      <c r="A50" s="10"/>
      <c r="B50" s="11"/>
      <c r="C50" s="11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customFormat="false" ht="15" hidden="false" customHeight="false" outlineLevel="0" collapsed="false">
      <c r="A51" s="10"/>
      <c r="B51" s="16" t="s">
        <v>27</v>
      </c>
      <c r="C51" s="40" t="n">
        <f aca="false">SUM(C44:C50)</f>
        <v>750</v>
      </c>
      <c r="D51" s="18" t="n">
        <f aca="false">SUM(D44:D50)</f>
        <v>28.1325</v>
      </c>
      <c r="E51" s="18" t="n">
        <f aca="false">SUM(E44:E50)</f>
        <v>27.785</v>
      </c>
      <c r="F51" s="18" t="n">
        <f aca="false">SUM(F44:F50)</f>
        <v>121.18</v>
      </c>
      <c r="G51" s="18" t="n">
        <f aca="false">SUM(G44:G50)</f>
        <v>872.1</v>
      </c>
      <c r="H51" s="18" t="n">
        <f aca="false">SUM(H44:H50)</f>
        <v>128.5</v>
      </c>
      <c r="I51" s="18" t="n">
        <f aca="false">SUM(I44:I50)</f>
        <v>0.61</v>
      </c>
      <c r="J51" s="18" t="n">
        <f aca="false">SUM(J44:J50)</f>
        <v>5.48</v>
      </c>
      <c r="K51" s="18" t="n">
        <f aca="false">SUM(K44:K50)</f>
        <v>544.975</v>
      </c>
      <c r="L51" s="18" t="n">
        <f aca="false">SUM(L44:L50)</f>
        <v>587.325</v>
      </c>
      <c r="M51" s="18" t="n">
        <f aca="false">SUM(M44:M50)</f>
        <v>6.434</v>
      </c>
    </row>
    <row r="52" customFormat="false" ht="18.75" hidden="false" customHeight="false" outlineLevel="0" collapsed="false">
      <c r="A52" s="10"/>
      <c r="B52" s="19" t="s">
        <v>28</v>
      </c>
      <c r="C52" s="20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customFormat="false" ht="15" hidden="false" customHeight="false" outlineLevel="0" collapsed="false">
      <c r="A53" s="10" t="n">
        <v>171</v>
      </c>
      <c r="B53" s="11" t="s">
        <v>41</v>
      </c>
      <c r="C53" s="12" t="n">
        <v>180</v>
      </c>
      <c r="D53" s="13" t="n">
        <f aca="false">13.1*C53/1000</f>
        <v>2.358</v>
      </c>
      <c r="E53" s="13" t="n">
        <f aca="false">32.5*C53/1000</f>
        <v>5.85</v>
      </c>
      <c r="F53" s="13" t="n">
        <f aca="false">64.7*C53/1000</f>
        <v>11.646</v>
      </c>
      <c r="G53" s="13" t="n">
        <f aca="false">604*C53/1000</f>
        <v>108.72</v>
      </c>
      <c r="H53" s="13" t="n">
        <f aca="false">0</f>
        <v>0</v>
      </c>
      <c r="I53" s="13" t="n">
        <f aca="false">0.2*C53/1000</f>
        <v>0.036</v>
      </c>
      <c r="J53" s="13" t="n">
        <f aca="false">171*C53/1000</f>
        <v>30.78</v>
      </c>
      <c r="K53" s="13" t="n">
        <f aca="false">249.7*C53/1000</f>
        <v>44.946</v>
      </c>
      <c r="L53" s="13" t="n">
        <f aca="false">283.1*C53/1000</f>
        <v>50.958</v>
      </c>
      <c r="M53" s="13" t="n">
        <f aca="false">4.7*C53/1000</f>
        <v>0.846</v>
      </c>
    </row>
    <row r="54" customFormat="false" ht="15" hidden="false" customHeight="false" outlineLevel="0" collapsed="false">
      <c r="A54" s="10" t="n">
        <v>96</v>
      </c>
      <c r="B54" s="11" t="s">
        <v>42</v>
      </c>
      <c r="C54" s="12" t="n">
        <v>250</v>
      </c>
      <c r="D54" s="13" t="n">
        <f aca="false">8.1*C54/1000</f>
        <v>2.025</v>
      </c>
      <c r="E54" s="13" t="n">
        <f aca="false">20.4*C54/1000</f>
        <v>5.1</v>
      </c>
      <c r="F54" s="13" t="n">
        <f aca="false">47.9*C54/1000</f>
        <v>11.975</v>
      </c>
      <c r="G54" s="13" t="n">
        <f aca="false">429*C54/1000</f>
        <v>107.25</v>
      </c>
      <c r="H54" s="13" t="n">
        <f aca="false">0</f>
        <v>0</v>
      </c>
      <c r="I54" s="13" t="n">
        <f aca="false">0.4*C54/1000</f>
        <v>0.1</v>
      </c>
      <c r="J54" s="13" t="n">
        <f aca="false">33.5*C54/1000</f>
        <v>8.375</v>
      </c>
      <c r="K54" s="13" t="n">
        <f aca="false">116.6*C54/1000</f>
        <v>29.15</v>
      </c>
      <c r="L54" s="13" t="n">
        <f aca="false">226.9*C54/1000</f>
        <v>56.725</v>
      </c>
      <c r="M54" s="13" t="n">
        <f aca="false">3.7*C54/1000</f>
        <v>0.925</v>
      </c>
    </row>
    <row r="55" customFormat="false" ht="15" hidden="false" customHeight="false" outlineLevel="0" collapsed="false">
      <c r="A55" s="10" t="n">
        <v>256</v>
      </c>
      <c r="B55" s="11" t="s">
        <v>43</v>
      </c>
      <c r="C55" s="12" t="n">
        <v>100</v>
      </c>
      <c r="D55" s="13" t="n">
        <f aca="false">90.1*C55/1000</f>
        <v>9.01</v>
      </c>
      <c r="E55" s="13" t="n">
        <f aca="false">44.7*C55/1000</f>
        <v>4.47</v>
      </c>
      <c r="F55" s="13" t="n">
        <f aca="false">182.3*C55/1000</f>
        <v>18.23</v>
      </c>
      <c r="G55" s="13" t="n">
        <f aca="false">1493.3*C55/1000</f>
        <v>149.33</v>
      </c>
      <c r="H55" s="13" t="n">
        <f aca="false">140*C55/1000</f>
        <v>14</v>
      </c>
      <c r="I55" s="13" t="n">
        <f aca="false">0.7*C55/1000</f>
        <v>0.07</v>
      </c>
      <c r="J55" s="13" t="n">
        <f aca="false">32.7*C55/1000</f>
        <v>3.27</v>
      </c>
      <c r="K55" s="13" t="n">
        <f aca="false">180.5*C55/1000</f>
        <v>18.05</v>
      </c>
      <c r="L55" s="13" t="n">
        <f aca="false">946.7*C55/1000</f>
        <v>94.67</v>
      </c>
      <c r="M55" s="13" t="n">
        <f aca="false">9.3*C55/1000</f>
        <v>0.93</v>
      </c>
    </row>
    <row r="56" customFormat="false" ht="15" hidden="false" customHeight="false" outlineLevel="0" collapsed="false">
      <c r="A56" s="10" t="n">
        <v>342</v>
      </c>
      <c r="B56" s="11" t="s">
        <v>44</v>
      </c>
      <c r="C56" s="12" t="n">
        <v>200</v>
      </c>
      <c r="D56" s="14" t="n">
        <v>0.7</v>
      </c>
      <c r="E56" s="14" t="n">
        <v>0</v>
      </c>
      <c r="F56" s="14" t="n">
        <v>15.9</v>
      </c>
      <c r="G56" s="14" t="n">
        <v>100.6</v>
      </c>
      <c r="H56" s="14" t="n">
        <v>20</v>
      </c>
      <c r="I56" s="14" t="n">
        <v>0</v>
      </c>
      <c r="J56" s="14" t="n">
        <v>1.3</v>
      </c>
      <c r="K56" s="14" t="n">
        <v>125.8</v>
      </c>
      <c r="L56" s="14" t="n">
        <v>90</v>
      </c>
      <c r="M56" s="14" t="n">
        <v>0.1</v>
      </c>
    </row>
    <row r="57" customFormat="false" ht="15" hidden="false" customHeight="false" outlineLevel="0" collapsed="false">
      <c r="A57" s="15"/>
      <c r="B57" s="11" t="s">
        <v>25</v>
      </c>
      <c r="C57" s="12" t="n">
        <v>60</v>
      </c>
      <c r="D57" s="13" t="n">
        <f aca="false">107*C57/1000</f>
        <v>6.42</v>
      </c>
      <c r="E57" s="13" t="n">
        <f aca="false">45*C57/1000</f>
        <v>2.7</v>
      </c>
      <c r="F57" s="13" t="n">
        <f aca="false">435*C57/1000</f>
        <v>26.1</v>
      </c>
      <c r="G57" s="13" t="n">
        <f aca="false">2740*C57/1000</f>
        <v>164.4</v>
      </c>
      <c r="H57" s="13" t="n">
        <f aca="false">0</f>
        <v>0</v>
      </c>
      <c r="I57" s="13" t="n">
        <f aca="false">4.1*C57/1000</f>
        <v>0.246</v>
      </c>
      <c r="J57" s="13" t="n">
        <f aca="false">2*C57/1000</f>
        <v>0.12</v>
      </c>
      <c r="K57" s="13" t="n">
        <f aca="false">1250*C57/1000</f>
        <v>75</v>
      </c>
      <c r="L57" s="13" t="n">
        <f aca="false">1290*C57/1000</f>
        <v>77.4</v>
      </c>
      <c r="M57" s="13" t="n">
        <f aca="false">36*C57/1000</f>
        <v>2.16</v>
      </c>
    </row>
    <row r="58" customFormat="false" ht="15" hidden="false" customHeight="false" outlineLevel="0" collapsed="false">
      <c r="A58" s="22"/>
      <c r="B58" s="11" t="s">
        <v>26</v>
      </c>
      <c r="C58" s="12" t="n">
        <v>30</v>
      </c>
      <c r="D58" s="14" t="n">
        <f aca="false">85*C58/1000</f>
        <v>2.55</v>
      </c>
      <c r="E58" s="14" t="n">
        <f aca="false">33*C58/1000</f>
        <v>0.99</v>
      </c>
      <c r="F58" s="14" t="n">
        <f aca="false">425*C58/1000</f>
        <v>12.75</v>
      </c>
      <c r="G58" s="14" t="n">
        <f aca="false">2590*C58/1000</f>
        <v>77.7</v>
      </c>
      <c r="H58" s="14" t="n">
        <f aca="false">0</f>
        <v>0</v>
      </c>
      <c r="I58" s="14" t="n">
        <f aca="false">4.3*C58/1000</f>
        <v>0.129</v>
      </c>
      <c r="J58" s="14" t="n">
        <f aca="false">4*C58/1000</f>
        <v>0.12</v>
      </c>
      <c r="K58" s="14" t="n">
        <f aca="false">730*C58/1000</f>
        <v>21.9</v>
      </c>
      <c r="L58" s="14" t="n">
        <f aca="false">1250*C58/1000</f>
        <v>37.5</v>
      </c>
      <c r="M58" s="14" t="n">
        <f aca="false">28.3*C58/1000</f>
        <v>0.849</v>
      </c>
    </row>
    <row r="59" customFormat="false" ht="15" hidden="false" customHeight="false" outlineLevel="0" collapsed="false">
      <c r="A59" s="10"/>
      <c r="B59" s="11"/>
      <c r="C59" s="11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customFormat="false" ht="15" hidden="false" customHeight="false" outlineLevel="0" collapsed="false">
      <c r="A60" s="21"/>
      <c r="B60" s="16" t="s">
        <v>27</v>
      </c>
      <c r="C60" s="40" t="n">
        <f aca="false">SUM(C53:C59)</f>
        <v>820</v>
      </c>
      <c r="D60" s="18" t="n">
        <f aca="false">SUM(D53:D59)</f>
        <v>23.063</v>
      </c>
      <c r="E60" s="18" t="n">
        <f aca="false">SUM(E53:E59)</f>
        <v>19.11</v>
      </c>
      <c r="F60" s="18" t="n">
        <f aca="false">SUM(F53:F59)</f>
        <v>96.601</v>
      </c>
      <c r="G60" s="18" t="n">
        <f aca="false">SUM(G53:G59)</f>
        <v>708</v>
      </c>
      <c r="H60" s="18" t="n">
        <f aca="false">SUM(H53:H59)</f>
        <v>34</v>
      </c>
      <c r="I60" s="18" t="n">
        <f aca="false">SUM(I53:I59)</f>
        <v>0.581</v>
      </c>
      <c r="J60" s="18" t="n">
        <f aca="false">SUM(J53:J59)</f>
        <v>43.965</v>
      </c>
      <c r="K60" s="18" t="n">
        <f aca="false">SUM(K53:K59)</f>
        <v>314.846</v>
      </c>
      <c r="L60" s="18" t="n">
        <f aca="false">SUM(L53:L59)</f>
        <v>407.253</v>
      </c>
      <c r="M60" s="18" t="n">
        <f aca="false">SUM(M53:M59)</f>
        <v>5.81</v>
      </c>
    </row>
    <row r="61" customFormat="false" ht="18.75" hidden="false" customHeight="true" outlineLevel="0" collapsed="false">
      <c r="A61" s="21"/>
      <c r="B61" s="24" t="s">
        <v>35</v>
      </c>
      <c r="C61" s="41" t="n">
        <f aca="false">C51+C60</f>
        <v>1570</v>
      </c>
      <c r="D61" s="26" t="n">
        <f aca="false">D51+D60</f>
        <v>51.1955</v>
      </c>
      <c r="E61" s="26" t="n">
        <f aca="false">E51+E60</f>
        <v>46.895</v>
      </c>
      <c r="F61" s="26" t="n">
        <f aca="false">F51+F60</f>
        <v>217.781</v>
      </c>
      <c r="G61" s="26" t="n">
        <f aca="false">G51+G60</f>
        <v>1580.1</v>
      </c>
      <c r="H61" s="26" t="n">
        <f aca="false">H51+H60</f>
        <v>162.5</v>
      </c>
      <c r="I61" s="26" t="n">
        <f aca="false">I51+I60</f>
        <v>1.191</v>
      </c>
      <c r="J61" s="26" t="n">
        <f aca="false">J51+J60</f>
        <v>49.445</v>
      </c>
      <c r="K61" s="26" t="n">
        <f aca="false">K51+K60</f>
        <v>859.821</v>
      </c>
      <c r="L61" s="26" t="n">
        <f aca="false">L51+L60</f>
        <v>994.578</v>
      </c>
      <c r="M61" s="26" t="n">
        <f aca="false">M51+M60</f>
        <v>12.244</v>
      </c>
    </row>
    <row r="62" customFormat="false" ht="15.75" hidden="false" customHeight="false" outlineLevel="0" collapsed="false">
      <c r="A62" s="27"/>
      <c r="B62" s="28" t="s">
        <v>36</v>
      </c>
      <c r="C62" s="29" t="n">
        <v>1350</v>
      </c>
      <c r="D62" s="13" t="n">
        <v>49.5</v>
      </c>
      <c r="E62" s="13" t="n">
        <v>50.6</v>
      </c>
      <c r="F62" s="13" t="n">
        <v>210.7</v>
      </c>
      <c r="G62" s="13" t="n">
        <v>1496</v>
      </c>
      <c r="H62" s="13" t="n">
        <v>495</v>
      </c>
      <c r="I62" s="13" t="n">
        <v>0.8</v>
      </c>
      <c r="J62" s="13" t="n">
        <v>38.5</v>
      </c>
      <c r="K62" s="13" t="n">
        <v>660</v>
      </c>
      <c r="L62" s="13" t="n">
        <v>660</v>
      </c>
      <c r="M62" s="13" t="n">
        <v>9.9</v>
      </c>
    </row>
    <row r="63" customFormat="false" ht="15.75" hidden="false" customHeight="false" outlineLevel="0" collapsed="false">
      <c r="A63" s="42"/>
      <c r="B63" s="31"/>
      <c r="C63" s="43"/>
      <c r="D63" s="33"/>
      <c r="E63" s="33"/>
      <c r="F63" s="33"/>
      <c r="G63" s="33"/>
      <c r="H63" s="33"/>
      <c r="I63" s="34"/>
      <c r="J63" s="33"/>
      <c r="K63" s="33"/>
      <c r="L63" s="33"/>
      <c r="M63" s="33"/>
    </row>
    <row r="64" customFormat="false" ht="15.75" hidden="false" customHeight="false" outlineLevel="0" collapsed="false">
      <c r="A64" s="42"/>
      <c r="B64" s="31"/>
      <c r="C64" s="43"/>
      <c r="D64" s="33"/>
      <c r="E64" s="33"/>
      <c r="F64" s="33"/>
      <c r="G64" s="33"/>
      <c r="H64" s="33"/>
      <c r="I64" s="34"/>
      <c r="J64" s="33"/>
      <c r="K64" s="33"/>
      <c r="L64" s="33"/>
      <c r="M64" s="33"/>
    </row>
    <row r="65" customFormat="false" ht="15.75" hidden="false" customHeight="false" outlineLevel="0" collapsed="false">
      <c r="A65" s="42"/>
      <c r="B65" s="31"/>
      <c r="C65" s="43"/>
      <c r="D65" s="33"/>
      <c r="E65" s="33"/>
      <c r="F65" s="33"/>
      <c r="G65" s="33"/>
      <c r="H65" s="33"/>
      <c r="I65" s="34"/>
      <c r="J65" s="33"/>
      <c r="K65" s="33"/>
      <c r="L65" s="33"/>
      <c r="M65" s="33"/>
    </row>
    <row r="66" customFormat="false" ht="15.75" hidden="false" customHeight="false" outlineLevel="0" collapsed="false">
      <c r="A66" s="42"/>
      <c r="B66" s="31"/>
      <c r="C66" s="43"/>
      <c r="D66" s="33"/>
      <c r="E66" s="33"/>
      <c r="F66" s="33"/>
      <c r="G66" s="33"/>
      <c r="H66" s="33"/>
      <c r="I66" s="34"/>
      <c r="J66" s="33"/>
      <c r="K66" s="33"/>
      <c r="L66" s="33"/>
      <c r="M66" s="33"/>
    </row>
    <row r="67" customFormat="false" ht="15.75" hidden="false" customHeight="false" outlineLevel="0" collapsed="false">
      <c r="A67" s="42"/>
      <c r="B67" s="31"/>
      <c r="C67" s="43"/>
      <c r="D67" s="33"/>
      <c r="E67" s="33"/>
      <c r="F67" s="33"/>
      <c r="G67" s="33"/>
      <c r="H67" s="33"/>
      <c r="I67" s="34"/>
      <c r="J67" s="33"/>
      <c r="K67" s="33"/>
      <c r="L67" s="33"/>
      <c r="M67" s="33"/>
    </row>
    <row r="68" customFormat="false" ht="15.75" hidden="false" customHeight="false" outlineLevel="0" collapsed="false">
      <c r="A68" s="42"/>
      <c r="B68" s="31"/>
      <c r="C68" s="43"/>
      <c r="D68" s="33"/>
      <c r="E68" s="33"/>
      <c r="F68" s="33"/>
      <c r="G68" s="33"/>
      <c r="H68" s="33"/>
      <c r="I68" s="34"/>
      <c r="J68" s="33"/>
      <c r="K68" s="33"/>
      <c r="L68" s="33"/>
      <c r="M68" s="33"/>
    </row>
    <row r="69" customFormat="false" ht="15.75" hidden="false" customHeight="false" outlineLevel="0" collapsed="false">
      <c r="A69" s="42"/>
      <c r="B69" s="31"/>
      <c r="C69" s="43"/>
      <c r="D69" s="33"/>
      <c r="E69" s="33"/>
      <c r="F69" s="33"/>
      <c r="G69" s="33"/>
      <c r="H69" s="33"/>
      <c r="I69" s="34"/>
      <c r="J69" s="33"/>
      <c r="K69" s="33"/>
      <c r="L69" s="33"/>
      <c r="M69" s="33"/>
    </row>
    <row r="70" customFormat="false" ht="15.75" hidden="false" customHeight="false" outlineLevel="0" collapsed="false">
      <c r="A70" s="42"/>
      <c r="B70" s="31"/>
      <c r="C70" s="43"/>
      <c r="D70" s="33"/>
      <c r="E70" s="33"/>
      <c r="F70" s="33"/>
      <c r="G70" s="33"/>
      <c r="H70" s="33"/>
      <c r="I70" s="34"/>
      <c r="J70" s="33"/>
      <c r="K70" s="33"/>
      <c r="L70" s="33"/>
      <c r="M70" s="33"/>
    </row>
    <row r="71" customFormat="false" ht="15.75" hidden="false" customHeight="false" outlineLevel="0" collapsed="false">
      <c r="A71" s="42"/>
      <c r="B71" s="31"/>
      <c r="C71" s="43"/>
      <c r="D71" s="33"/>
      <c r="E71" s="33"/>
      <c r="F71" s="33"/>
      <c r="G71" s="33"/>
      <c r="H71" s="33"/>
      <c r="I71" s="34"/>
      <c r="J71" s="33"/>
      <c r="K71" s="33"/>
      <c r="L71" s="33"/>
      <c r="M71" s="33"/>
    </row>
    <row r="72" customFormat="false" ht="15.75" hidden="false" customHeight="false" outlineLevel="0" collapsed="false">
      <c r="A72" s="42"/>
      <c r="B72" s="31"/>
      <c r="C72" s="43"/>
      <c r="D72" s="33"/>
      <c r="E72" s="33"/>
      <c r="F72" s="33"/>
      <c r="G72" s="33"/>
      <c r="H72" s="33"/>
      <c r="I72" s="34"/>
      <c r="J72" s="33"/>
      <c r="K72" s="33"/>
      <c r="L72" s="33"/>
      <c r="M72" s="33"/>
    </row>
    <row r="73" customFormat="false" ht="15.75" hidden="false" customHeight="false" outlineLevel="0" collapsed="false">
      <c r="A73" s="42"/>
      <c r="B73" s="31"/>
      <c r="C73" s="43"/>
      <c r="D73" s="33"/>
      <c r="E73" s="33"/>
      <c r="F73" s="33"/>
      <c r="G73" s="33"/>
      <c r="H73" s="33"/>
      <c r="I73" s="34"/>
      <c r="J73" s="33"/>
      <c r="K73" s="33"/>
      <c r="L73" s="33"/>
      <c r="M73" s="33"/>
    </row>
    <row r="74" customFormat="false" ht="16.25" hidden="false" customHeight="false" outlineLevel="0" collapsed="false">
      <c r="A74" s="2" t="s">
        <v>45</v>
      </c>
      <c r="B74" s="2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customFormat="false" ht="15" hidden="false" customHeight="false" outlineLevel="0" collapsed="false">
      <c r="A75" s="2" t="s">
        <v>1</v>
      </c>
      <c r="B75" s="2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customFormat="false" ht="15.75" hidden="false" customHeight="false" outlineLevel="0" collapsed="false">
      <c r="A76" s="3" t="s">
        <v>2</v>
      </c>
      <c r="B76" s="3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customFormat="false" ht="15" hidden="false" customHeight="true" outlineLevel="0" collapsed="false">
      <c r="A77" s="4" t="s">
        <v>3</v>
      </c>
      <c r="B77" s="4" t="s">
        <v>4</v>
      </c>
      <c r="C77" s="4" t="s">
        <v>5</v>
      </c>
      <c r="D77" s="36" t="s">
        <v>6</v>
      </c>
      <c r="E77" s="36"/>
      <c r="F77" s="36"/>
      <c r="G77" s="37" t="s">
        <v>7</v>
      </c>
      <c r="H77" s="37" t="s">
        <v>8</v>
      </c>
      <c r="I77" s="37"/>
      <c r="J77" s="37"/>
      <c r="K77" s="37" t="s">
        <v>9</v>
      </c>
      <c r="L77" s="37"/>
      <c r="M77" s="37"/>
    </row>
    <row r="78" customFormat="false" ht="15.75" hidden="false" customHeight="true" outlineLevel="0" collapsed="false">
      <c r="A78" s="4"/>
      <c r="B78" s="4"/>
      <c r="C78" s="4"/>
      <c r="D78" s="38" t="s">
        <v>10</v>
      </c>
      <c r="E78" s="38"/>
      <c r="F78" s="38"/>
      <c r="G78" s="37"/>
      <c r="H78" s="37"/>
      <c r="I78" s="37"/>
      <c r="J78" s="37"/>
      <c r="K78" s="37"/>
      <c r="L78" s="37"/>
      <c r="M78" s="37"/>
    </row>
    <row r="79" customFormat="false" ht="17.25" hidden="false" customHeight="false" outlineLevel="0" collapsed="false">
      <c r="A79" s="4"/>
      <c r="B79" s="4"/>
      <c r="C79" s="4"/>
      <c r="D79" s="37" t="s">
        <v>11</v>
      </c>
      <c r="E79" s="37" t="s">
        <v>12</v>
      </c>
      <c r="F79" s="37" t="s">
        <v>13</v>
      </c>
      <c r="G79" s="37"/>
      <c r="H79" s="37" t="s">
        <v>14</v>
      </c>
      <c r="I79" s="37" t="s">
        <v>38</v>
      </c>
      <c r="J79" s="37" t="s">
        <v>16</v>
      </c>
      <c r="K79" s="37" t="s">
        <v>17</v>
      </c>
      <c r="L79" s="37" t="s">
        <v>18</v>
      </c>
      <c r="M79" s="37" t="s">
        <v>19</v>
      </c>
    </row>
    <row r="80" customFormat="false" ht="18.75" hidden="false" customHeight="false" outlineLevel="0" collapsed="false">
      <c r="A80" s="7"/>
      <c r="B80" s="8" t="s">
        <v>20</v>
      </c>
      <c r="C80" s="9"/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customFormat="false" ht="15" hidden="false" customHeight="false" outlineLevel="0" collapsed="false">
      <c r="A81" s="10" t="n">
        <v>223</v>
      </c>
      <c r="B81" s="11" t="s">
        <v>46</v>
      </c>
      <c r="C81" s="12" t="n">
        <v>210</v>
      </c>
      <c r="D81" s="14" t="n">
        <f aca="false">178.48*C81/1000</f>
        <v>37.4808</v>
      </c>
      <c r="E81" s="14" t="n">
        <f aca="false">121.4*C81/1000</f>
        <v>25.494</v>
      </c>
      <c r="F81" s="14" t="n">
        <f aca="false">272.2*C81/1000</f>
        <v>57.162</v>
      </c>
      <c r="G81" s="14" t="n">
        <f aca="false">2880*C81/1000</f>
        <v>604.8</v>
      </c>
      <c r="H81" s="14" t="n">
        <f aca="false">742*C81/1000</f>
        <v>155.82</v>
      </c>
      <c r="I81" s="14" t="n">
        <f aca="false">0.6*C81/1000</f>
        <v>0.126</v>
      </c>
      <c r="J81" s="14" t="n">
        <f aca="false">8*C81/1000</f>
        <v>1.68</v>
      </c>
      <c r="K81" s="14" t="n">
        <f aca="false">1562.8*C81/1000</f>
        <v>328.188</v>
      </c>
      <c r="L81" s="14" t="n">
        <f aca="false">2165*C81/1000</f>
        <v>454.65</v>
      </c>
      <c r="M81" s="14" t="n">
        <f aca="false">11.4*C81/1000</f>
        <v>2.394</v>
      </c>
    </row>
    <row r="82" customFormat="false" ht="15" hidden="false" customHeight="false" outlineLevel="0" collapsed="false">
      <c r="A82" s="10" t="n">
        <v>389</v>
      </c>
      <c r="B82" s="11" t="s">
        <v>23</v>
      </c>
      <c r="C82" s="12" t="n">
        <v>200</v>
      </c>
      <c r="D82" s="13" t="n">
        <v>0.1</v>
      </c>
      <c r="E82" s="13" t="n">
        <v>0</v>
      </c>
      <c r="F82" s="13" t="n">
        <v>15.2</v>
      </c>
      <c r="G82" s="13" t="n">
        <v>62</v>
      </c>
      <c r="H82" s="13" t="n">
        <v>0</v>
      </c>
      <c r="I82" s="13" t="n">
        <v>0</v>
      </c>
      <c r="J82" s="13" t="n">
        <v>2.8</v>
      </c>
      <c r="K82" s="13" t="n">
        <v>14.2</v>
      </c>
      <c r="L82" s="13" t="n">
        <v>4.4</v>
      </c>
      <c r="M82" s="13" t="n">
        <v>0.4</v>
      </c>
    </row>
    <row r="83" customFormat="false" ht="15" hidden="false" customHeight="false" outlineLevel="0" collapsed="false">
      <c r="A83" s="10"/>
      <c r="B83" s="11" t="s">
        <v>25</v>
      </c>
      <c r="C83" s="12" t="n">
        <v>60</v>
      </c>
      <c r="D83" s="13" t="n">
        <f aca="false">107*C83/1000</f>
        <v>6.42</v>
      </c>
      <c r="E83" s="13" t="n">
        <f aca="false">45*C83/1000</f>
        <v>2.7</v>
      </c>
      <c r="F83" s="13" t="n">
        <f aca="false">435*C83/1000</f>
        <v>26.1</v>
      </c>
      <c r="G83" s="13" t="n">
        <f aca="false">2740*C83/1000</f>
        <v>164.4</v>
      </c>
      <c r="H83" s="13" t="n">
        <f aca="false">0</f>
        <v>0</v>
      </c>
      <c r="I83" s="13" t="n">
        <f aca="false">4.1*C83/1000</f>
        <v>0.246</v>
      </c>
      <c r="J83" s="13" t="n">
        <f aca="false">2*C83/1000</f>
        <v>0.12</v>
      </c>
      <c r="K83" s="13" t="n">
        <f aca="false">1250*C83/1000</f>
        <v>75</v>
      </c>
      <c r="L83" s="13" t="n">
        <f aca="false">1290*C83/1000</f>
        <v>77.4</v>
      </c>
      <c r="M83" s="13" t="n">
        <f aca="false">36*C83/1000</f>
        <v>2.16</v>
      </c>
    </row>
    <row r="84" customFormat="false" ht="15" hidden="false" customHeight="false" outlineLevel="0" collapsed="false">
      <c r="A84" s="15"/>
      <c r="B84" s="11" t="s">
        <v>26</v>
      </c>
      <c r="C84" s="12" t="n">
        <v>30</v>
      </c>
      <c r="D84" s="14" t="n">
        <f aca="false">85*C84/1000</f>
        <v>2.55</v>
      </c>
      <c r="E84" s="14" t="n">
        <f aca="false">33*C84/1000</f>
        <v>0.99</v>
      </c>
      <c r="F84" s="14" t="n">
        <f aca="false">425*C84/1000</f>
        <v>12.75</v>
      </c>
      <c r="G84" s="14" t="n">
        <f aca="false">2590*C84/1000</f>
        <v>77.7</v>
      </c>
      <c r="H84" s="14" t="n">
        <f aca="false">0</f>
        <v>0</v>
      </c>
      <c r="I84" s="14" t="n">
        <f aca="false">4.3*C84/1000</f>
        <v>0.129</v>
      </c>
      <c r="J84" s="14" t="n">
        <f aca="false">4*C84/1000</f>
        <v>0.12</v>
      </c>
      <c r="K84" s="14" t="n">
        <f aca="false">730*C84/1000</f>
        <v>21.9</v>
      </c>
      <c r="L84" s="14" t="n">
        <f aca="false">1250*C84/1000</f>
        <v>37.5</v>
      </c>
      <c r="M84" s="14" t="n">
        <f aca="false">28.3*C84/1000</f>
        <v>0.849</v>
      </c>
    </row>
    <row r="85" customFormat="false" ht="15" hidden="false" customHeight="false" outlineLevel="0" collapsed="false">
      <c r="A85" s="15" t="n">
        <v>338</v>
      </c>
      <c r="B85" s="11" t="s">
        <v>47</v>
      </c>
      <c r="C85" s="12" t="n">
        <v>100</v>
      </c>
      <c r="D85" s="13" t="n">
        <f aca="false">4*C85/1000</f>
        <v>0.4</v>
      </c>
      <c r="E85" s="13" t="n">
        <f aca="false">4*C85/1000</f>
        <v>0.4</v>
      </c>
      <c r="F85" s="13" t="n">
        <f aca="false">98*C85/1000</f>
        <v>9.8</v>
      </c>
      <c r="G85" s="13" t="n">
        <f aca="false">470*C85/1000</f>
        <v>47</v>
      </c>
      <c r="H85" s="13" t="n">
        <f aca="false">0</f>
        <v>0</v>
      </c>
      <c r="I85" s="13" t="n">
        <f aca="false">0.3*C85/1000</f>
        <v>0.03</v>
      </c>
      <c r="J85" s="13" t="n">
        <f aca="false">100*C85/1000</f>
        <v>10</v>
      </c>
      <c r="K85" s="13" t="n">
        <f aca="false">160*C85/1000</f>
        <v>16</v>
      </c>
      <c r="L85" s="13" t="n">
        <f aca="false">110*C85/1000</f>
        <v>11</v>
      </c>
      <c r="M85" s="13" t="n">
        <f aca="false">22*C85/1000</f>
        <v>2.2</v>
      </c>
    </row>
    <row r="86" customFormat="false" ht="15" hidden="false" customHeight="false" outlineLevel="0" collapsed="false">
      <c r="A86" s="10"/>
      <c r="B86" s="16" t="s">
        <v>27</v>
      </c>
      <c r="C86" s="17" t="n">
        <f aca="false">SUM(C81:C85)</f>
        <v>600</v>
      </c>
      <c r="D86" s="18" t="n">
        <f aca="false">SUM(D81:D85)</f>
        <v>46.9508</v>
      </c>
      <c r="E86" s="18" t="n">
        <f aca="false">SUM(E81:E85)</f>
        <v>29.584</v>
      </c>
      <c r="F86" s="18" t="n">
        <f aca="false">SUM(F81:F85)</f>
        <v>121.012</v>
      </c>
      <c r="G86" s="18" t="n">
        <f aca="false">SUM(G81:G85)</f>
        <v>955.9</v>
      </c>
      <c r="H86" s="18" t="n">
        <f aca="false">SUM(H81:H85)</f>
        <v>155.82</v>
      </c>
      <c r="I86" s="18" t="n">
        <f aca="false">SUM(I81:I85)</f>
        <v>0.531</v>
      </c>
      <c r="J86" s="18" t="n">
        <f aca="false">SUM(J81:J85)</f>
        <v>14.72</v>
      </c>
      <c r="K86" s="18" t="n">
        <f aca="false">SUM(K81:K85)</f>
        <v>455.288</v>
      </c>
      <c r="L86" s="18" t="n">
        <f aca="false">SUM(L81:L85)</f>
        <v>584.95</v>
      </c>
      <c r="M86" s="18" t="n">
        <f aca="false">SUM(M81:M85)</f>
        <v>8.003</v>
      </c>
    </row>
    <row r="87" customFormat="false" ht="18.75" hidden="false" customHeight="false" outlineLevel="0" collapsed="false">
      <c r="A87" s="10"/>
      <c r="B87" s="19" t="s">
        <v>28</v>
      </c>
      <c r="C87" s="20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customFormat="false" ht="15" hidden="false" customHeight="false" outlineLevel="0" collapsed="false">
      <c r="A88" s="10" t="n">
        <v>73</v>
      </c>
      <c r="B88" s="11" t="s">
        <v>29</v>
      </c>
      <c r="C88" s="12" t="n">
        <v>100</v>
      </c>
      <c r="D88" s="13" t="n">
        <f aca="false">14*C88/1000</f>
        <v>1.4</v>
      </c>
      <c r="E88" s="13" t="n">
        <v>3.6</v>
      </c>
      <c r="F88" s="13" t="n">
        <v>6.7</v>
      </c>
      <c r="G88" s="13" t="n">
        <v>62.3</v>
      </c>
      <c r="H88" s="13" t="n">
        <f aca="false">0*C88/1000</f>
        <v>0</v>
      </c>
      <c r="I88" s="13" t="n">
        <f aca="false">0.44*C88/1000</f>
        <v>0.044</v>
      </c>
      <c r="J88" s="13" t="n">
        <v>3.9</v>
      </c>
      <c r="K88" s="13" t="n">
        <f aca="false">312.4*C88/1000</f>
        <v>31.24</v>
      </c>
      <c r="L88" s="13" t="n">
        <v>19.1</v>
      </c>
      <c r="M88" s="13" t="n">
        <v>0.9</v>
      </c>
    </row>
    <row r="89" customFormat="false" ht="15" hidden="false" customHeight="false" outlineLevel="0" collapsed="false">
      <c r="A89" s="10" t="n">
        <v>82</v>
      </c>
      <c r="B89" s="11" t="s">
        <v>48</v>
      </c>
      <c r="C89" s="12" t="n">
        <v>250</v>
      </c>
      <c r="D89" s="13" t="n">
        <f aca="false">7.21*C89/1000</f>
        <v>1.8025</v>
      </c>
      <c r="E89" s="13" t="n">
        <f aca="false">19.7*C89/1000</f>
        <v>4.925</v>
      </c>
      <c r="F89" s="13" t="n">
        <f aca="false">43.7*C89/1000</f>
        <v>10.925</v>
      </c>
      <c r="G89" s="13" t="n">
        <f aca="false">415*C89/1000</f>
        <v>103.75</v>
      </c>
      <c r="H89" s="13" t="n">
        <f aca="false">0*C89/1000</f>
        <v>0</v>
      </c>
      <c r="I89" s="13" t="n">
        <f aca="false">0.2*C89/1000</f>
        <v>0.05</v>
      </c>
      <c r="J89" s="13" t="n">
        <f aca="false">42.7*C89/1000</f>
        <v>10.675</v>
      </c>
      <c r="K89" s="13" t="n">
        <f aca="false">198.9*C89/1000</f>
        <v>49.725</v>
      </c>
      <c r="L89" s="13" t="n">
        <f aca="false">218.4*C89/1000</f>
        <v>54.6</v>
      </c>
      <c r="M89" s="13" t="n">
        <f aca="false">4.9*C89/1000</f>
        <v>1.225</v>
      </c>
    </row>
    <row r="90" customFormat="false" ht="15" hidden="false" customHeight="false" outlineLevel="0" collapsed="false">
      <c r="A90" s="10" t="n">
        <v>302</v>
      </c>
      <c r="B90" s="11" t="s">
        <v>49</v>
      </c>
      <c r="C90" s="12" t="n">
        <v>180</v>
      </c>
      <c r="D90" s="13" t="n">
        <f aca="false">57.32*C90/1000</f>
        <v>10.3176</v>
      </c>
      <c r="E90" s="13" t="n">
        <f aca="false">40.62*C90/1000</f>
        <v>7.3116</v>
      </c>
      <c r="F90" s="13" t="n">
        <f aca="false">257.6*C90/1000</f>
        <v>46.368</v>
      </c>
      <c r="G90" s="13" t="n">
        <f aca="false">1625*C90/1000</f>
        <v>292.5</v>
      </c>
      <c r="H90" s="13" t="n">
        <f aca="false">0</f>
        <v>0</v>
      </c>
      <c r="I90" s="13" t="n">
        <f aca="false">1.4*C90/1000</f>
        <v>0.252</v>
      </c>
      <c r="J90" s="13" t="n">
        <f aca="false">0</f>
        <v>0</v>
      </c>
      <c r="K90" s="13" t="n">
        <f aca="false">98.8*C90/1000</f>
        <v>17.784</v>
      </c>
      <c r="L90" s="13" t="n">
        <f aca="false">1359.5*C90/1000</f>
        <v>244.71</v>
      </c>
      <c r="M90" s="13" t="n">
        <f aca="false">30.4*C90/1000</f>
        <v>5.472</v>
      </c>
    </row>
    <row r="91" customFormat="false" ht="15" hidden="false" customHeight="false" outlineLevel="0" collapsed="false">
      <c r="A91" s="10" t="n">
        <v>268</v>
      </c>
      <c r="B91" s="11" t="s">
        <v>50</v>
      </c>
      <c r="C91" s="12" t="n">
        <v>100</v>
      </c>
      <c r="D91" s="13" t="n">
        <f aca="false">129*C91/1000</f>
        <v>12.9</v>
      </c>
      <c r="E91" s="13" t="n">
        <f aca="false">334.2*C91/1000</f>
        <v>33.42</v>
      </c>
      <c r="F91" s="13" t="n">
        <f aca="false">132.2*C91/1000</f>
        <v>13.22</v>
      </c>
      <c r="G91" s="13" t="n">
        <f aca="false">4080*C91/1000</f>
        <v>408</v>
      </c>
      <c r="H91" s="13" t="n">
        <f aca="false">400*C91/1000</f>
        <v>40</v>
      </c>
      <c r="I91" s="13" t="n">
        <f aca="false">3.6*C91/1000</f>
        <v>0.36</v>
      </c>
      <c r="J91" s="13" t="n">
        <f aca="false">42.8*C91/1000</f>
        <v>4.28</v>
      </c>
      <c r="K91" s="13" t="n">
        <f aca="false">115*C91/1000</f>
        <v>11.5</v>
      </c>
      <c r="L91" s="13" t="n">
        <f aca="false">1541.6*C91/1000</f>
        <v>154.16</v>
      </c>
      <c r="M91" s="13" t="n">
        <f aca="false">32*C91/1000</f>
        <v>3.2</v>
      </c>
    </row>
    <row r="92" customFormat="false" ht="15" hidden="false" customHeight="false" outlineLevel="0" collapsed="false">
      <c r="A92" s="10" t="n">
        <v>377</v>
      </c>
      <c r="B92" s="11" t="s">
        <v>51</v>
      </c>
      <c r="C92" s="12" t="n">
        <v>200</v>
      </c>
      <c r="D92" s="13" t="n">
        <f aca="false">7.6*C92/1000</f>
        <v>1.52</v>
      </c>
      <c r="E92" s="13" t="n">
        <f aca="false">6.8*C92/1000</f>
        <v>1.36</v>
      </c>
      <c r="F92" s="13" t="n">
        <f aca="false">79.5*C92/1000</f>
        <v>15.9</v>
      </c>
      <c r="G92" s="13" t="n">
        <f aca="false">405*C92/1000</f>
        <v>81</v>
      </c>
      <c r="H92" s="13" t="n">
        <f aca="false">50*C92/1000</f>
        <v>10</v>
      </c>
      <c r="I92" s="13" t="n">
        <f aca="false">0.2*C92/1000</f>
        <v>0.04</v>
      </c>
      <c r="J92" s="13" t="n">
        <f aca="false">6.7*C92/1000</f>
        <v>1.34</v>
      </c>
      <c r="K92" s="13" t="n">
        <f aca="false">633*C92/1000</f>
        <v>126.6</v>
      </c>
      <c r="L92" s="13" t="n">
        <f aca="false">464*C92/1000</f>
        <v>92.8</v>
      </c>
      <c r="M92" s="13" t="n">
        <f aca="false">2.1*C92/1000</f>
        <v>0.42</v>
      </c>
    </row>
    <row r="93" customFormat="false" ht="15" hidden="false" customHeight="false" outlineLevel="0" collapsed="false">
      <c r="A93" s="15"/>
      <c r="B93" s="11" t="s">
        <v>25</v>
      </c>
      <c r="C93" s="12" t="n">
        <v>30</v>
      </c>
      <c r="D93" s="13" t="n">
        <f aca="false">107*C93/1000</f>
        <v>3.21</v>
      </c>
      <c r="E93" s="13" t="n">
        <f aca="false">45*C93/1000</f>
        <v>1.35</v>
      </c>
      <c r="F93" s="13" t="n">
        <f aca="false">435*C93/1000</f>
        <v>13.05</v>
      </c>
      <c r="G93" s="13" t="n">
        <f aca="false">2740*C93/1000</f>
        <v>82.2</v>
      </c>
      <c r="H93" s="13" t="n">
        <f aca="false">0</f>
        <v>0</v>
      </c>
      <c r="I93" s="13" t="n">
        <f aca="false">4.1*C93/1000</f>
        <v>0.123</v>
      </c>
      <c r="J93" s="13" t="n">
        <f aca="false">2*C93/1000</f>
        <v>0.06</v>
      </c>
      <c r="K93" s="13" t="n">
        <f aca="false">1250*C93/1000</f>
        <v>37.5</v>
      </c>
      <c r="L93" s="13" t="n">
        <f aca="false">1290*C93/1000</f>
        <v>38.7</v>
      </c>
      <c r="M93" s="13" t="n">
        <f aca="false">36*C93/1000</f>
        <v>1.08</v>
      </c>
    </row>
    <row r="94" customFormat="false" ht="15" hidden="false" customHeight="false" outlineLevel="0" collapsed="false">
      <c r="A94" s="22"/>
      <c r="B94" s="11" t="s">
        <v>26</v>
      </c>
      <c r="C94" s="12" t="n">
        <v>30</v>
      </c>
      <c r="D94" s="14" t="n">
        <f aca="false">85*C94/1000</f>
        <v>2.55</v>
      </c>
      <c r="E94" s="14" t="n">
        <f aca="false">33*C94/1000</f>
        <v>0.99</v>
      </c>
      <c r="F94" s="14" t="n">
        <f aca="false">425*C94/1000</f>
        <v>12.75</v>
      </c>
      <c r="G94" s="14" t="n">
        <f aca="false">2590*C94/1000</f>
        <v>77.7</v>
      </c>
      <c r="H94" s="14" t="n">
        <f aca="false">0</f>
        <v>0</v>
      </c>
      <c r="I94" s="14" t="n">
        <f aca="false">4.3*C94/1000</f>
        <v>0.129</v>
      </c>
      <c r="J94" s="14" t="n">
        <f aca="false">4*C94/1000</f>
        <v>0.12</v>
      </c>
      <c r="K94" s="14" t="n">
        <f aca="false">730*C94/1000</f>
        <v>21.9</v>
      </c>
      <c r="L94" s="14" t="n">
        <f aca="false">1250*C94/1000</f>
        <v>37.5</v>
      </c>
      <c r="M94" s="14" t="n">
        <f aca="false">28.3*C94/1000</f>
        <v>0.849</v>
      </c>
    </row>
    <row r="95" customFormat="false" ht="15" hidden="false" customHeight="false" outlineLevel="0" collapsed="false">
      <c r="A95" s="15" t="n">
        <v>338</v>
      </c>
      <c r="B95" s="11" t="s">
        <v>52</v>
      </c>
      <c r="C95" s="12" t="n">
        <v>100</v>
      </c>
      <c r="D95" s="13" t="n">
        <f aca="false">4*C95/1000</f>
        <v>0.4</v>
      </c>
      <c r="E95" s="13" t="n">
        <f aca="false">4*C95/1000</f>
        <v>0.4</v>
      </c>
      <c r="F95" s="13" t="n">
        <f aca="false">98*C95/1000</f>
        <v>9.8</v>
      </c>
      <c r="G95" s="13" t="n">
        <f aca="false">470*C95/1000</f>
        <v>47</v>
      </c>
      <c r="H95" s="13" t="n">
        <f aca="false">0</f>
        <v>0</v>
      </c>
      <c r="I95" s="13" t="n">
        <f aca="false">0.3*C95/1000</f>
        <v>0.03</v>
      </c>
      <c r="J95" s="13" t="n">
        <f aca="false">100*C95/1000</f>
        <v>10</v>
      </c>
      <c r="K95" s="13" t="n">
        <f aca="false">160*C95/1000</f>
        <v>16</v>
      </c>
      <c r="L95" s="13" t="n">
        <f aca="false">110*C95/1000</f>
        <v>11</v>
      </c>
      <c r="M95" s="13" t="n">
        <f aca="false">22*C95/1000</f>
        <v>2.2</v>
      </c>
    </row>
    <row r="96" customFormat="false" ht="15" hidden="false" customHeight="false" outlineLevel="0" collapsed="false">
      <c r="A96" s="21"/>
      <c r="B96" s="11"/>
      <c r="C96" s="11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customFormat="false" ht="18" hidden="false" customHeight="true" outlineLevel="0" collapsed="false">
      <c r="A97" s="21"/>
      <c r="B97" s="16" t="s">
        <v>27</v>
      </c>
      <c r="C97" s="40" t="n">
        <f aca="false">SUM(C88:C96)</f>
        <v>990</v>
      </c>
      <c r="D97" s="18" t="n">
        <f aca="false">SUM(D88:D96)</f>
        <v>34.1001</v>
      </c>
      <c r="E97" s="18" t="n">
        <f aca="false">SUM(E88:E96)</f>
        <v>53.3566</v>
      </c>
      <c r="F97" s="18" t="n">
        <f aca="false">SUM(F88:F96)</f>
        <v>128.713</v>
      </c>
      <c r="G97" s="18" t="n">
        <f aca="false">SUM(G88:G96)</f>
        <v>1154.45</v>
      </c>
      <c r="H97" s="18" t="n">
        <f aca="false">SUM(H88:H96)</f>
        <v>50</v>
      </c>
      <c r="I97" s="18" t="n">
        <f aca="false">SUM(I88:I96)</f>
        <v>1.028</v>
      </c>
      <c r="J97" s="18" t="n">
        <f aca="false">SUM(J88:J96)</f>
        <v>30.375</v>
      </c>
      <c r="K97" s="18" t="n">
        <f aca="false">SUM(K88:K96)</f>
        <v>312.249</v>
      </c>
      <c r="L97" s="18" t="n">
        <f aca="false">SUM(L88:L96)</f>
        <v>652.57</v>
      </c>
      <c r="M97" s="18" t="n">
        <f aca="false">SUM(M88:M96)</f>
        <v>15.346</v>
      </c>
    </row>
    <row r="98" customFormat="false" ht="18.75" hidden="false" customHeight="false" outlineLevel="0" collapsed="false">
      <c r="A98" s="21"/>
      <c r="B98" s="24" t="s">
        <v>35</v>
      </c>
      <c r="C98" s="41" t="n">
        <f aca="false">C86+C97</f>
        <v>1590</v>
      </c>
      <c r="D98" s="26" t="n">
        <f aca="false">D86+D97</f>
        <v>81.0509</v>
      </c>
      <c r="E98" s="26" t="n">
        <f aca="false">E86+E97</f>
        <v>82.9406</v>
      </c>
      <c r="F98" s="26" t="n">
        <f aca="false">F86+F97</f>
        <v>249.725</v>
      </c>
      <c r="G98" s="26" t="n">
        <f aca="false">G86+G97</f>
        <v>2110.35</v>
      </c>
      <c r="H98" s="26" t="n">
        <f aca="false">H86+H97</f>
        <v>205.82</v>
      </c>
      <c r="I98" s="26" t="n">
        <f aca="false">I86+I97</f>
        <v>1.559</v>
      </c>
      <c r="J98" s="26" t="n">
        <f aca="false">J86+J97</f>
        <v>45.095</v>
      </c>
      <c r="K98" s="26" t="n">
        <f aca="false">K86+K97</f>
        <v>767.537</v>
      </c>
      <c r="L98" s="26" t="n">
        <f aca="false">L86+L97</f>
        <v>1237.52</v>
      </c>
      <c r="M98" s="26" t="n">
        <f aca="false">M86+M97</f>
        <v>23.349</v>
      </c>
    </row>
    <row r="99" customFormat="false" ht="15.75" hidden="false" customHeight="false" outlineLevel="0" collapsed="false">
      <c r="A99" s="27"/>
      <c r="B99" s="28" t="s">
        <v>36</v>
      </c>
      <c r="C99" s="29" t="n">
        <v>1350</v>
      </c>
      <c r="D99" s="13" t="n">
        <v>49.5</v>
      </c>
      <c r="E99" s="13" t="n">
        <v>50.6</v>
      </c>
      <c r="F99" s="13" t="n">
        <v>210.7</v>
      </c>
      <c r="G99" s="13" t="n">
        <v>1496</v>
      </c>
      <c r="H99" s="13" t="n">
        <v>495</v>
      </c>
      <c r="I99" s="13" t="n">
        <v>0.8</v>
      </c>
      <c r="J99" s="13" t="n">
        <v>38.5</v>
      </c>
      <c r="K99" s="13" t="n">
        <v>660</v>
      </c>
      <c r="L99" s="13" t="n">
        <v>660</v>
      </c>
      <c r="M99" s="13" t="n">
        <v>9.9</v>
      </c>
    </row>
    <row r="100" customFormat="false" ht="15.75" hidden="false" customHeight="false" outlineLevel="0" collapsed="false">
      <c r="A100" s="42"/>
      <c r="B100" s="31"/>
      <c r="C100" s="43"/>
      <c r="D100" s="33"/>
      <c r="E100" s="33"/>
      <c r="F100" s="33"/>
      <c r="G100" s="33"/>
      <c r="H100" s="33"/>
      <c r="I100" s="34"/>
      <c r="J100" s="33"/>
      <c r="K100" s="33"/>
      <c r="L100" s="33"/>
      <c r="M100" s="33"/>
    </row>
    <row r="101" customFormat="false" ht="15.75" hidden="false" customHeight="false" outlineLevel="0" collapsed="false">
      <c r="A101" s="42"/>
      <c r="B101" s="31"/>
      <c r="C101" s="43"/>
      <c r="D101" s="33"/>
      <c r="E101" s="33"/>
      <c r="F101" s="33"/>
      <c r="G101" s="33"/>
      <c r="H101" s="33"/>
      <c r="I101" s="34"/>
      <c r="J101" s="33"/>
      <c r="K101" s="33"/>
      <c r="L101" s="33"/>
      <c r="M101" s="33"/>
    </row>
    <row r="102" customFormat="false" ht="15.75" hidden="false" customHeight="false" outlineLevel="0" collapsed="false">
      <c r="A102" s="42"/>
      <c r="B102" s="31"/>
      <c r="C102" s="43"/>
      <c r="D102" s="33"/>
      <c r="E102" s="33"/>
      <c r="F102" s="33"/>
      <c r="G102" s="33"/>
      <c r="H102" s="33"/>
      <c r="I102" s="34"/>
      <c r="J102" s="33"/>
      <c r="K102" s="33"/>
      <c r="L102" s="33"/>
      <c r="M102" s="33"/>
    </row>
    <row r="103" customFormat="false" ht="15.75" hidden="false" customHeight="false" outlineLevel="0" collapsed="false">
      <c r="A103" s="42"/>
      <c r="B103" s="31"/>
      <c r="C103" s="43"/>
      <c r="D103" s="33"/>
      <c r="E103" s="33"/>
      <c r="F103" s="33"/>
      <c r="G103" s="33"/>
      <c r="H103" s="33"/>
      <c r="I103" s="34"/>
      <c r="J103" s="33"/>
      <c r="K103" s="33"/>
      <c r="L103" s="33"/>
      <c r="M103" s="33"/>
    </row>
    <row r="104" customFormat="false" ht="15.75" hidden="false" customHeight="false" outlineLevel="0" collapsed="false">
      <c r="A104" s="42"/>
      <c r="B104" s="31"/>
      <c r="C104" s="43"/>
      <c r="D104" s="33"/>
      <c r="E104" s="33"/>
      <c r="F104" s="33"/>
      <c r="G104" s="33"/>
      <c r="H104" s="33"/>
      <c r="I104" s="34"/>
      <c r="J104" s="33"/>
      <c r="K104" s="33"/>
      <c r="L104" s="33"/>
      <c r="M104" s="33"/>
    </row>
    <row r="105" customFormat="false" ht="15.75" hidden="false" customHeight="false" outlineLevel="0" collapsed="false">
      <c r="A105" s="42"/>
      <c r="B105" s="31"/>
      <c r="C105" s="43"/>
      <c r="D105" s="33"/>
      <c r="E105" s="33"/>
      <c r="F105" s="33"/>
      <c r="G105" s="33"/>
      <c r="H105" s="33"/>
      <c r="I105" s="34"/>
      <c r="J105" s="33"/>
      <c r="K105" s="33"/>
      <c r="L105" s="33"/>
      <c r="M105" s="33"/>
    </row>
    <row r="106" customFormat="false" ht="15.75" hidden="false" customHeight="false" outlineLevel="0" collapsed="false">
      <c r="A106" s="42"/>
      <c r="B106" s="31"/>
      <c r="C106" s="43"/>
      <c r="D106" s="33"/>
      <c r="E106" s="33"/>
      <c r="F106" s="33"/>
      <c r="G106" s="33"/>
      <c r="H106" s="33"/>
      <c r="I106" s="34"/>
      <c r="J106" s="33"/>
      <c r="K106" s="33"/>
      <c r="L106" s="33"/>
      <c r="M106" s="33"/>
    </row>
    <row r="107" customFormat="false" ht="15.75" hidden="false" customHeight="false" outlineLevel="0" collapsed="false">
      <c r="A107" s="42"/>
      <c r="B107" s="31"/>
      <c r="C107" s="43"/>
      <c r="D107" s="33"/>
      <c r="E107" s="33"/>
      <c r="F107" s="33"/>
      <c r="G107" s="33"/>
      <c r="H107" s="33"/>
      <c r="I107" s="34"/>
      <c r="J107" s="33"/>
      <c r="K107" s="33"/>
      <c r="L107" s="33"/>
      <c r="M107" s="33"/>
    </row>
    <row r="108" customFormat="false" ht="15.75" hidden="false" customHeight="false" outlineLevel="0" collapsed="false">
      <c r="A108" s="42"/>
      <c r="B108" s="31"/>
      <c r="C108" s="43"/>
      <c r="D108" s="33"/>
      <c r="E108" s="33"/>
      <c r="F108" s="33"/>
      <c r="G108" s="33"/>
      <c r="H108" s="33"/>
      <c r="I108" s="34"/>
      <c r="J108" s="33"/>
      <c r="K108" s="33"/>
      <c r="L108" s="33"/>
      <c r="M108" s="33"/>
    </row>
    <row r="109" customFormat="false" ht="15.75" hidden="false" customHeight="false" outlineLevel="0" collapsed="false">
      <c r="A109" s="42"/>
      <c r="B109" s="31"/>
      <c r="C109" s="43"/>
      <c r="D109" s="33"/>
      <c r="E109" s="33"/>
      <c r="F109" s="33"/>
      <c r="G109" s="33"/>
      <c r="H109" s="33"/>
      <c r="I109" s="34"/>
      <c r="J109" s="33"/>
      <c r="K109" s="33"/>
      <c r="L109" s="33"/>
      <c r="M109" s="33"/>
    </row>
    <row r="110" customFormat="false" ht="15.75" hidden="false" customHeight="false" outlineLevel="0" collapsed="false">
      <c r="A110" s="42"/>
      <c r="B110" s="31"/>
      <c r="C110" s="43"/>
      <c r="D110" s="33"/>
      <c r="E110" s="33"/>
      <c r="F110" s="33"/>
      <c r="G110" s="33"/>
      <c r="H110" s="33"/>
      <c r="I110" s="34"/>
      <c r="J110" s="33"/>
      <c r="K110" s="33"/>
      <c r="L110" s="33"/>
      <c r="M110" s="33"/>
    </row>
    <row r="111" customFormat="false" ht="16.25" hidden="false" customHeight="false" outlineLevel="0" collapsed="false">
      <c r="A111" s="2" t="s">
        <v>53</v>
      </c>
      <c r="B111" s="2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customFormat="false" ht="15" hidden="false" customHeight="false" outlineLevel="0" collapsed="false">
      <c r="A112" s="2" t="s">
        <v>1</v>
      </c>
      <c r="B112" s="2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customFormat="false" ht="15.75" hidden="false" customHeight="false" outlineLevel="0" collapsed="false">
      <c r="A113" s="3" t="s">
        <v>2</v>
      </c>
      <c r="B113" s="3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customFormat="false" ht="15" hidden="false" customHeight="true" outlineLevel="0" collapsed="false">
      <c r="A114" s="4" t="s">
        <v>3</v>
      </c>
      <c r="B114" s="4" t="s">
        <v>4</v>
      </c>
      <c r="C114" s="4" t="s">
        <v>5</v>
      </c>
      <c r="D114" s="36" t="s">
        <v>6</v>
      </c>
      <c r="E114" s="36"/>
      <c r="F114" s="36"/>
      <c r="G114" s="37" t="s">
        <v>7</v>
      </c>
      <c r="H114" s="37" t="s">
        <v>8</v>
      </c>
      <c r="I114" s="37"/>
      <c r="J114" s="37"/>
      <c r="K114" s="37" t="s">
        <v>9</v>
      </c>
      <c r="L114" s="37"/>
      <c r="M114" s="37"/>
    </row>
    <row r="115" customFormat="false" ht="15.75" hidden="false" customHeight="true" outlineLevel="0" collapsed="false">
      <c r="A115" s="4"/>
      <c r="B115" s="4"/>
      <c r="C115" s="4"/>
      <c r="D115" s="38" t="s">
        <v>10</v>
      </c>
      <c r="E115" s="38"/>
      <c r="F115" s="38"/>
      <c r="G115" s="37"/>
      <c r="H115" s="37"/>
      <c r="I115" s="37"/>
      <c r="J115" s="37"/>
      <c r="K115" s="37"/>
      <c r="L115" s="37"/>
      <c r="M115" s="37"/>
    </row>
    <row r="116" customFormat="false" ht="17.25" hidden="false" customHeight="false" outlineLevel="0" collapsed="false">
      <c r="A116" s="4"/>
      <c r="B116" s="4"/>
      <c r="C116" s="4"/>
      <c r="D116" s="37" t="s">
        <v>11</v>
      </c>
      <c r="E116" s="37" t="s">
        <v>12</v>
      </c>
      <c r="F116" s="37" t="s">
        <v>13</v>
      </c>
      <c r="G116" s="37"/>
      <c r="H116" s="37" t="s">
        <v>14</v>
      </c>
      <c r="I116" s="37" t="s">
        <v>38</v>
      </c>
      <c r="J116" s="37" t="s">
        <v>16</v>
      </c>
      <c r="K116" s="37" t="s">
        <v>17</v>
      </c>
      <c r="L116" s="37" t="s">
        <v>18</v>
      </c>
      <c r="M116" s="37" t="s">
        <v>19</v>
      </c>
    </row>
    <row r="117" customFormat="false" ht="18.75" hidden="false" customHeight="false" outlineLevel="0" collapsed="false">
      <c r="A117" s="7"/>
      <c r="B117" s="8" t="s">
        <v>20</v>
      </c>
      <c r="C117" s="9"/>
      <c r="D117" s="39"/>
      <c r="E117" s="39"/>
      <c r="F117" s="39"/>
      <c r="G117" s="39"/>
      <c r="H117" s="39"/>
      <c r="I117" s="39"/>
      <c r="J117" s="39"/>
      <c r="K117" s="39"/>
      <c r="L117" s="39"/>
      <c r="M117" s="39"/>
    </row>
    <row r="118" customFormat="false" ht="15" hidden="false" customHeight="false" outlineLevel="0" collapsed="false">
      <c r="A118" s="10" t="n">
        <v>70</v>
      </c>
      <c r="B118" s="11" t="s">
        <v>54</v>
      </c>
      <c r="C118" s="12" t="n">
        <v>100</v>
      </c>
      <c r="D118" s="13" t="n">
        <f aca="false">66.7*C118/1000</f>
        <v>6.67</v>
      </c>
      <c r="E118" s="13" t="n">
        <f aca="false">171.8*C118/1000</f>
        <v>17.18</v>
      </c>
      <c r="F118" s="13" t="n">
        <f aca="false">98.3*C118/1000</f>
        <v>9.83</v>
      </c>
      <c r="G118" s="13" t="n">
        <f aca="false">2160*C118/1000</f>
        <v>216</v>
      </c>
      <c r="H118" s="13" t="n">
        <f aca="false">0*C118/1000</f>
        <v>0</v>
      </c>
      <c r="I118" s="13" t="n">
        <f aca="false">2.3*C118/1000</f>
        <v>0.23</v>
      </c>
      <c r="J118" s="13" t="n">
        <f aca="false">35*C118/1000</f>
        <v>3.5</v>
      </c>
      <c r="K118" s="13" t="n">
        <f aca="false">122.8*C118/1000</f>
        <v>12.28</v>
      </c>
      <c r="L118" s="13" t="n">
        <f aca="false">995*C118/1000</f>
        <v>99.5</v>
      </c>
      <c r="M118" s="13" t="n">
        <f aca="false">12.3*C118/1000</f>
        <v>1.23</v>
      </c>
    </row>
    <row r="119" customFormat="false" ht="15" hidden="false" customHeight="false" outlineLevel="0" collapsed="false">
      <c r="A119" s="10" t="n">
        <v>309</v>
      </c>
      <c r="B119" s="11" t="s">
        <v>55</v>
      </c>
      <c r="C119" s="12" t="n">
        <v>200</v>
      </c>
      <c r="D119" s="14" t="n">
        <f aca="false">20.4*C119/1000</f>
        <v>4.08</v>
      </c>
      <c r="E119" s="14" t="n">
        <f aca="false">17.7*C119/1000</f>
        <v>3.54</v>
      </c>
      <c r="F119" s="14" t="n">
        <f aca="false">87.9*C119/1000</f>
        <v>17.58</v>
      </c>
      <c r="G119" s="14" t="n">
        <f aca="false">593*C119/1000</f>
        <v>118.6</v>
      </c>
      <c r="H119" s="14" t="n">
        <f aca="false">122*C119/1000</f>
        <v>24.4</v>
      </c>
      <c r="I119" s="14" t="n">
        <f aca="false">0.28*C119/1000</f>
        <v>0.056</v>
      </c>
      <c r="J119" s="14" t="n">
        <f aca="false">7.9*C119/1000</f>
        <v>1.58</v>
      </c>
      <c r="K119" s="14" t="n">
        <f aca="false">761.1*C119/1000</f>
        <v>152.22</v>
      </c>
      <c r="L119" s="14" t="n">
        <f aca="false">622.8*C119/1000</f>
        <v>124.56</v>
      </c>
      <c r="M119" s="14" t="n">
        <f aca="false">2.4*C119/1000</f>
        <v>0.48</v>
      </c>
    </row>
    <row r="120" customFormat="false" ht="15" hidden="false" customHeight="false" outlineLevel="0" collapsed="false">
      <c r="A120" s="21" t="n">
        <v>268</v>
      </c>
      <c r="B120" s="11" t="s">
        <v>56</v>
      </c>
      <c r="C120" s="12" t="n">
        <v>100</v>
      </c>
      <c r="D120" s="14" t="n">
        <f aca="false">8*C120/1000</f>
        <v>0.8</v>
      </c>
      <c r="E120" s="14" t="n">
        <f aca="false">725*C120/1000</f>
        <v>72.5</v>
      </c>
      <c r="F120" s="14" t="n">
        <f aca="false">13*C120/1000</f>
        <v>1.3</v>
      </c>
      <c r="G120" s="14" t="n">
        <f aca="false">6600*C120/1000</f>
        <v>660</v>
      </c>
      <c r="H120" s="14" t="n">
        <f aca="false">4000*C120/1000</f>
        <v>400</v>
      </c>
      <c r="I120" s="14" t="n">
        <f aca="false">0</f>
        <v>0</v>
      </c>
      <c r="J120" s="14" t="n">
        <f aca="false">0</f>
        <v>0</v>
      </c>
      <c r="K120" s="14" t="n">
        <f aca="false">240*C120/1000</f>
        <v>24</v>
      </c>
      <c r="L120" s="14" t="n">
        <f aca="false">300*C120/1000</f>
        <v>30</v>
      </c>
      <c r="M120" s="14" t="n">
        <f aca="false">2*C120/1000</f>
        <v>0.2</v>
      </c>
    </row>
    <row r="121" customFormat="false" ht="15" hidden="false" customHeight="false" outlineLevel="0" collapsed="false">
      <c r="A121" s="15"/>
      <c r="B121" s="11" t="s">
        <v>25</v>
      </c>
      <c r="C121" s="12" t="n">
        <v>60</v>
      </c>
      <c r="D121" s="13" t="n">
        <f aca="false">107*C121/1000</f>
        <v>6.42</v>
      </c>
      <c r="E121" s="13" t="n">
        <f aca="false">45*C121/1000</f>
        <v>2.7</v>
      </c>
      <c r="F121" s="13" t="n">
        <f aca="false">435*C121/1000</f>
        <v>26.1</v>
      </c>
      <c r="G121" s="13" t="n">
        <f aca="false">2740*C121/1000</f>
        <v>164.4</v>
      </c>
      <c r="H121" s="13" t="n">
        <f aca="false">0</f>
        <v>0</v>
      </c>
      <c r="I121" s="13" t="n">
        <f aca="false">4.1*C121/1000</f>
        <v>0.246</v>
      </c>
      <c r="J121" s="13" t="n">
        <f aca="false">2*C121/1000</f>
        <v>0.12</v>
      </c>
      <c r="K121" s="13" t="n">
        <f aca="false">1250*C121/1000</f>
        <v>75</v>
      </c>
      <c r="L121" s="13" t="n">
        <f aca="false">1290*C121/1000</f>
        <v>77.4</v>
      </c>
      <c r="M121" s="13" t="n">
        <f aca="false">36*C121/1000</f>
        <v>2.16</v>
      </c>
    </row>
    <row r="122" customFormat="false" ht="15" hidden="false" customHeight="false" outlineLevel="0" collapsed="false">
      <c r="A122" s="15"/>
      <c r="B122" s="11" t="s">
        <v>26</v>
      </c>
      <c r="C122" s="12" t="n">
        <v>30</v>
      </c>
      <c r="D122" s="14" t="n">
        <f aca="false">85*C122/1000</f>
        <v>2.55</v>
      </c>
      <c r="E122" s="14" t="n">
        <f aca="false">33*C122/1000</f>
        <v>0.99</v>
      </c>
      <c r="F122" s="14" t="n">
        <f aca="false">425*C122/1000</f>
        <v>12.75</v>
      </c>
      <c r="G122" s="14" t="n">
        <f aca="false">2590*C122/1000</f>
        <v>77.7</v>
      </c>
      <c r="H122" s="14" t="n">
        <f aca="false">0</f>
        <v>0</v>
      </c>
      <c r="I122" s="14" t="n">
        <f aca="false">4.3*C122/1000</f>
        <v>0.129</v>
      </c>
      <c r="J122" s="14" t="n">
        <f aca="false">4*C122/1000</f>
        <v>0.12</v>
      </c>
      <c r="K122" s="14" t="n">
        <f aca="false">730*C122/1000</f>
        <v>21.9</v>
      </c>
      <c r="L122" s="14" t="n">
        <f aca="false">1250*C122/1000</f>
        <v>37.5</v>
      </c>
      <c r="M122" s="14" t="n">
        <f aca="false">28.3*C122/1000</f>
        <v>0.849</v>
      </c>
    </row>
    <row r="123" customFormat="false" ht="15.75" hidden="false" customHeight="true" outlineLevel="0" collapsed="false">
      <c r="A123" s="10" t="n">
        <v>377</v>
      </c>
      <c r="B123" s="11" t="s">
        <v>23</v>
      </c>
      <c r="C123" s="12" t="n">
        <v>200</v>
      </c>
      <c r="D123" s="23" t="n">
        <f aca="false">232*C123/1000</f>
        <v>46.4</v>
      </c>
      <c r="E123" s="23" t="n">
        <f aca="false">295*C123/1000</f>
        <v>59</v>
      </c>
      <c r="F123" s="23" t="n">
        <f aca="false">0</f>
        <v>0</v>
      </c>
      <c r="G123" s="23" t="n">
        <f aca="false">3600*C123/1000</f>
        <v>720</v>
      </c>
      <c r="H123" s="23" t="n">
        <f aca="false">2600*C123/1000</f>
        <v>520</v>
      </c>
      <c r="I123" s="23" t="n">
        <f aca="false">0.3*C123/1000</f>
        <v>0.06</v>
      </c>
      <c r="J123" s="23" t="n">
        <f aca="false">7*C123/1000</f>
        <v>1.4</v>
      </c>
      <c r="K123" s="23" t="n">
        <f aca="false">8800*C123/1000</f>
        <v>1760</v>
      </c>
      <c r="L123" s="23" t="n">
        <f aca="false">5000*C123/1000</f>
        <v>1000</v>
      </c>
      <c r="M123" s="23" t="n">
        <f aca="false">10*C123/1000</f>
        <v>2</v>
      </c>
    </row>
    <row r="124" customFormat="false" ht="15" hidden="false" customHeight="false" outlineLevel="0" collapsed="false">
      <c r="A124" s="10"/>
      <c r="B124" s="16" t="s">
        <v>27</v>
      </c>
      <c r="C124" s="40" t="n">
        <f aca="false">SUM(C118:C123)</f>
        <v>690</v>
      </c>
      <c r="D124" s="18" t="n">
        <f aca="false">SUM(D118:D123)</f>
        <v>66.92</v>
      </c>
      <c r="E124" s="18" t="n">
        <f aca="false">SUM(E118:E123)</f>
        <v>155.91</v>
      </c>
      <c r="F124" s="18" t="n">
        <f aca="false">SUM(F118:F123)</f>
        <v>67.56</v>
      </c>
      <c r="G124" s="18" t="n">
        <f aca="false">SUM(G118:G123)</f>
        <v>1956.7</v>
      </c>
      <c r="H124" s="18" t="n">
        <f aca="false">SUM(H118:H123)</f>
        <v>944.4</v>
      </c>
      <c r="I124" s="18" t="n">
        <f aca="false">SUM(I118:I123)</f>
        <v>0.721</v>
      </c>
      <c r="J124" s="18" t="n">
        <f aca="false">SUM(J118:J123)</f>
        <v>6.72</v>
      </c>
      <c r="K124" s="18" t="n">
        <f aca="false">SUM(K118:K123)</f>
        <v>2045.4</v>
      </c>
      <c r="L124" s="18" t="n">
        <f aca="false">SUM(L118:L123)</f>
        <v>1368.96</v>
      </c>
      <c r="M124" s="18" t="n">
        <f aca="false">SUM(M118:M123)</f>
        <v>6.919</v>
      </c>
    </row>
    <row r="126" customFormat="false" ht="15" hidden="false" customHeight="false" outlineLevel="0" collapsed="false">
      <c r="A126" s="15" t="n">
        <v>70</v>
      </c>
      <c r="B126" s="11" t="s">
        <v>54</v>
      </c>
      <c r="C126" s="12" t="n">
        <v>100</v>
      </c>
      <c r="D126" s="13" t="n">
        <f aca="false">8*C126/1000</f>
        <v>0.8</v>
      </c>
      <c r="E126" s="13" t="n">
        <f aca="false">1*C126/1000</f>
        <v>0.1</v>
      </c>
      <c r="F126" s="13" t="n">
        <f aca="false">17*C126/1000</f>
        <v>1.7</v>
      </c>
      <c r="G126" s="13" t="n">
        <f aca="false">100*C126/1000</f>
        <v>10</v>
      </c>
      <c r="H126" s="13" t="n">
        <f aca="false">0*C126/1000</f>
        <v>0</v>
      </c>
      <c r="I126" s="13" t="n">
        <f aca="false">0.4*C126/1000</f>
        <v>0.04</v>
      </c>
      <c r="J126" s="13" t="n">
        <f aca="false">35*C126/1000</f>
        <v>3.5</v>
      </c>
      <c r="K126" s="13" t="n">
        <f aca="false">230*C126/1000</f>
        <v>23</v>
      </c>
      <c r="L126" s="13" t="n">
        <f aca="false">240*C126/1000</f>
        <v>24</v>
      </c>
      <c r="M126" s="13" t="n">
        <f aca="false">6*C126/1000</f>
        <v>0.6</v>
      </c>
    </row>
    <row r="127" customFormat="false" ht="15" hidden="false" customHeight="false" outlineLevel="0" collapsed="false">
      <c r="A127" s="10" t="n">
        <v>101</v>
      </c>
      <c r="B127" s="11" t="s">
        <v>57</v>
      </c>
      <c r="C127" s="12" t="n">
        <v>250</v>
      </c>
      <c r="D127" s="13" t="n">
        <f aca="false">7.89*C127/1000</f>
        <v>1.9725</v>
      </c>
      <c r="E127" s="13" t="n">
        <f aca="false">10.85*C127/1000</f>
        <v>2.7125</v>
      </c>
      <c r="F127" s="13" t="n">
        <f aca="false">48.45*C127/1000</f>
        <v>12.1125</v>
      </c>
      <c r="G127" s="13" t="n">
        <f aca="false">343*C127/1000</f>
        <v>85.75</v>
      </c>
      <c r="H127" s="13" t="n">
        <f aca="false">0*C127/1000</f>
        <v>0</v>
      </c>
      <c r="I127" s="13" t="n">
        <f aca="false">0.36*C127/1000</f>
        <v>0.09</v>
      </c>
      <c r="J127" s="13" t="n">
        <f aca="false">33*C127/1000</f>
        <v>8.25</v>
      </c>
      <c r="K127" s="13" t="n">
        <f aca="false">106.8*C127/1000</f>
        <v>26.7</v>
      </c>
      <c r="L127" s="13" t="n">
        <f aca="false">223.9*C127/1000</f>
        <v>55.975</v>
      </c>
      <c r="M127" s="13" t="n">
        <f aca="false">3.5*C127/1000</f>
        <v>0.875</v>
      </c>
    </row>
    <row r="128" customFormat="false" ht="15" hidden="false" customHeight="false" outlineLevel="0" collapsed="false">
      <c r="A128" s="10" t="n">
        <v>304</v>
      </c>
      <c r="B128" s="11" t="s">
        <v>41</v>
      </c>
      <c r="C128" s="12" t="n">
        <v>180</v>
      </c>
      <c r="D128" s="13" t="n">
        <f aca="false">24.3*C128/1000</f>
        <v>4.374</v>
      </c>
      <c r="E128" s="13" t="n">
        <f aca="false">35.8*C128/1000</f>
        <v>6.444</v>
      </c>
      <c r="F128" s="13" t="n">
        <f aca="false">244.6*C128/1000</f>
        <v>44.028</v>
      </c>
      <c r="G128" s="13" t="n">
        <f aca="false">1398*C128/1000</f>
        <v>251.64</v>
      </c>
      <c r="H128" s="13" t="n">
        <f aca="false">0</f>
        <v>0</v>
      </c>
      <c r="I128" s="13" t="n">
        <f aca="false">0.2*C128/1000</f>
        <v>0.036</v>
      </c>
      <c r="J128" s="13" t="n">
        <f aca="false">0</f>
        <v>0</v>
      </c>
      <c r="K128" s="13" t="n">
        <f aca="false">9.1*C128/1000</f>
        <v>1.638</v>
      </c>
      <c r="L128" s="13" t="n">
        <f aca="false">406.3*C128/1000</f>
        <v>73.134</v>
      </c>
      <c r="M128" s="13" t="n">
        <f aca="false">3.5*C128/1000</f>
        <v>0.63</v>
      </c>
    </row>
    <row r="129" customFormat="false" ht="15" hidden="false" customHeight="false" outlineLevel="0" collapsed="false">
      <c r="A129" s="10"/>
      <c r="B129" s="11" t="s">
        <v>58</v>
      </c>
      <c r="C129" s="12" t="n">
        <v>100</v>
      </c>
      <c r="D129" s="13" t="n">
        <f aca="false">97.5*C129/1000</f>
        <v>9.75</v>
      </c>
      <c r="E129" s="13" t="n">
        <f aca="false">49.5*C129/1000</f>
        <v>4.95</v>
      </c>
      <c r="F129" s="13" t="n">
        <f aca="false">38*C129/1000</f>
        <v>3.8</v>
      </c>
      <c r="G129" s="13" t="n">
        <f aca="false">1050*C129/1000</f>
        <v>105</v>
      </c>
      <c r="H129" s="13" t="n">
        <f aca="false">58.2*C129/1000</f>
        <v>5.82</v>
      </c>
      <c r="I129" s="13" t="n">
        <f aca="false">0.5*C129/1000</f>
        <v>0.05</v>
      </c>
      <c r="J129" s="13" t="n">
        <f aca="false">37.3*C129/1000</f>
        <v>3.73</v>
      </c>
      <c r="K129" s="13" t="n">
        <f aca="false">390.7*C129/1000</f>
        <v>39.07</v>
      </c>
      <c r="L129" s="13" t="n">
        <f aca="false">1621.9*C129/1000</f>
        <v>162.19</v>
      </c>
      <c r="M129" s="13" t="n">
        <f aca="false">8.5*C129/1000</f>
        <v>0.85</v>
      </c>
    </row>
    <row r="130" customFormat="false" ht="15" hidden="false" customHeight="false" outlineLevel="0" collapsed="false">
      <c r="A130" s="10" t="n">
        <v>389</v>
      </c>
      <c r="B130" s="11" t="s">
        <v>59</v>
      </c>
      <c r="C130" s="12" t="n">
        <v>200</v>
      </c>
      <c r="D130" s="13" t="n">
        <f aca="false">3.3*C130/1000</f>
        <v>0.66</v>
      </c>
      <c r="E130" s="13" t="n">
        <f aca="false">0.5*C130/1000</f>
        <v>0.1</v>
      </c>
      <c r="F130" s="13" t="n">
        <f aca="false">160.1*C130/1000</f>
        <v>32.02</v>
      </c>
      <c r="G130" s="13" t="n">
        <f aca="false">664*C130/1000</f>
        <v>132.8</v>
      </c>
      <c r="H130" s="13" t="n">
        <f aca="false">0</f>
        <v>0</v>
      </c>
      <c r="I130" s="13" t="n">
        <f aca="false">0.1*C130/1000</f>
        <v>0.02</v>
      </c>
      <c r="J130" s="13" t="n">
        <f aca="false">5.6*C130/1000</f>
        <v>1.12</v>
      </c>
      <c r="K130" s="13" t="n">
        <f aca="false">162.4*C130/1000</f>
        <v>32.48</v>
      </c>
      <c r="L130" s="13" t="n">
        <f aca="false">117.2*C130/1000</f>
        <v>23.44</v>
      </c>
      <c r="M130" s="13" t="n">
        <f aca="false">3.5*C130/1000</f>
        <v>0.7</v>
      </c>
    </row>
    <row r="131" customFormat="false" ht="15" hidden="false" customHeight="false" outlineLevel="0" collapsed="false">
      <c r="A131" s="15"/>
      <c r="B131" s="11" t="s">
        <v>25</v>
      </c>
      <c r="C131" s="12" t="n">
        <v>60</v>
      </c>
      <c r="D131" s="13" t="n">
        <f aca="false">107*C131/1000</f>
        <v>6.42</v>
      </c>
      <c r="E131" s="13" t="n">
        <f aca="false">45*C131/1000</f>
        <v>2.7</v>
      </c>
      <c r="F131" s="13" t="n">
        <f aca="false">435*C131/1000</f>
        <v>26.1</v>
      </c>
      <c r="G131" s="13" t="n">
        <f aca="false">2740*C131/1000</f>
        <v>164.4</v>
      </c>
      <c r="H131" s="13" t="n">
        <f aca="false">0</f>
        <v>0</v>
      </c>
      <c r="I131" s="13" t="n">
        <f aca="false">4.1*C131/1000</f>
        <v>0.246</v>
      </c>
      <c r="J131" s="13" t="n">
        <f aca="false">2*C131/1000</f>
        <v>0.12</v>
      </c>
      <c r="K131" s="13" t="n">
        <f aca="false">1250*C131/1000</f>
        <v>75</v>
      </c>
      <c r="L131" s="13" t="n">
        <f aca="false">1290*C131/1000</f>
        <v>77.4</v>
      </c>
      <c r="M131" s="13" t="n">
        <f aca="false">36*C131/1000</f>
        <v>2.16</v>
      </c>
    </row>
    <row r="132" customFormat="false" ht="15" hidden="false" customHeight="false" outlineLevel="0" collapsed="false">
      <c r="A132" s="22"/>
      <c r="B132" s="11" t="s">
        <v>26</v>
      </c>
      <c r="C132" s="12" t="n">
        <v>30</v>
      </c>
      <c r="D132" s="14" t="n">
        <f aca="false">85*C132/1000</f>
        <v>2.55</v>
      </c>
      <c r="E132" s="14" t="n">
        <f aca="false">33*C132/1000</f>
        <v>0.99</v>
      </c>
      <c r="F132" s="14" t="n">
        <f aca="false">425*C132/1000</f>
        <v>12.75</v>
      </c>
      <c r="G132" s="14" t="n">
        <f aca="false">2590*C132/1000</f>
        <v>77.7</v>
      </c>
      <c r="H132" s="14" t="n">
        <f aca="false">0</f>
        <v>0</v>
      </c>
      <c r="I132" s="14" t="n">
        <f aca="false">4.3*C132/1000</f>
        <v>0.129</v>
      </c>
      <c r="J132" s="14" t="n">
        <f aca="false">4*C132/1000</f>
        <v>0.12</v>
      </c>
      <c r="K132" s="14" t="n">
        <f aca="false">730*C132/1000</f>
        <v>21.9</v>
      </c>
      <c r="L132" s="14" t="n">
        <f aca="false">1250*C132/1000</f>
        <v>37.5</v>
      </c>
      <c r="M132" s="14" t="n">
        <f aca="false">28.3*C132/1000</f>
        <v>0.849</v>
      </c>
    </row>
    <row r="133" customFormat="false" ht="17.25" hidden="false" customHeight="true" outlineLevel="0" collapsed="false">
      <c r="A133" s="21"/>
      <c r="B133" s="16" t="s">
        <v>27</v>
      </c>
      <c r="C133" s="40" t="n">
        <f aca="false">SUM(C126:C132)</f>
        <v>920</v>
      </c>
      <c r="D133" s="18" t="n">
        <f aca="false">SUM(D126:D132)</f>
        <v>26.5265</v>
      </c>
      <c r="E133" s="18" t="n">
        <f aca="false">SUM(E126:E132)</f>
        <v>17.9965</v>
      </c>
      <c r="F133" s="18" t="n">
        <f aca="false">SUM(F126:F132)</f>
        <v>132.5105</v>
      </c>
      <c r="G133" s="18" t="n">
        <f aca="false">SUM(G126:G132)</f>
        <v>827.29</v>
      </c>
      <c r="H133" s="18" t="n">
        <f aca="false">SUM(H126:H132)</f>
        <v>5.82</v>
      </c>
      <c r="I133" s="18" t="n">
        <f aca="false">SUM(I126:I132)</f>
        <v>0.611</v>
      </c>
      <c r="J133" s="18" t="n">
        <f aca="false">SUM(J126:J132)</f>
        <v>16.84</v>
      </c>
      <c r="K133" s="18" t="n">
        <f aca="false">SUM(K126:K132)</f>
        <v>219.788</v>
      </c>
      <c r="L133" s="18" t="n">
        <f aca="false">SUM(L126:L132)</f>
        <v>453.639</v>
      </c>
      <c r="M133" s="18" t="n">
        <f aca="false">SUM(M126:M132)</f>
        <v>6.664</v>
      </c>
    </row>
    <row r="134" customFormat="false" ht="18.75" hidden="false" customHeight="false" outlineLevel="0" collapsed="false">
      <c r="A134" s="21"/>
      <c r="B134" s="24" t="s">
        <v>35</v>
      </c>
      <c r="C134" s="41" t="n">
        <f aca="false">C124+C133</f>
        <v>1610</v>
      </c>
      <c r="D134" s="26" t="n">
        <f aca="false">D124+D133</f>
        <v>93.4465</v>
      </c>
      <c r="E134" s="26" t="n">
        <f aca="false">E124+E133</f>
        <v>173.9065</v>
      </c>
      <c r="F134" s="26" t="n">
        <f aca="false">F124+F133</f>
        <v>200.0705</v>
      </c>
      <c r="G134" s="26" t="n">
        <f aca="false">G124+G133</f>
        <v>2783.99</v>
      </c>
      <c r="H134" s="26" t="n">
        <f aca="false">H124+H133</f>
        <v>950.22</v>
      </c>
      <c r="I134" s="26" t="n">
        <f aca="false">I124+I133</f>
        <v>1.332</v>
      </c>
      <c r="J134" s="26" t="n">
        <f aca="false">J124+J133</f>
        <v>23.56</v>
      </c>
      <c r="K134" s="26" t="n">
        <f aca="false">K124+K133</f>
        <v>2265.188</v>
      </c>
      <c r="L134" s="26" t="n">
        <f aca="false">L124+L133</f>
        <v>1822.599</v>
      </c>
      <c r="M134" s="26" t="n">
        <f aca="false">M124+M133</f>
        <v>13.583</v>
      </c>
    </row>
    <row r="135" customFormat="false" ht="15.75" hidden="false" customHeight="false" outlineLevel="0" collapsed="false">
      <c r="A135" s="27"/>
      <c r="B135" s="28" t="s">
        <v>36</v>
      </c>
      <c r="C135" s="29" t="n">
        <v>1350</v>
      </c>
      <c r="D135" s="13" t="n">
        <v>49.5</v>
      </c>
      <c r="E135" s="13" t="n">
        <v>50.6</v>
      </c>
      <c r="F135" s="13" t="n">
        <v>210.7</v>
      </c>
      <c r="G135" s="13" t="n">
        <v>1496</v>
      </c>
      <c r="H135" s="13" t="n">
        <v>495</v>
      </c>
      <c r="I135" s="13" t="n">
        <v>0.8</v>
      </c>
      <c r="J135" s="13" t="n">
        <v>38.5</v>
      </c>
      <c r="K135" s="13" t="n">
        <v>660</v>
      </c>
      <c r="L135" s="13" t="n">
        <v>660</v>
      </c>
      <c r="M135" s="13" t="n">
        <v>9.9</v>
      </c>
    </row>
    <row r="136" customFormat="false" ht="15.75" hidden="false" customHeight="false" outlineLevel="0" collapsed="false">
      <c r="A136" s="42"/>
      <c r="B136" s="31"/>
      <c r="C136" s="43"/>
      <c r="D136" s="33"/>
      <c r="E136" s="33"/>
      <c r="F136" s="33"/>
      <c r="G136" s="33"/>
      <c r="H136" s="33"/>
      <c r="I136" s="34"/>
      <c r="J136" s="33"/>
      <c r="K136" s="33"/>
      <c r="L136" s="33"/>
      <c r="M136" s="33"/>
    </row>
    <row r="137" customFormat="false" ht="15.75" hidden="false" customHeight="false" outlineLevel="0" collapsed="false">
      <c r="A137" s="42"/>
      <c r="B137" s="31"/>
      <c r="C137" s="43"/>
      <c r="D137" s="33"/>
      <c r="E137" s="33"/>
      <c r="F137" s="33"/>
      <c r="G137" s="33"/>
      <c r="H137" s="33"/>
      <c r="I137" s="34"/>
      <c r="J137" s="33"/>
      <c r="K137" s="33"/>
      <c r="L137" s="33"/>
      <c r="M137" s="33"/>
    </row>
    <row r="138" customFormat="false" ht="15.75" hidden="false" customHeight="false" outlineLevel="0" collapsed="false">
      <c r="A138" s="42"/>
      <c r="B138" s="31"/>
      <c r="C138" s="43"/>
      <c r="D138" s="33"/>
      <c r="E138" s="33"/>
      <c r="F138" s="33"/>
      <c r="G138" s="33"/>
      <c r="H138" s="33"/>
      <c r="I138" s="34"/>
      <c r="J138" s="33"/>
      <c r="K138" s="33"/>
      <c r="L138" s="33"/>
      <c r="M138" s="33"/>
    </row>
    <row r="139" customFormat="false" ht="15.75" hidden="false" customHeight="false" outlineLevel="0" collapsed="false">
      <c r="A139" s="42"/>
      <c r="B139" s="31"/>
      <c r="C139" s="43"/>
      <c r="D139" s="33"/>
      <c r="E139" s="33"/>
      <c r="F139" s="33"/>
      <c r="G139" s="33"/>
      <c r="H139" s="33"/>
      <c r="I139" s="34"/>
      <c r="J139" s="33"/>
      <c r="K139" s="33"/>
      <c r="L139" s="33"/>
      <c r="M139" s="33"/>
    </row>
    <row r="140" customFormat="false" ht="15.75" hidden="false" customHeight="false" outlineLevel="0" collapsed="false">
      <c r="A140" s="42"/>
      <c r="B140" s="31"/>
      <c r="C140" s="43"/>
      <c r="D140" s="33"/>
      <c r="E140" s="33"/>
      <c r="F140" s="33"/>
      <c r="G140" s="33"/>
      <c r="H140" s="33"/>
      <c r="I140" s="34"/>
      <c r="J140" s="33"/>
      <c r="K140" s="33"/>
      <c r="L140" s="33"/>
      <c r="M140" s="33"/>
    </row>
    <row r="141" customFormat="false" ht="15.75" hidden="false" customHeight="false" outlineLevel="0" collapsed="false">
      <c r="A141" s="42"/>
      <c r="B141" s="31"/>
      <c r="C141" s="43"/>
      <c r="D141" s="33"/>
      <c r="E141" s="33"/>
      <c r="F141" s="33"/>
      <c r="G141" s="33"/>
      <c r="H141" s="33"/>
      <c r="I141" s="34"/>
      <c r="J141" s="33"/>
      <c r="K141" s="33"/>
      <c r="L141" s="33"/>
      <c r="M141" s="33"/>
    </row>
    <row r="142" customFormat="false" ht="15.75" hidden="false" customHeight="false" outlineLevel="0" collapsed="false">
      <c r="A142" s="42"/>
      <c r="B142" s="31"/>
      <c r="C142" s="43"/>
      <c r="D142" s="33"/>
      <c r="E142" s="33"/>
      <c r="F142" s="33"/>
      <c r="G142" s="33"/>
      <c r="H142" s="33"/>
      <c r="I142" s="34"/>
      <c r="J142" s="33"/>
      <c r="K142" s="33"/>
      <c r="L142" s="33"/>
      <c r="M142" s="33"/>
    </row>
    <row r="143" customFormat="false" ht="15.75" hidden="false" customHeight="false" outlineLevel="0" collapsed="false">
      <c r="A143" s="42"/>
      <c r="B143" s="31"/>
      <c r="C143" s="43"/>
      <c r="D143" s="33"/>
      <c r="E143" s="33"/>
      <c r="F143" s="33"/>
      <c r="G143" s="33"/>
      <c r="H143" s="33"/>
      <c r="I143" s="34"/>
      <c r="J143" s="33"/>
      <c r="K143" s="33"/>
      <c r="L143" s="33"/>
      <c r="M143" s="33"/>
    </row>
    <row r="144" customFormat="false" ht="15.75" hidden="false" customHeight="false" outlineLevel="0" collapsed="false">
      <c r="A144" s="42"/>
      <c r="B144" s="31"/>
      <c r="C144" s="43"/>
      <c r="D144" s="33"/>
      <c r="E144" s="33"/>
      <c r="F144" s="33"/>
      <c r="G144" s="33"/>
      <c r="H144" s="33"/>
      <c r="I144" s="34"/>
      <c r="J144" s="33"/>
      <c r="K144" s="33"/>
      <c r="L144" s="33"/>
      <c r="M144" s="33"/>
    </row>
    <row r="145" customFormat="false" ht="15.75" hidden="false" customHeight="false" outlineLevel="0" collapsed="false">
      <c r="A145" s="42"/>
      <c r="B145" s="31"/>
      <c r="C145" s="43"/>
      <c r="D145" s="33"/>
      <c r="E145" s="33"/>
      <c r="F145" s="33"/>
      <c r="G145" s="33"/>
      <c r="H145" s="33"/>
      <c r="I145" s="34"/>
      <c r="J145" s="33"/>
      <c r="K145" s="33"/>
      <c r="L145" s="33"/>
      <c r="M145" s="33"/>
    </row>
    <row r="146" customFormat="false" ht="15.75" hidden="false" customHeight="false" outlineLevel="0" collapsed="false">
      <c r="A146" s="42"/>
      <c r="B146" s="31"/>
      <c r="C146" s="43"/>
      <c r="D146" s="33"/>
      <c r="E146" s="33"/>
      <c r="F146" s="33"/>
      <c r="G146" s="33"/>
      <c r="H146" s="33"/>
      <c r="I146" s="34"/>
      <c r="J146" s="33"/>
      <c r="K146" s="33"/>
      <c r="L146" s="33"/>
      <c r="M146" s="33"/>
    </row>
    <row r="147" customFormat="false" ht="18.75" hidden="false" customHeight="false" outlineLevel="0" collapsed="false">
      <c r="A147" s="2" t="s">
        <v>60</v>
      </c>
      <c r="B147" s="2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customFormat="false" ht="15" hidden="false" customHeight="false" outlineLevel="0" collapsed="false">
      <c r="A148" s="2" t="s">
        <v>1</v>
      </c>
      <c r="B148" s="2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customFormat="false" ht="15.75" hidden="false" customHeight="false" outlineLevel="0" collapsed="false">
      <c r="A149" s="3" t="s">
        <v>2</v>
      </c>
      <c r="B149" s="3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customFormat="false" ht="15" hidden="false" customHeight="true" outlineLevel="0" collapsed="false">
      <c r="A150" s="4" t="s">
        <v>3</v>
      </c>
      <c r="B150" s="4" t="s">
        <v>4</v>
      </c>
      <c r="C150" s="4" t="s">
        <v>5</v>
      </c>
      <c r="D150" s="36" t="s">
        <v>6</v>
      </c>
      <c r="E150" s="36"/>
      <c r="F150" s="36"/>
      <c r="G150" s="37" t="s">
        <v>7</v>
      </c>
      <c r="H150" s="37" t="s">
        <v>8</v>
      </c>
      <c r="I150" s="37"/>
      <c r="J150" s="37"/>
      <c r="K150" s="37" t="s">
        <v>9</v>
      </c>
      <c r="L150" s="37"/>
      <c r="M150" s="37"/>
    </row>
    <row r="151" customFormat="false" ht="15.75" hidden="false" customHeight="true" outlineLevel="0" collapsed="false">
      <c r="A151" s="4"/>
      <c r="B151" s="4"/>
      <c r="C151" s="4"/>
      <c r="D151" s="38" t="s">
        <v>10</v>
      </c>
      <c r="E151" s="38"/>
      <c r="F151" s="38"/>
      <c r="G151" s="37"/>
      <c r="H151" s="37"/>
      <c r="I151" s="37"/>
      <c r="J151" s="37"/>
      <c r="K151" s="37"/>
      <c r="L151" s="37"/>
      <c r="M151" s="37"/>
    </row>
    <row r="152" customFormat="false" ht="17.25" hidden="false" customHeight="false" outlineLevel="0" collapsed="false">
      <c r="A152" s="4"/>
      <c r="B152" s="4"/>
      <c r="C152" s="4"/>
      <c r="D152" s="37" t="s">
        <v>11</v>
      </c>
      <c r="E152" s="37" t="s">
        <v>12</v>
      </c>
      <c r="F152" s="37" t="s">
        <v>13</v>
      </c>
      <c r="G152" s="37"/>
      <c r="H152" s="37" t="s">
        <v>14</v>
      </c>
      <c r="I152" s="37" t="s">
        <v>38</v>
      </c>
      <c r="J152" s="37" t="s">
        <v>16</v>
      </c>
      <c r="K152" s="37" t="s">
        <v>17</v>
      </c>
      <c r="L152" s="37" t="s">
        <v>18</v>
      </c>
      <c r="M152" s="37" t="s">
        <v>19</v>
      </c>
    </row>
    <row r="153" customFormat="false" ht="18.75" hidden="false" customHeight="false" outlineLevel="0" collapsed="false">
      <c r="A153" s="7"/>
      <c r="B153" s="8" t="s">
        <v>20</v>
      </c>
      <c r="C153" s="9"/>
      <c r="D153" s="39"/>
      <c r="E153" s="39"/>
      <c r="F153" s="39"/>
      <c r="G153" s="39"/>
      <c r="H153" s="39"/>
      <c r="I153" s="39"/>
      <c r="J153" s="39"/>
      <c r="K153" s="39"/>
      <c r="L153" s="39"/>
      <c r="M153" s="39"/>
    </row>
    <row r="154" customFormat="false" ht="15" hidden="false" customHeight="false" outlineLevel="0" collapsed="false">
      <c r="A154" s="21" t="n">
        <v>309</v>
      </c>
      <c r="B154" s="11" t="s">
        <v>61</v>
      </c>
      <c r="C154" s="12" t="n">
        <v>200</v>
      </c>
      <c r="D154" s="13" t="n">
        <f aca="false">36.8*C154/1000</f>
        <v>7.36</v>
      </c>
      <c r="E154" s="13" t="n">
        <f aca="false">30.1*C154/1000</f>
        <v>6.02</v>
      </c>
      <c r="F154" s="13" t="n">
        <f aca="false">176.3*C154/1000</f>
        <v>35.26</v>
      </c>
      <c r="G154" s="13" t="n">
        <f aca="false">1123*C154/1000</f>
        <v>224.6</v>
      </c>
      <c r="H154" s="13" t="n">
        <f aca="false">0</f>
        <v>0</v>
      </c>
      <c r="I154" s="13" t="n">
        <f aca="false">0.4*C154/1000</f>
        <v>0.08</v>
      </c>
      <c r="J154" s="13" t="n">
        <f aca="false">0</f>
        <v>0</v>
      </c>
      <c r="K154" s="13" t="n">
        <f aca="false">32.4*C154/1000</f>
        <v>6.48</v>
      </c>
      <c r="L154" s="13" t="n">
        <f aca="false">247.8*C154/1000</f>
        <v>49.56</v>
      </c>
      <c r="M154" s="13" t="n">
        <f aca="false">7.4*C154/1000</f>
        <v>1.48</v>
      </c>
    </row>
    <row r="155" customFormat="false" ht="15" hidden="false" customHeight="false" outlineLevel="0" collapsed="false">
      <c r="A155" s="10" t="n">
        <v>268</v>
      </c>
      <c r="B155" s="11" t="s">
        <v>62</v>
      </c>
      <c r="C155" s="12" t="n">
        <v>100</v>
      </c>
      <c r="D155" s="13" t="n">
        <f aca="false">129*C155/1000</f>
        <v>12.9</v>
      </c>
      <c r="E155" s="13" t="n">
        <f aca="false">334.2*C155/1000</f>
        <v>33.42</v>
      </c>
      <c r="F155" s="13" t="n">
        <f aca="false">132.2*C155/1000</f>
        <v>13.22</v>
      </c>
      <c r="G155" s="13" t="n">
        <f aca="false">4080*C155/1000</f>
        <v>408</v>
      </c>
      <c r="H155" s="13" t="n">
        <f aca="false">400*C155/1000</f>
        <v>40</v>
      </c>
      <c r="I155" s="13" t="n">
        <f aca="false">3.6*C155/1000</f>
        <v>0.36</v>
      </c>
      <c r="J155" s="13" t="n">
        <f aca="false">42.8*C155/1000</f>
        <v>4.28</v>
      </c>
      <c r="K155" s="13" t="n">
        <f aca="false">115*C155/1000</f>
        <v>11.5</v>
      </c>
      <c r="L155" s="13" t="n">
        <f aca="false">1541.6*C155/1000</f>
        <v>154.16</v>
      </c>
      <c r="M155" s="13" t="n">
        <f aca="false">32*C155/1000</f>
        <v>3.2</v>
      </c>
    </row>
    <row r="156" customFormat="false" ht="15" hidden="false" customHeight="false" outlineLevel="0" collapsed="false">
      <c r="A156" s="21" t="n">
        <v>389</v>
      </c>
      <c r="B156" s="11" t="s">
        <v>59</v>
      </c>
      <c r="C156" s="12" t="n">
        <v>200</v>
      </c>
      <c r="D156" s="44" t="n">
        <f aca="false">0.35*C156/1000</f>
        <v>0.07</v>
      </c>
      <c r="E156" s="44" t="n">
        <f aca="false">0.1*C156/1000</f>
        <v>0.02</v>
      </c>
      <c r="F156" s="44" t="n">
        <f aca="false">75*C156/1000</f>
        <v>15</v>
      </c>
      <c r="G156" s="44" t="n">
        <f aca="false">300*C156/1000</f>
        <v>60</v>
      </c>
      <c r="H156" s="44" t="n">
        <f aca="false">0*C156/1000</f>
        <v>0</v>
      </c>
      <c r="I156" s="44" t="n">
        <f aca="false">0</f>
        <v>0</v>
      </c>
      <c r="J156" s="44" t="n">
        <f aca="false">0.2*C156/1000</f>
        <v>0.04</v>
      </c>
      <c r="K156" s="44" t="n">
        <f aca="false">55.5*C156/1000</f>
        <v>11.1</v>
      </c>
      <c r="L156" s="44" t="n">
        <f aca="false">14*C156/1000</f>
        <v>2.8</v>
      </c>
      <c r="M156" s="44" t="n">
        <f aca="false">1.4*C156/1000</f>
        <v>0.28</v>
      </c>
    </row>
    <row r="157" customFormat="false" ht="15" hidden="false" customHeight="false" outlineLevel="0" collapsed="false">
      <c r="A157" s="15"/>
      <c r="B157" s="11" t="s">
        <v>25</v>
      </c>
      <c r="C157" s="12" t="n">
        <v>60</v>
      </c>
      <c r="D157" s="13" t="n">
        <f aca="false">107*C157/1000</f>
        <v>6.42</v>
      </c>
      <c r="E157" s="13" t="n">
        <f aca="false">45*C157/1000</f>
        <v>2.7</v>
      </c>
      <c r="F157" s="13" t="n">
        <f aca="false">435*C157/1000</f>
        <v>26.1</v>
      </c>
      <c r="G157" s="13" t="n">
        <f aca="false">2740*C157/1000</f>
        <v>164.4</v>
      </c>
      <c r="H157" s="13" t="n">
        <f aca="false">0</f>
        <v>0</v>
      </c>
      <c r="I157" s="13" t="n">
        <f aca="false">4.1*C157/1000</f>
        <v>0.246</v>
      </c>
      <c r="J157" s="13" t="n">
        <f aca="false">2*C157/1000</f>
        <v>0.12</v>
      </c>
      <c r="K157" s="13" t="n">
        <f aca="false">1250*C157/1000</f>
        <v>75</v>
      </c>
      <c r="L157" s="13" t="n">
        <f aca="false">1290*C157/1000</f>
        <v>77.4</v>
      </c>
      <c r="M157" s="13" t="n">
        <f aca="false">36*C157/1000</f>
        <v>2.16</v>
      </c>
    </row>
    <row r="158" customFormat="false" ht="15" hidden="false" customHeight="false" outlineLevel="0" collapsed="false">
      <c r="A158" s="15"/>
      <c r="B158" s="11" t="s">
        <v>26</v>
      </c>
      <c r="C158" s="12" t="n">
        <v>30</v>
      </c>
      <c r="D158" s="14" t="n">
        <f aca="false">85*C158/1000</f>
        <v>2.55</v>
      </c>
      <c r="E158" s="14" t="n">
        <f aca="false">33*C158/1000</f>
        <v>0.99</v>
      </c>
      <c r="F158" s="14" t="n">
        <f aca="false">425*C158/1000</f>
        <v>12.75</v>
      </c>
      <c r="G158" s="14" t="n">
        <f aca="false">2590*C158/1000</f>
        <v>77.7</v>
      </c>
      <c r="H158" s="14" t="n">
        <f aca="false">0</f>
        <v>0</v>
      </c>
      <c r="I158" s="14" t="n">
        <f aca="false">4.3*C158/1000</f>
        <v>0.129</v>
      </c>
      <c r="J158" s="14" t="n">
        <f aca="false">4*C158/1000</f>
        <v>0.12</v>
      </c>
      <c r="K158" s="14" t="n">
        <f aca="false">730*C158/1000</f>
        <v>21.9</v>
      </c>
      <c r="L158" s="14" t="n">
        <f aca="false">1250*C158/1000</f>
        <v>37.5</v>
      </c>
      <c r="M158" s="14" t="n">
        <f aca="false">28.3*C158/1000</f>
        <v>0.849</v>
      </c>
    </row>
    <row r="159" customFormat="false" ht="15" hidden="false" customHeight="false" outlineLevel="0" collapsed="false">
      <c r="A159" s="10"/>
      <c r="B159" s="16" t="s">
        <v>27</v>
      </c>
      <c r="C159" s="40" t="n">
        <v>550</v>
      </c>
      <c r="D159" s="18" t="n">
        <f aca="false">SUM(D156:D158)</f>
        <v>9.04</v>
      </c>
      <c r="E159" s="18" t="n">
        <f aca="false">SUM(E156:E158)</f>
        <v>3.71</v>
      </c>
      <c r="F159" s="18" t="n">
        <f aca="false">SUM(F156:F158)</f>
        <v>53.85</v>
      </c>
      <c r="G159" s="18" t="n">
        <f aca="false">SUM(G156:G158)</f>
        <v>302.1</v>
      </c>
      <c r="H159" s="18" t="n">
        <f aca="false">SUM(H156:H158)</f>
        <v>0</v>
      </c>
      <c r="I159" s="18" t="n">
        <f aca="false">SUM(I156:I158)</f>
        <v>0.375</v>
      </c>
      <c r="J159" s="18" t="n">
        <f aca="false">SUM(J156:J158)</f>
        <v>0.28</v>
      </c>
      <c r="K159" s="18" t="n">
        <f aca="false">SUM(K156:K158)</f>
        <v>108</v>
      </c>
      <c r="L159" s="18" t="n">
        <f aca="false">SUM(L156:L158)</f>
        <v>117.7</v>
      </c>
      <c r="M159" s="18" t="n">
        <f aca="false">SUM(M156:M158)</f>
        <v>3.289</v>
      </c>
    </row>
    <row r="160" customFormat="false" ht="18.75" hidden="false" customHeight="false" outlineLevel="0" collapsed="false">
      <c r="A160" s="10"/>
      <c r="B160" s="19" t="s">
        <v>28</v>
      </c>
      <c r="C160" s="20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customFormat="false" ht="15" hidden="false" customHeight="false" outlineLevel="0" collapsed="false">
      <c r="A161" s="10" t="n">
        <v>70</v>
      </c>
      <c r="B161" s="11" t="s">
        <v>54</v>
      </c>
      <c r="C161" s="12" t="n">
        <v>100</v>
      </c>
      <c r="D161" s="13" t="n">
        <f aca="false">12.3*C161/1000</f>
        <v>1.23</v>
      </c>
      <c r="E161" s="13" t="n">
        <f aca="false">0.9*C161/1000</f>
        <v>0.09</v>
      </c>
      <c r="F161" s="13" t="n">
        <f aca="false">114.8*C161/1000</f>
        <v>11.48</v>
      </c>
      <c r="G161" s="13" t="n">
        <f aca="false">817*C161/1000</f>
        <v>81.7</v>
      </c>
      <c r="H161" s="13" t="n">
        <f aca="false">0</f>
        <v>0</v>
      </c>
      <c r="I161" s="13" t="n">
        <f aca="false">0.6*C161/1000</f>
        <v>0.06</v>
      </c>
      <c r="J161" s="13" t="n">
        <f aca="false">33.6*C161/1000</f>
        <v>3.36</v>
      </c>
      <c r="K161" s="13" t="n">
        <f aca="false">257.6*C161/1000</f>
        <v>25.76</v>
      </c>
      <c r="L161" s="13" t="n">
        <f aca="false">527.7*C161/1000</f>
        <v>52.77</v>
      </c>
      <c r="M161" s="13" t="n">
        <f aca="false">6.6*C161/1000</f>
        <v>0.66</v>
      </c>
    </row>
    <row r="162" customFormat="false" ht="15" hidden="false" customHeight="false" outlineLevel="0" collapsed="false">
      <c r="A162" s="10" t="n">
        <v>101</v>
      </c>
      <c r="B162" s="11" t="s">
        <v>63</v>
      </c>
      <c r="C162" s="12" t="n">
        <v>250</v>
      </c>
      <c r="D162" s="13" t="n">
        <f aca="false">7.89*C162/1000</f>
        <v>1.9725</v>
      </c>
      <c r="E162" s="13" t="n">
        <f aca="false">10.85*C162/1000</f>
        <v>2.7125</v>
      </c>
      <c r="F162" s="13" t="n">
        <f aca="false">48.45*C162/1000</f>
        <v>12.1125</v>
      </c>
      <c r="G162" s="13" t="n">
        <f aca="false">343*C162/1000</f>
        <v>85.75</v>
      </c>
      <c r="H162" s="13" t="n">
        <f aca="false">0*C162/1000</f>
        <v>0</v>
      </c>
      <c r="I162" s="13" t="n">
        <f aca="false">0.36*C162/1000</f>
        <v>0.09</v>
      </c>
      <c r="J162" s="13" t="n">
        <f aca="false">33*C162/1000</f>
        <v>8.25</v>
      </c>
      <c r="K162" s="13" t="n">
        <f aca="false">106.8*C162/1000</f>
        <v>26.7</v>
      </c>
      <c r="L162" s="13" t="n">
        <f aca="false">223.9*C162/1000</f>
        <v>55.975</v>
      </c>
      <c r="M162" s="13" t="n">
        <f aca="false">3.5*C162/1000</f>
        <v>0.875</v>
      </c>
    </row>
    <row r="163" customFormat="false" ht="15" hidden="false" customHeight="false" outlineLevel="0" collapsed="false">
      <c r="A163" s="10" t="n">
        <v>310</v>
      </c>
      <c r="B163" s="11" t="s">
        <v>64</v>
      </c>
      <c r="C163" s="12" t="n">
        <v>180</v>
      </c>
      <c r="D163" s="13" t="n">
        <v>3.7</v>
      </c>
      <c r="E163" s="13" t="n">
        <v>5.8</v>
      </c>
      <c r="F163" s="13" t="n">
        <v>24.5</v>
      </c>
      <c r="G163" s="13" t="n">
        <v>164.7</v>
      </c>
      <c r="H163" s="13" t="n">
        <v>0</v>
      </c>
      <c r="I163" s="13" t="n">
        <v>0.2</v>
      </c>
      <c r="J163" s="13" t="n">
        <v>21.8</v>
      </c>
      <c r="K163" s="13" t="n">
        <v>44.4</v>
      </c>
      <c r="L163" s="13" t="n">
        <v>103.9</v>
      </c>
      <c r="M163" s="13" t="n">
        <v>1.2</v>
      </c>
    </row>
    <row r="164" customFormat="false" ht="15" hidden="false" customHeight="false" outlineLevel="0" collapsed="false">
      <c r="A164" s="10" t="n">
        <v>602</v>
      </c>
      <c r="B164" s="11" t="s">
        <v>65</v>
      </c>
      <c r="C164" s="12" t="n">
        <v>100</v>
      </c>
      <c r="D164" s="14" t="n">
        <f aca="false">29*C164/1000</f>
        <v>2.9</v>
      </c>
      <c r="E164" s="14" t="n">
        <f aca="false">25*C164/1000</f>
        <v>2.5</v>
      </c>
      <c r="F164" s="14" t="n">
        <f aca="false">40*C164/1000</f>
        <v>4</v>
      </c>
      <c r="G164" s="14" t="n">
        <f aca="false">500*C164/1000</f>
        <v>50</v>
      </c>
      <c r="H164" s="14" t="n">
        <f aca="false">200*C164/1000</f>
        <v>20</v>
      </c>
      <c r="I164" s="14" t="n">
        <f aca="false">0.4*C164/1000</f>
        <v>0.04</v>
      </c>
      <c r="J164" s="14" t="n">
        <f aca="false">7*C164/1000</f>
        <v>0.7</v>
      </c>
      <c r="K164" s="14" t="n">
        <f aca="false">1200*C164/1000</f>
        <v>120</v>
      </c>
      <c r="L164" s="14" t="n">
        <f aca="false">900*C164/1000</f>
        <v>90</v>
      </c>
      <c r="M164" s="14" t="n">
        <f aca="false">1*C164/1000</f>
        <v>0.1</v>
      </c>
    </row>
    <row r="165" customFormat="false" ht="15" hidden="false" customHeight="false" outlineLevel="0" collapsed="false">
      <c r="A165" s="15"/>
      <c r="B165" s="11" t="s">
        <v>25</v>
      </c>
      <c r="C165" s="12" t="n">
        <v>60</v>
      </c>
      <c r="D165" s="13" t="n">
        <f aca="false">107*C165/1000</f>
        <v>6.42</v>
      </c>
      <c r="E165" s="13" t="n">
        <f aca="false">45*C165/1000</f>
        <v>2.7</v>
      </c>
      <c r="F165" s="13" t="n">
        <f aca="false">435*C165/1000</f>
        <v>26.1</v>
      </c>
      <c r="G165" s="13" t="n">
        <f aca="false">2740*C165/1000</f>
        <v>164.4</v>
      </c>
      <c r="H165" s="13" t="n">
        <f aca="false">0</f>
        <v>0</v>
      </c>
      <c r="I165" s="13" t="n">
        <f aca="false">4.1*C165/1000</f>
        <v>0.246</v>
      </c>
      <c r="J165" s="13" t="n">
        <f aca="false">2*C165/1000</f>
        <v>0.12</v>
      </c>
      <c r="K165" s="13" t="n">
        <f aca="false">1250*C165/1000</f>
        <v>75</v>
      </c>
      <c r="L165" s="13" t="n">
        <f aca="false">1290*C165/1000</f>
        <v>77.4</v>
      </c>
      <c r="M165" s="13" t="n">
        <f aca="false">36*C165/1000</f>
        <v>2.16</v>
      </c>
    </row>
    <row r="166" customFormat="false" ht="15" hidden="false" customHeight="false" outlineLevel="0" collapsed="false">
      <c r="A166" s="10"/>
      <c r="B166" s="11" t="s">
        <v>26</v>
      </c>
      <c r="C166" s="12" t="n">
        <v>30</v>
      </c>
      <c r="D166" s="23" t="n">
        <f aca="false">232*C166/1000</f>
        <v>6.96</v>
      </c>
      <c r="E166" s="23" t="n">
        <f aca="false">295*C166/1000</f>
        <v>8.85</v>
      </c>
      <c r="F166" s="23" t="n">
        <f aca="false">0</f>
        <v>0</v>
      </c>
      <c r="G166" s="23" t="n">
        <f aca="false">3600*C166/1000</f>
        <v>108</v>
      </c>
      <c r="H166" s="23" t="n">
        <f aca="false">2600*C166/1000</f>
        <v>78</v>
      </c>
      <c r="I166" s="23" t="n">
        <f aca="false">0.3*C166/1000</f>
        <v>0.009</v>
      </c>
      <c r="J166" s="23" t="n">
        <f aca="false">7*C166/1000</f>
        <v>0.21</v>
      </c>
      <c r="K166" s="23" t="n">
        <f aca="false">8800*C166/1000</f>
        <v>264</v>
      </c>
      <c r="L166" s="23" t="n">
        <f aca="false">5000*C166/1000</f>
        <v>150</v>
      </c>
      <c r="M166" s="23" t="n">
        <f aca="false">10*C166/1000</f>
        <v>0.3</v>
      </c>
    </row>
    <row r="167" customFormat="false" ht="15" hidden="false" customHeight="false" outlineLevel="0" collapsed="false">
      <c r="A167" s="22"/>
      <c r="B167" s="11" t="s">
        <v>23</v>
      </c>
      <c r="C167" s="12" t="n">
        <v>200</v>
      </c>
      <c r="D167" s="14" t="n">
        <f aca="false">85*C167/1000</f>
        <v>17</v>
      </c>
      <c r="E167" s="14" t="n">
        <f aca="false">33*C167/1000</f>
        <v>6.6</v>
      </c>
      <c r="F167" s="14" t="n">
        <f aca="false">425*C167/1000</f>
        <v>85</v>
      </c>
      <c r="G167" s="14" t="n">
        <f aca="false">2590*C167/1000</f>
        <v>518</v>
      </c>
      <c r="H167" s="14" t="n">
        <f aca="false">0</f>
        <v>0</v>
      </c>
      <c r="I167" s="14" t="n">
        <f aca="false">4.3*C167/1000</f>
        <v>0.86</v>
      </c>
      <c r="J167" s="14" t="n">
        <f aca="false">4*C167/1000</f>
        <v>0.8</v>
      </c>
      <c r="K167" s="14" t="n">
        <f aca="false">730*C167/1000</f>
        <v>146</v>
      </c>
      <c r="L167" s="14" t="n">
        <f aca="false">1250*C167/1000</f>
        <v>250</v>
      </c>
      <c r="M167" s="14" t="n">
        <f aca="false">28.3*C167/1000</f>
        <v>5.66</v>
      </c>
    </row>
    <row r="168" customFormat="false" ht="15" hidden="false" customHeight="false" outlineLevel="0" collapsed="false">
      <c r="A168" s="15" t="n">
        <v>338</v>
      </c>
      <c r="B168" s="11" t="s">
        <v>52</v>
      </c>
      <c r="C168" s="12" t="n">
        <v>100</v>
      </c>
      <c r="D168" s="13" t="n">
        <f aca="false">4*C168/1000</f>
        <v>0.4</v>
      </c>
      <c r="E168" s="13" t="n">
        <f aca="false">4*C168/1000</f>
        <v>0.4</v>
      </c>
      <c r="F168" s="13" t="n">
        <f aca="false">98*C168/1000</f>
        <v>9.8</v>
      </c>
      <c r="G168" s="13" t="n">
        <f aca="false">470*C168/1000</f>
        <v>47</v>
      </c>
      <c r="H168" s="13" t="n">
        <f aca="false">0</f>
        <v>0</v>
      </c>
      <c r="I168" s="13" t="n">
        <f aca="false">0.3*C168/1000</f>
        <v>0.03</v>
      </c>
      <c r="J168" s="13" t="n">
        <f aca="false">100*C168/1000</f>
        <v>10</v>
      </c>
      <c r="K168" s="13" t="n">
        <f aca="false">160*C168/1000</f>
        <v>16</v>
      </c>
      <c r="L168" s="13" t="n">
        <f aca="false">110*C168/1000</f>
        <v>11</v>
      </c>
      <c r="M168" s="13" t="n">
        <f aca="false">22*C168/1000</f>
        <v>2.2</v>
      </c>
    </row>
    <row r="169" customFormat="false" ht="17.25" hidden="false" customHeight="true" outlineLevel="0" collapsed="false">
      <c r="A169" s="21"/>
      <c r="B169" s="16" t="s">
        <v>27</v>
      </c>
      <c r="C169" s="40" t="n">
        <f aca="false">SUM(C161:C167)</f>
        <v>920</v>
      </c>
      <c r="D169" s="18" t="n">
        <f aca="false">SUM(D161:D167)</f>
        <v>40.1825</v>
      </c>
      <c r="E169" s="18" t="n">
        <f aca="false">SUM(E161:E167)</f>
        <v>29.2525</v>
      </c>
      <c r="F169" s="18" t="n">
        <f aca="false">SUM(F161:F167)</f>
        <v>163.1925</v>
      </c>
      <c r="G169" s="18" t="n">
        <f aca="false">SUM(G161:G167)</f>
        <v>1172.55</v>
      </c>
      <c r="H169" s="18" t="n">
        <f aca="false">SUM(H161:H167)</f>
        <v>98</v>
      </c>
      <c r="I169" s="18" t="n">
        <f aca="false">SUM(I161:I167)</f>
        <v>1.505</v>
      </c>
      <c r="J169" s="18" t="n">
        <f aca="false">SUM(J161:J167)</f>
        <v>35.24</v>
      </c>
      <c r="K169" s="18" t="n">
        <f aca="false">SUM(K161:K167)</f>
        <v>701.86</v>
      </c>
      <c r="L169" s="18" t="n">
        <f aca="false">SUM(L161:L167)</f>
        <v>780.045</v>
      </c>
      <c r="M169" s="18" t="n">
        <f aca="false">SUM(M161:M167)</f>
        <v>10.955</v>
      </c>
    </row>
    <row r="170" customFormat="false" ht="17.25" hidden="false" customHeight="true" outlineLevel="0" collapsed="false">
      <c r="A170" s="21"/>
      <c r="B170" s="24" t="s">
        <v>35</v>
      </c>
      <c r="C170" s="41" t="n">
        <f aca="false">C159+C169</f>
        <v>1470</v>
      </c>
      <c r="D170" s="26" t="n">
        <f aca="false">D159+D169</f>
        <v>49.2225</v>
      </c>
      <c r="E170" s="26" t="n">
        <f aca="false">E159+E169</f>
        <v>32.9625</v>
      </c>
      <c r="F170" s="26" t="n">
        <f aca="false">F159+F169</f>
        <v>217.0425</v>
      </c>
      <c r="G170" s="26" t="n">
        <f aca="false">G159+G169</f>
        <v>1474.65</v>
      </c>
      <c r="H170" s="26" t="n">
        <f aca="false">H159+H169</f>
        <v>98</v>
      </c>
      <c r="I170" s="26" t="n">
        <f aca="false">I159+I169</f>
        <v>1.88</v>
      </c>
      <c r="J170" s="26" t="n">
        <f aca="false">J159+J169</f>
        <v>35.52</v>
      </c>
      <c r="K170" s="26" t="n">
        <f aca="false">K159+K169</f>
        <v>809.86</v>
      </c>
      <c r="L170" s="26" t="n">
        <f aca="false">L159+L169</f>
        <v>897.745</v>
      </c>
      <c r="M170" s="26" t="n">
        <f aca="false">M159+M169</f>
        <v>14.244</v>
      </c>
    </row>
    <row r="171" customFormat="false" ht="17.25" hidden="false" customHeight="true" outlineLevel="0" collapsed="false">
      <c r="A171" s="27"/>
      <c r="B171" s="28" t="s">
        <v>36</v>
      </c>
      <c r="C171" s="29" t="n">
        <v>1350</v>
      </c>
      <c r="D171" s="13" t="n">
        <v>49.5</v>
      </c>
      <c r="E171" s="13" t="n">
        <v>50.6</v>
      </c>
      <c r="F171" s="13" t="n">
        <v>210.7</v>
      </c>
      <c r="G171" s="13" t="n">
        <v>1496</v>
      </c>
      <c r="H171" s="13" t="n">
        <v>495</v>
      </c>
      <c r="I171" s="13" t="n">
        <v>0.8</v>
      </c>
      <c r="J171" s="13" t="n">
        <v>38.5</v>
      </c>
      <c r="K171" s="13" t="n">
        <v>660</v>
      </c>
      <c r="L171" s="13" t="n">
        <v>660</v>
      </c>
      <c r="M171" s="13" t="n">
        <v>9.9</v>
      </c>
    </row>
    <row r="172" customFormat="false" ht="17.25" hidden="false" customHeight="true" outlineLevel="0" collapsed="false">
      <c r="A172" s="30"/>
      <c r="B172" s="31"/>
      <c r="C172" s="32"/>
      <c r="D172" s="34"/>
      <c r="E172" s="34"/>
      <c r="F172" s="34"/>
      <c r="G172" s="34"/>
      <c r="H172" s="34"/>
      <c r="I172" s="34"/>
      <c r="J172" s="34"/>
      <c r="K172" s="34"/>
      <c r="L172" s="34"/>
      <c r="M172" s="34"/>
    </row>
    <row r="173" customFormat="false" ht="17.25" hidden="false" customHeight="true" outlineLevel="0" collapsed="false">
      <c r="A173" s="30"/>
      <c r="B173" s="31"/>
      <c r="C173" s="32"/>
      <c r="D173" s="34"/>
      <c r="E173" s="34"/>
      <c r="F173" s="34"/>
      <c r="G173" s="34"/>
      <c r="H173" s="34"/>
      <c r="I173" s="34"/>
      <c r="J173" s="34"/>
      <c r="K173" s="34"/>
      <c r="L173" s="34"/>
      <c r="M173" s="34"/>
    </row>
    <row r="174" customFormat="false" ht="17.25" hidden="false" customHeight="true" outlineLevel="0" collapsed="false"/>
    <row r="175" customFormat="false" ht="17.25" hidden="false" customHeight="true" outlineLevel="0" collapsed="false"/>
    <row r="176" customFormat="false" ht="17.25" hidden="false" customHeight="true" outlineLevel="0" collapsed="false">
      <c r="A176" s="30"/>
      <c r="B176" s="31"/>
      <c r="C176" s="32"/>
      <c r="D176" s="34"/>
      <c r="E176" s="34"/>
      <c r="F176" s="34"/>
      <c r="G176" s="34"/>
      <c r="H176" s="34"/>
      <c r="I176" s="34"/>
      <c r="J176" s="34"/>
      <c r="K176" s="34"/>
      <c r="L176" s="34"/>
      <c r="M176" s="34"/>
    </row>
    <row r="177" customFormat="false" ht="17.25" hidden="false" customHeight="true" outlineLevel="0" collapsed="false">
      <c r="A177" s="30"/>
      <c r="B177" s="31"/>
      <c r="C177" s="32"/>
      <c r="D177" s="34"/>
      <c r="E177" s="34"/>
      <c r="F177" s="34"/>
      <c r="G177" s="34"/>
      <c r="H177" s="34"/>
      <c r="I177" s="34"/>
      <c r="J177" s="34"/>
      <c r="K177" s="34"/>
      <c r="L177" s="34"/>
      <c r="M177" s="34"/>
    </row>
    <row r="178" customFormat="false" ht="17.25" hidden="false" customHeight="true" outlineLevel="0" collapsed="false">
      <c r="A178" s="30"/>
      <c r="B178" s="31"/>
      <c r="C178" s="32"/>
      <c r="D178" s="34"/>
      <c r="E178" s="34"/>
      <c r="F178" s="34"/>
      <c r="G178" s="34"/>
      <c r="H178" s="34"/>
      <c r="I178" s="34"/>
      <c r="J178" s="34"/>
      <c r="K178" s="34"/>
      <c r="L178" s="34"/>
      <c r="M178" s="34"/>
    </row>
    <row r="179" customFormat="false" ht="17.25" hidden="false" customHeight="true" outlineLevel="0" collapsed="false">
      <c r="A179" s="30"/>
      <c r="B179" s="31"/>
      <c r="C179" s="32"/>
      <c r="D179" s="34"/>
      <c r="E179" s="34"/>
      <c r="F179" s="34"/>
      <c r="G179" s="34"/>
      <c r="H179" s="34"/>
      <c r="I179" s="34"/>
      <c r="J179" s="34"/>
      <c r="K179" s="34"/>
      <c r="L179" s="34"/>
      <c r="M179" s="34"/>
    </row>
    <row r="180" customFormat="false" ht="17.25" hidden="false" customHeight="true" outlineLevel="0" collapsed="false">
      <c r="A180" s="30"/>
      <c r="B180" s="31"/>
      <c r="C180" s="32"/>
      <c r="D180" s="34"/>
      <c r="E180" s="34"/>
      <c r="F180" s="34"/>
      <c r="G180" s="34"/>
      <c r="H180" s="34"/>
      <c r="I180" s="34"/>
      <c r="J180" s="34"/>
      <c r="K180" s="34"/>
      <c r="L180" s="34"/>
      <c r="M180" s="34"/>
    </row>
    <row r="181" customFormat="false" ht="15.75" hidden="false" customHeight="false" outlineLevel="0" collapsed="false">
      <c r="A181" s="30"/>
      <c r="B181" s="31"/>
      <c r="C181" s="32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customFormat="false" ht="15.75" hidden="false" customHeight="false" outlineLevel="0" collapsed="false">
      <c r="A182" s="30"/>
      <c r="B182" s="31"/>
      <c r="C182" s="32"/>
      <c r="D182" s="34"/>
      <c r="E182" s="34"/>
      <c r="F182" s="34"/>
      <c r="G182" s="34"/>
      <c r="H182" s="34"/>
      <c r="I182" s="34"/>
      <c r="J182" s="34"/>
      <c r="K182" s="34"/>
      <c r="L182" s="34"/>
      <c r="M182" s="34"/>
    </row>
    <row r="183" customFormat="false" ht="15.75" hidden="false" customHeight="false" outlineLevel="0" collapsed="false">
      <c r="A183" s="42"/>
      <c r="B183" s="31"/>
      <c r="C183" s="43"/>
      <c r="D183" s="33"/>
      <c r="E183" s="33"/>
      <c r="F183" s="33"/>
      <c r="G183" s="33"/>
      <c r="H183" s="33"/>
      <c r="I183" s="34"/>
      <c r="J183" s="33"/>
      <c r="K183" s="33"/>
      <c r="L183" s="33"/>
      <c r="M183" s="33"/>
    </row>
    <row r="184" customFormat="false" ht="15" hidden="false" customHeight="false" outlineLevel="0" collapsed="false">
      <c r="A184" s="2" t="s">
        <v>66</v>
      </c>
      <c r="B184" s="2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customFormat="false" ht="15" hidden="false" customHeight="false" outlineLevel="0" collapsed="false">
      <c r="A185" s="2" t="s">
        <v>67</v>
      </c>
      <c r="B185" s="2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customFormat="false" ht="15.75" hidden="false" customHeight="false" outlineLevel="0" collapsed="false">
      <c r="A186" s="3" t="s">
        <v>2</v>
      </c>
      <c r="B186" s="3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customFormat="false" ht="15" hidden="false" customHeight="true" outlineLevel="0" collapsed="false">
      <c r="A187" s="4" t="s">
        <v>3</v>
      </c>
      <c r="B187" s="4" t="s">
        <v>4</v>
      </c>
      <c r="C187" s="4" t="s">
        <v>5</v>
      </c>
      <c r="D187" s="36" t="s">
        <v>6</v>
      </c>
      <c r="E187" s="36"/>
      <c r="F187" s="36"/>
      <c r="G187" s="37" t="s">
        <v>7</v>
      </c>
      <c r="H187" s="37" t="s">
        <v>8</v>
      </c>
      <c r="I187" s="37"/>
      <c r="J187" s="37"/>
      <c r="K187" s="37" t="s">
        <v>9</v>
      </c>
      <c r="L187" s="37"/>
      <c r="M187" s="37"/>
    </row>
    <row r="188" customFormat="false" ht="15.75" hidden="false" customHeight="true" outlineLevel="0" collapsed="false">
      <c r="A188" s="4"/>
      <c r="B188" s="4"/>
      <c r="C188" s="4"/>
      <c r="D188" s="38" t="s">
        <v>10</v>
      </c>
      <c r="E188" s="38"/>
      <c r="F188" s="38"/>
      <c r="G188" s="37"/>
      <c r="H188" s="37"/>
      <c r="I188" s="37"/>
      <c r="J188" s="37"/>
      <c r="K188" s="37"/>
      <c r="L188" s="37"/>
      <c r="M188" s="37"/>
    </row>
    <row r="189" customFormat="false" ht="17.25" hidden="false" customHeight="false" outlineLevel="0" collapsed="false">
      <c r="A189" s="4"/>
      <c r="B189" s="4"/>
      <c r="C189" s="4"/>
      <c r="D189" s="37" t="s">
        <v>11</v>
      </c>
      <c r="E189" s="37" t="s">
        <v>12</v>
      </c>
      <c r="F189" s="37" t="s">
        <v>13</v>
      </c>
      <c r="G189" s="37"/>
      <c r="H189" s="37" t="s">
        <v>14</v>
      </c>
      <c r="I189" s="37" t="s">
        <v>38</v>
      </c>
      <c r="J189" s="37" t="s">
        <v>16</v>
      </c>
      <c r="K189" s="37" t="s">
        <v>17</v>
      </c>
      <c r="L189" s="37" t="s">
        <v>18</v>
      </c>
      <c r="M189" s="37" t="s">
        <v>19</v>
      </c>
    </row>
    <row r="190" customFormat="false" ht="18.75" hidden="false" customHeight="false" outlineLevel="0" collapsed="false">
      <c r="A190" s="7"/>
      <c r="B190" s="8" t="s">
        <v>20</v>
      </c>
      <c r="C190" s="9"/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customFormat="false" ht="15" hidden="false" customHeight="false" outlineLevel="0" collapsed="false">
      <c r="A191" s="21" t="n">
        <v>312</v>
      </c>
      <c r="B191" s="11" t="s">
        <v>41</v>
      </c>
      <c r="C191" s="12" t="n">
        <v>180</v>
      </c>
      <c r="D191" s="13" t="n">
        <f aca="false">36.8*C191/1000</f>
        <v>6.624</v>
      </c>
      <c r="E191" s="13" t="n">
        <f aca="false">30.1*C191/1000</f>
        <v>5.418</v>
      </c>
      <c r="F191" s="13" t="n">
        <f aca="false">176.3*C191/1000</f>
        <v>31.734</v>
      </c>
      <c r="G191" s="13" t="n">
        <f aca="false">1123*C191/1000</f>
        <v>202.14</v>
      </c>
      <c r="H191" s="13" t="n">
        <f aca="false">0</f>
        <v>0</v>
      </c>
      <c r="I191" s="13" t="n">
        <f aca="false">0.4*C191/1000</f>
        <v>0.072</v>
      </c>
      <c r="J191" s="13" t="n">
        <f aca="false">0</f>
        <v>0</v>
      </c>
      <c r="K191" s="13" t="n">
        <f aca="false">32.4*C191/1000</f>
        <v>5.832</v>
      </c>
      <c r="L191" s="13" t="n">
        <f aca="false">247.8*C191/1000</f>
        <v>44.604</v>
      </c>
      <c r="M191" s="13" t="n">
        <f aca="false">7.4*C191/1000</f>
        <v>1.332</v>
      </c>
    </row>
    <row r="192" customFormat="false" ht="15" hidden="false" customHeight="false" outlineLevel="0" collapsed="false">
      <c r="A192" s="10"/>
      <c r="B192" s="11" t="s">
        <v>68</v>
      </c>
      <c r="C192" s="12" t="n">
        <v>100</v>
      </c>
      <c r="D192" s="14" t="n">
        <f aca="false">15.8*C192/1000</f>
        <v>1.58</v>
      </c>
      <c r="E192" s="14" t="n">
        <f aca="false">13.4*C192/1000</f>
        <v>1.34</v>
      </c>
      <c r="F192" s="14" t="n">
        <f aca="false">79.7*C192/1000</f>
        <v>7.97</v>
      </c>
      <c r="G192" s="14" t="n">
        <f aca="false">503*C192/1000</f>
        <v>50.3</v>
      </c>
      <c r="H192" s="14" t="n">
        <f aca="false">100*C192/1000</f>
        <v>10</v>
      </c>
      <c r="I192" s="14" t="n">
        <f aca="false">0.22*C192/1000</f>
        <v>0.022</v>
      </c>
      <c r="J192" s="14" t="n">
        <f aca="false">6.5*C192/1000</f>
        <v>0.65</v>
      </c>
      <c r="K192" s="14" t="n">
        <f aca="false">628.9*C192/1000</f>
        <v>62.89</v>
      </c>
      <c r="L192" s="14" t="n">
        <f aca="false">450*C192/1000</f>
        <v>45</v>
      </c>
      <c r="M192" s="14" t="n">
        <f aca="false">0.7*C192/1000</f>
        <v>0.07</v>
      </c>
    </row>
    <row r="193" customFormat="false" ht="15" hidden="false" customHeight="false" outlineLevel="0" collapsed="false">
      <c r="A193" s="21" t="n">
        <v>15</v>
      </c>
      <c r="B193" s="11" t="s">
        <v>69</v>
      </c>
      <c r="C193" s="12" t="n">
        <v>10</v>
      </c>
      <c r="D193" s="14" t="n">
        <v>2.3</v>
      </c>
      <c r="E193" s="14" t="n">
        <v>3</v>
      </c>
      <c r="F193" s="14" t="n">
        <v>0</v>
      </c>
      <c r="G193" s="14" t="n">
        <v>36</v>
      </c>
      <c r="H193" s="14" t="n">
        <v>0.3</v>
      </c>
      <c r="I193" s="14" t="n">
        <v>0.3</v>
      </c>
      <c r="J193" s="14" t="n">
        <v>0.7</v>
      </c>
      <c r="K193" s="14" t="n">
        <v>88</v>
      </c>
      <c r="L193" s="14" t="n">
        <v>50</v>
      </c>
      <c r="M193" s="14" t="n">
        <v>0.1</v>
      </c>
    </row>
    <row r="194" customFormat="false" ht="15" hidden="false" customHeight="false" outlineLevel="0" collapsed="false">
      <c r="A194" s="22"/>
      <c r="B194" s="11" t="s">
        <v>25</v>
      </c>
      <c r="C194" s="12" t="n">
        <v>60</v>
      </c>
      <c r="D194" s="13" t="n">
        <f aca="false">107*C194/1000</f>
        <v>6.42</v>
      </c>
      <c r="E194" s="13" t="n">
        <f aca="false">45*C194/1000</f>
        <v>2.7</v>
      </c>
      <c r="F194" s="13" t="n">
        <f aca="false">435*C194/1000</f>
        <v>26.1</v>
      </c>
      <c r="G194" s="13" t="n">
        <f aca="false">2740*C194/1000</f>
        <v>164.4</v>
      </c>
      <c r="H194" s="13" t="n">
        <f aca="false">0</f>
        <v>0</v>
      </c>
      <c r="I194" s="13" t="n">
        <f aca="false">4.1*C194/1000</f>
        <v>0.246</v>
      </c>
      <c r="J194" s="13" t="n">
        <f aca="false">2*C194/1000</f>
        <v>0.12</v>
      </c>
      <c r="K194" s="13" t="n">
        <f aca="false">1250*C194/1000</f>
        <v>75</v>
      </c>
      <c r="L194" s="13" t="n">
        <f aca="false">1290*C194/1000</f>
        <v>77.4</v>
      </c>
      <c r="M194" s="13" t="n">
        <f aca="false">36*C194/1000</f>
        <v>2.16</v>
      </c>
    </row>
    <row r="195" customFormat="false" ht="15" hidden="false" customHeight="false" outlineLevel="0" collapsed="false">
      <c r="A195" s="22"/>
      <c r="B195" s="11" t="s">
        <v>26</v>
      </c>
      <c r="C195" s="12" t="n">
        <v>30</v>
      </c>
      <c r="D195" s="14" t="n">
        <f aca="false">85*C195/1000</f>
        <v>2.55</v>
      </c>
      <c r="E195" s="14" t="n">
        <f aca="false">33*C195/1000</f>
        <v>0.99</v>
      </c>
      <c r="F195" s="14" t="n">
        <f aca="false">425*C195/1000</f>
        <v>12.75</v>
      </c>
      <c r="G195" s="14" t="n">
        <f aca="false">2590*C195/1000</f>
        <v>77.7</v>
      </c>
      <c r="H195" s="14" t="n">
        <f aca="false">0</f>
        <v>0</v>
      </c>
      <c r="I195" s="14" t="n">
        <f aca="false">4.3*C195/1000</f>
        <v>0.129</v>
      </c>
      <c r="J195" s="14" t="n">
        <f aca="false">4*C195/1000</f>
        <v>0.12</v>
      </c>
      <c r="K195" s="14" t="n">
        <f aca="false">730*C195/1000</f>
        <v>21.9</v>
      </c>
      <c r="L195" s="14" t="n">
        <f aca="false">1250*C195/1000</f>
        <v>37.5</v>
      </c>
      <c r="M195" s="14" t="n">
        <f aca="false">28.3*C195/1000</f>
        <v>0.849</v>
      </c>
    </row>
    <row r="196" customFormat="false" ht="15" hidden="false" customHeight="false" outlineLevel="0" collapsed="false">
      <c r="A196" s="10" t="n">
        <v>377</v>
      </c>
      <c r="B196" s="11" t="s">
        <v>23</v>
      </c>
      <c r="C196" s="12" t="n">
        <v>200</v>
      </c>
      <c r="D196" s="13" t="n">
        <v>0.1</v>
      </c>
      <c r="E196" s="13" t="n">
        <v>0</v>
      </c>
      <c r="F196" s="13" t="n">
        <v>15.2</v>
      </c>
      <c r="G196" s="13" t="n">
        <v>62</v>
      </c>
      <c r="H196" s="13" t="n">
        <v>0</v>
      </c>
      <c r="I196" s="13" t="n">
        <v>0</v>
      </c>
      <c r="J196" s="13" t="n">
        <v>2.8</v>
      </c>
      <c r="K196" s="13" t="n">
        <v>14.2</v>
      </c>
      <c r="L196" s="13" t="n">
        <v>4.4</v>
      </c>
      <c r="M196" s="13" t="n">
        <v>0.4</v>
      </c>
    </row>
    <row r="197" customFormat="false" ht="15" hidden="false" customHeight="false" outlineLevel="0" collapsed="false">
      <c r="A197" s="10"/>
      <c r="B197" s="11" t="s">
        <v>70</v>
      </c>
      <c r="C197" s="12"/>
      <c r="D197" s="13" t="n">
        <f aca="false">130*C197/1000</f>
        <v>0</v>
      </c>
      <c r="E197" s="13" t="n">
        <f aca="false">154.6*C197/1000</f>
        <v>0</v>
      </c>
      <c r="F197" s="13" t="n">
        <f aca="false">159.8*C197/1000</f>
        <v>0</v>
      </c>
      <c r="G197" s="13" t="n">
        <f aca="false">2560*C197/1000</f>
        <v>0</v>
      </c>
      <c r="H197" s="13" t="n">
        <f aca="false">494*C197/1000</f>
        <v>0</v>
      </c>
      <c r="I197" s="13" t="n">
        <f aca="false">0.8*C197/1000</f>
        <v>0</v>
      </c>
      <c r="J197" s="13" t="n">
        <f aca="false">6.6*C197/1000</f>
        <v>0</v>
      </c>
      <c r="K197" s="13" t="n">
        <f aca="false">742.8*C197/1000</f>
        <v>0</v>
      </c>
      <c r="L197" s="13" t="n">
        <f aca="false">1884.6*C197/1000</f>
        <v>0</v>
      </c>
      <c r="M197" s="13" t="n">
        <f aca="false">14.8*C197/1000</f>
        <v>0</v>
      </c>
    </row>
    <row r="198" customFormat="false" ht="15" hidden="false" customHeight="false" outlineLevel="0" collapsed="false">
      <c r="A198" s="10"/>
      <c r="B198" s="16" t="s">
        <v>27</v>
      </c>
      <c r="C198" s="40" t="n">
        <f aca="false">SUM(C191:C197)</f>
        <v>580</v>
      </c>
      <c r="D198" s="18" t="n">
        <f aca="false">SUM(D191:D197)</f>
        <v>19.574</v>
      </c>
      <c r="E198" s="18" t="n">
        <f aca="false">SUM(E191:E197)</f>
        <v>13.448</v>
      </c>
      <c r="F198" s="18" t="n">
        <f aca="false">SUM(F191:F197)</f>
        <v>93.754</v>
      </c>
      <c r="G198" s="18" t="n">
        <f aca="false">SUM(G191:G197)</f>
        <v>592.54</v>
      </c>
      <c r="H198" s="18" t="n">
        <f aca="false">SUM(H191:H197)</f>
        <v>10.3</v>
      </c>
      <c r="I198" s="18" t="n">
        <f aca="false">SUM(I191:I197)</f>
        <v>0.769</v>
      </c>
      <c r="J198" s="18" t="n">
        <f aca="false">SUM(J191:J197)</f>
        <v>4.39</v>
      </c>
      <c r="K198" s="18" t="n">
        <f aca="false">SUM(K191:K197)</f>
        <v>267.822</v>
      </c>
      <c r="L198" s="18" t="n">
        <f aca="false">SUM(L191:L197)</f>
        <v>258.904</v>
      </c>
      <c r="M198" s="18" t="n">
        <f aca="false">SUM(M191:M197)</f>
        <v>4.911</v>
      </c>
    </row>
    <row r="199" customFormat="false" ht="18.75" hidden="false" customHeight="false" outlineLevel="0" collapsed="false">
      <c r="A199" s="10"/>
      <c r="B199" s="19" t="s">
        <v>28</v>
      </c>
      <c r="C199" s="20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customFormat="false" ht="15" hidden="false" customHeight="false" outlineLevel="0" collapsed="false">
      <c r="A200" s="10" t="n">
        <v>70</v>
      </c>
      <c r="B200" s="11" t="s">
        <v>54</v>
      </c>
      <c r="C200" s="12" t="n">
        <v>100</v>
      </c>
      <c r="D200" s="13" t="n">
        <f aca="false">13.1*C200/1000</f>
        <v>1.31</v>
      </c>
      <c r="E200" s="13" t="n">
        <f aca="false">32.5*C200/1000</f>
        <v>3.25</v>
      </c>
      <c r="F200" s="13" t="n">
        <f aca="false">64.7*C200/1000</f>
        <v>6.47</v>
      </c>
      <c r="G200" s="13" t="n">
        <f aca="false">604*C200/1000</f>
        <v>60.4</v>
      </c>
      <c r="H200" s="13" t="n">
        <f aca="false">0</f>
        <v>0</v>
      </c>
      <c r="I200" s="13" t="n">
        <f aca="false">0.2*C200/1000</f>
        <v>0.02</v>
      </c>
      <c r="J200" s="13" t="n">
        <f aca="false">171*C200/1000</f>
        <v>17.1</v>
      </c>
      <c r="K200" s="13" t="n">
        <f aca="false">249.7*C200/1000</f>
        <v>24.97</v>
      </c>
      <c r="L200" s="13" t="n">
        <f aca="false">283.1*C200/1000</f>
        <v>28.31</v>
      </c>
      <c r="M200" s="13" t="n">
        <f aca="false">4.7*C200/1000</f>
        <v>0.47</v>
      </c>
    </row>
    <row r="201" customFormat="false" ht="15" hidden="false" customHeight="false" outlineLevel="0" collapsed="false">
      <c r="A201" s="10" t="n">
        <v>96</v>
      </c>
      <c r="B201" s="11" t="s">
        <v>42</v>
      </c>
      <c r="C201" s="12" t="n">
        <v>250</v>
      </c>
      <c r="D201" s="13" t="n">
        <f aca="false">8.1*C201/1000</f>
        <v>2.025</v>
      </c>
      <c r="E201" s="13" t="n">
        <f aca="false">20.4*C201/1000</f>
        <v>5.1</v>
      </c>
      <c r="F201" s="13" t="n">
        <f aca="false">47.9*C201/1000</f>
        <v>11.975</v>
      </c>
      <c r="G201" s="13" t="n">
        <f aca="false">429*C201/1000</f>
        <v>107.25</v>
      </c>
      <c r="H201" s="13" t="n">
        <f aca="false">0</f>
        <v>0</v>
      </c>
      <c r="I201" s="13" t="n">
        <f aca="false">0.4*C201/1000</f>
        <v>0.1</v>
      </c>
      <c r="J201" s="13" t="n">
        <f aca="false">33.5*C201/1000</f>
        <v>8.375</v>
      </c>
      <c r="K201" s="13" t="n">
        <f aca="false">116.6*C201/1000</f>
        <v>29.15</v>
      </c>
      <c r="L201" s="13" t="n">
        <f aca="false">226.9*C201/1000</f>
        <v>56.725</v>
      </c>
      <c r="M201" s="13" t="n">
        <f aca="false">3.7*C201/1000</f>
        <v>0.925</v>
      </c>
    </row>
    <row r="202" customFormat="false" ht="15" hidden="false" customHeight="false" outlineLevel="0" collapsed="false">
      <c r="A202" s="10" t="n">
        <v>312</v>
      </c>
      <c r="B202" s="11" t="s">
        <v>21</v>
      </c>
      <c r="C202" s="12" t="n">
        <v>180</v>
      </c>
      <c r="D202" s="13" t="n">
        <v>4.4</v>
      </c>
      <c r="E202" s="13" t="n">
        <v>6.4</v>
      </c>
      <c r="F202" s="13" t="n">
        <v>44</v>
      </c>
      <c r="G202" s="13" t="n">
        <v>251.6</v>
      </c>
      <c r="H202" s="13" t="n">
        <v>0</v>
      </c>
      <c r="I202" s="13" t="n">
        <v>0</v>
      </c>
      <c r="J202" s="13" t="n">
        <v>0</v>
      </c>
      <c r="K202" s="13" t="n">
        <v>1.6</v>
      </c>
      <c r="L202" s="13" t="n">
        <v>73.1</v>
      </c>
      <c r="M202" s="13" t="n">
        <v>0.6</v>
      </c>
    </row>
    <row r="203" customFormat="false" ht="15" hidden="false" customHeight="false" outlineLevel="0" collapsed="false">
      <c r="A203" s="21" t="n">
        <v>229</v>
      </c>
      <c r="B203" s="11" t="s">
        <v>71</v>
      </c>
      <c r="C203" s="12" t="n">
        <v>100</v>
      </c>
      <c r="D203" s="13" t="n">
        <v>9.3</v>
      </c>
      <c r="E203" s="13" t="n">
        <v>16.4</v>
      </c>
      <c r="F203" s="13" t="n">
        <v>1.8</v>
      </c>
      <c r="G203" s="13" t="n">
        <v>193.1</v>
      </c>
      <c r="H203" s="13" t="n">
        <v>216.4</v>
      </c>
      <c r="I203" s="13" t="n">
        <v>0.1</v>
      </c>
      <c r="J203" s="13" t="n">
        <v>0.2</v>
      </c>
      <c r="K203" s="13" t="n">
        <v>68.7</v>
      </c>
      <c r="L203" s="13" t="n">
        <v>150.5</v>
      </c>
      <c r="M203" s="13" t="n">
        <v>1.8</v>
      </c>
    </row>
    <row r="204" customFormat="false" ht="15" hidden="false" customHeight="false" outlineLevel="0" collapsed="false">
      <c r="A204" s="10" t="n">
        <v>389</v>
      </c>
      <c r="B204" s="11" t="s">
        <v>59</v>
      </c>
      <c r="C204" s="12" t="n">
        <v>200</v>
      </c>
      <c r="D204" s="13" t="n">
        <v>0.8</v>
      </c>
      <c r="E204" s="13" t="n">
        <v>0.8</v>
      </c>
      <c r="F204" s="13" t="n">
        <v>19.6</v>
      </c>
      <c r="G204" s="13" t="n">
        <v>94</v>
      </c>
      <c r="H204" s="13" t="n">
        <v>0</v>
      </c>
      <c r="I204" s="13" t="n">
        <v>0.1</v>
      </c>
      <c r="J204" s="13" t="n">
        <v>20</v>
      </c>
      <c r="K204" s="13" t="n">
        <v>32</v>
      </c>
      <c r="L204" s="13" t="n">
        <v>22</v>
      </c>
      <c r="M204" s="13" t="n">
        <v>4.4</v>
      </c>
    </row>
    <row r="205" customFormat="false" ht="15" hidden="false" customHeight="false" outlineLevel="0" collapsed="false">
      <c r="A205" s="15"/>
      <c r="B205" s="11" t="s">
        <v>25</v>
      </c>
      <c r="C205" s="12" t="n">
        <v>60</v>
      </c>
      <c r="D205" s="13" t="n">
        <f aca="false">107*C205/1000</f>
        <v>6.42</v>
      </c>
      <c r="E205" s="13" t="n">
        <f aca="false">45*C205/1000</f>
        <v>2.7</v>
      </c>
      <c r="F205" s="13" t="n">
        <f aca="false">435*C205/1000</f>
        <v>26.1</v>
      </c>
      <c r="G205" s="13" t="n">
        <f aca="false">2740*C205/1000</f>
        <v>164.4</v>
      </c>
      <c r="H205" s="13" t="n">
        <f aca="false">0</f>
        <v>0</v>
      </c>
      <c r="I205" s="13" t="n">
        <f aca="false">4.1*C205/1000</f>
        <v>0.246</v>
      </c>
      <c r="J205" s="13" t="n">
        <f aca="false">2*C205/1000</f>
        <v>0.12</v>
      </c>
      <c r="K205" s="13" t="n">
        <f aca="false">1250*C205/1000</f>
        <v>75</v>
      </c>
      <c r="L205" s="13" t="n">
        <f aca="false">1290*C205/1000</f>
        <v>77.4</v>
      </c>
      <c r="M205" s="13" t="n">
        <f aca="false">36*C205/1000</f>
        <v>2.16</v>
      </c>
    </row>
    <row r="206" customFormat="false" ht="15" hidden="false" customHeight="false" outlineLevel="0" collapsed="false">
      <c r="A206" s="22"/>
      <c r="B206" s="11" t="s">
        <v>26</v>
      </c>
      <c r="C206" s="12" t="n">
        <v>30</v>
      </c>
      <c r="D206" s="14" t="n">
        <f aca="false">85*C206/1000</f>
        <v>2.55</v>
      </c>
      <c r="E206" s="14" t="n">
        <f aca="false">33*C206/1000</f>
        <v>0.99</v>
      </c>
      <c r="F206" s="14" t="n">
        <f aca="false">425*C206/1000</f>
        <v>12.75</v>
      </c>
      <c r="G206" s="14" t="n">
        <f aca="false">2590*C206/1000</f>
        <v>77.7</v>
      </c>
      <c r="H206" s="14" t="n">
        <f aca="false">0</f>
        <v>0</v>
      </c>
      <c r="I206" s="14" t="n">
        <f aca="false">4.3*C206/1000</f>
        <v>0.129</v>
      </c>
      <c r="J206" s="14" t="n">
        <f aca="false">4*C206/1000</f>
        <v>0.12</v>
      </c>
      <c r="K206" s="14" t="n">
        <f aca="false">730*C206/1000</f>
        <v>21.9</v>
      </c>
      <c r="L206" s="14" t="n">
        <f aca="false">1250*C206/1000</f>
        <v>37.5</v>
      </c>
      <c r="M206" s="14" t="n">
        <f aca="false">28.3*C206/1000</f>
        <v>0.849</v>
      </c>
    </row>
    <row r="207" customFormat="false" ht="15" hidden="false" customHeight="false" outlineLevel="0" collapsed="false">
      <c r="A207" s="15"/>
      <c r="B207" s="11"/>
      <c r="C207" s="12"/>
      <c r="D207" s="13" t="n">
        <f aca="false">4*C207/1000</f>
        <v>0</v>
      </c>
      <c r="E207" s="13" t="n">
        <f aca="false">4*C207/1000</f>
        <v>0</v>
      </c>
      <c r="F207" s="13" t="n">
        <f aca="false">98*C207/1000</f>
        <v>0</v>
      </c>
      <c r="G207" s="13" t="n">
        <f aca="false">470*C207/1000</f>
        <v>0</v>
      </c>
      <c r="H207" s="13" t="n">
        <f aca="false">0</f>
        <v>0</v>
      </c>
      <c r="I207" s="13" t="n">
        <f aca="false">0.3*C207/1000</f>
        <v>0</v>
      </c>
      <c r="J207" s="13" t="n">
        <f aca="false">100*C207/1000</f>
        <v>0</v>
      </c>
      <c r="K207" s="13" t="n">
        <f aca="false">160*C207/1000</f>
        <v>0</v>
      </c>
      <c r="L207" s="13" t="n">
        <f aca="false">110*C207/1000</f>
        <v>0</v>
      </c>
      <c r="M207" s="13" t="n">
        <f aca="false">22*C207/1000</f>
        <v>0</v>
      </c>
    </row>
    <row r="208" customFormat="false" ht="18" hidden="false" customHeight="true" outlineLevel="0" collapsed="false">
      <c r="A208" s="21"/>
      <c r="B208" s="16" t="s">
        <v>27</v>
      </c>
      <c r="C208" s="40" t="n">
        <f aca="false">SUM(C200:C207)</f>
        <v>920</v>
      </c>
      <c r="D208" s="18" t="n">
        <f aca="false">SUM(D200:D207)</f>
        <v>26.805</v>
      </c>
      <c r="E208" s="18" t="n">
        <f aca="false">SUM(E200:E207)</f>
        <v>35.64</v>
      </c>
      <c r="F208" s="18" t="n">
        <f aca="false">SUM(F200:F207)</f>
        <v>122.695</v>
      </c>
      <c r="G208" s="18" t="n">
        <f aca="false">SUM(G200:G207)</f>
        <v>948.45</v>
      </c>
      <c r="H208" s="18" t="n">
        <f aca="false">SUM(H200:H207)</f>
        <v>216.4</v>
      </c>
      <c r="I208" s="18" t="n">
        <f aca="false">SUM(I200:I207)</f>
        <v>0.695</v>
      </c>
      <c r="J208" s="18" t="n">
        <f aca="false">SUM(J200:J207)</f>
        <v>45.915</v>
      </c>
      <c r="K208" s="18" t="n">
        <f aca="false">SUM(K200:K207)</f>
        <v>253.32</v>
      </c>
      <c r="L208" s="18" t="n">
        <f aca="false">SUM(L200:L207)</f>
        <v>445.535</v>
      </c>
      <c r="M208" s="18" t="n">
        <f aca="false">SUM(M200:M207)</f>
        <v>11.204</v>
      </c>
    </row>
    <row r="209" customFormat="false" ht="18" hidden="false" customHeight="true" outlineLevel="0" collapsed="false">
      <c r="A209" s="21"/>
      <c r="B209" s="24" t="s">
        <v>35</v>
      </c>
      <c r="C209" s="41" t="n">
        <f aca="false">C198+C208</f>
        <v>1500</v>
      </c>
      <c r="D209" s="26" t="n">
        <f aca="false">D198+D208</f>
        <v>46.379</v>
      </c>
      <c r="E209" s="26" t="n">
        <f aca="false">E198+E208</f>
        <v>49.088</v>
      </c>
      <c r="F209" s="26" t="n">
        <f aca="false">F198+F208</f>
        <v>216.449</v>
      </c>
      <c r="G209" s="26" t="n">
        <f aca="false">G198+G208</f>
        <v>1540.99</v>
      </c>
      <c r="H209" s="26" t="n">
        <f aca="false">H198+H208</f>
        <v>226.7</v>
      </c>
      <c r="I209" s="26" t="n">
        <f aca="false">I198+I208</f>
        <v>1.464</v>
      </c>
      <c r="J209" s="26" t="n">
        <f aca="false">J198+J208</f>
        <v>50.305</v>
      </c>
      <c r="K209" s="26" t="n">
        <f aca="false">K198+K208</f>
        <v>521.142</v>
      </c>
      <c r="L209" s="26" t="n">
        <f aca="false">L198+L208</f>
        <v>704.439</v>
      </c>
      <c r="M209" s="26" t="n">
        <f aca="false">M198+M208</f>
        <v>16.115</v>
      </c>
    </row>
    <row r="210" customFormat="false" ht="18" hidden="false" customHeight="true" outlineLevel="0" collapsed="false">
      <c r="A210" s="27"/>
      <c r="B210" s="28" t="s">
        <v>36</v>
      </c>
      <c r="C210" s="29" t="n">
        <v>1350</v>
      </c>
      <c r="D210" s="13" t="n">
        <v>49.5</v>
      </c>
      <c r="E210" s="13" t="n">
        <v>50.6</v>
      </c>
      <c r="F210" s="13" t="n">
        <v>210.7</v>
      </c>
      <c r="G210" s="13" t="n">
        <v>1496</v>
      </c>
      <c r="H210" s="13" t="n">
        <v>495</v>
      </c>
      <c r="I210" s="13" t="n">
        <v>0.8</v>
      </c>
      <c r="J210" s="13" t="n">
        <v>38.5</v>
      </c>
      <c r="K210" s="13" t="n">
        <v>660</v>
      </c>
      <c r="L210" s="13" t="n">
        <v>660</v>
      </c>
      <c r="M210" s="13" t="n">
        <v>9.9</v>
      </c>
    </row>
    <row r="211" customFormat="false" ht="18" hidden="false" customHeight="true" outlineLevel="0" collapsed="false">
      <c r="A211" s="30"/>
      <c r="B211" s="31"/>
      <c r="C211" s="32"/>
      <c r="D211" s="34"/>
      <c r="E211" s="34"/>
      <c r="F211" s="34"/>
      <c r="G211" s="34"/>
      <c r="H211" s="34"/>
      <c r="I211" s="34"/>
      <c r="J211" s="34"/>
      <c r="K211" s="34"/>
      <c r="L211" s="34"/>
      <c r="M211" s="34"/>
    </row>
    <row r="212" customFormat="false" ht="18" hidden="false" customHeight="true" outlineLevel="0" collapsed="false">
      <c r="A212" s="30"/>
      <c r="B212" s="31"/>
      <c r="C212" s="32"/>
      <c r="D212" s="34"/>
      <c r="E212" s="34"/>
      <c r="F212" s="34"/>
      <c r="G212" s="34"/>
      <c r="H212" s="34"/>
      <c r="I212" s="34"/>
      <c r="J212" s="34"/>
      <c r="K212" s="34"/>
      <c r="L212" s="34"/>
      <c r="M212" s="34"/>
    </row>
    <row r="213" customFormat="false" ht="18" hidden="false" customHeight="true" outlineLevel="0" collapsed="false">
      <c r="A213" s="30"/>
      <c r="B213" s="31"/>
      <c r="C213" s="32"/>
      <c r="D213" s="34"/>
      <c r="E213" s="34"/>
      <c r="F213" s="34"/>
      <c r="G213" s="34"/>
      <c r="H213" s="34"/>
      <c r="I213" s="34"/>
      <c r="J213" s="34"/>
      <c r="K213" s="34"/>
      <c r="L213" s="34"/>
      <c r="M213" s="34"/>
    </row>
    <row r="214" customFormat="false" ht="18" hidden="false" customHeight="true" outlineLevel="0" collapsed="false">
      <c r="A214" s="30"/>
      <c r="B214" s="31"/>
      <c r="C214" s="32"/>
      <c r="D214" s="34"/>
      <c r="E214" s="34"/>
      <c r="F214" s="34"/>
      <c r="G214" s="34"/>
      <c r="H214" s="34"/>
      <c r="I214" s="34"/>
      <c r="J214" s="34"/>
      <c r="K214" s="34"/>
      <c r="L214" s="34"/>
      <c r="M214" s="34"/>
    </row>
    <row r="215" customFormat="false" ht="18" hidden="false" customHeight="true" outlineLevel="0" collapsed="false">
      <c r="A215" s="30"/>
      <c r="B215" s="31"/>
      <c r="C215" s="32"/>
      <c r="D215" s="34"/>
      <c r="E215" s="34"/>
      <c r="F215" s="34"/>
      <c r="G215" s="34"/>
      <c r="H215" s="34"/>
      <c r="I215" s="34"/>
      <c r="J215" s="34"/>
      <c r="K215" s="34"/>
      <c r="L215" s="34"/>
      <c r="M215" s="34"/>
    </row>
    <row r="216" customFormat="false" ht="18" hidden="false" customHeight="true" outlineLevel="0" collapsed="false">
      <c r="A216" s="30"/>
      <c r="B216" s="31"/>
      <c r="C216" s="32"/>
      <c r="D216" s="34"/>
      <c r="E216" s="34"/>
      <c r="F216" s="34"/>
      <c r="G216" s="34"/>
      <c r="H216" s="34"/>
      <c r="I216" s="34"/>
      <c r="J216" s="34"/>
      <c r="K216" s="34"/>
      <c r="L216" s="34"/>
      <c r="M216" s="34"/>
    </row>
    <row r="217" customFormat="false" ht="15.75" hidden="false" customHeight="false" outlineLevel="0" collapsed="false">
      <c r="A217" s="30"/>
      <c r="B217" s="31"/>
      <c r="C217" s="32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customFormat="false" ht="15.75" hidden="false" customHeight="false" outlineLevel="0" collapsed="false">
      <c r="A218" s="30"/>
      <c r="B218" s="31"/>
      <c r="C218" s="32"/>
      <c r="D218" s="34"/>
      <c r="E218" s="34"/>
      <c r="F218" s="34"/>
      <c r="G218" s="34"/>
      <c r="H218" s="34"/>
      <c r="I218" s="34"/>
      <c r="J218" s="34"/>
      <c r="K218" s="34"/>
      <c r="L218" s="34"/>
      <c r="M218" s="34"/>
    </row>
    <row r="219" customFormat="false" ht="15" hidden="false" customHeight="false" outlineLevel="0" collapsed="false"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customFormat="false" ht="15" hidden="false" customHeight="false" outlineLevel="0" collapsed="false">
      <c r="A220" s="2" t="s">
        <v>72</v>
      </c>
      <c r="B220" s="2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customFormat="false" ht="15" hidden="false" customHeight="false" outlineLevel="0" collapsed="false">
      <c r="A221" s="2" t="s">
        <v>67</v>
      </c>
      <c r="B221" s="2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customFormat="false" ht="15.75" hidden="false" customHeight="false" outlineLevel="0" collapsed="false">
      <c r="A222" s="3" t="s">
        <v>2</v>
      </c>
      <c r="B222" s="3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customFormat="false" ht="15" hidden="false" customHeight="true" outlineLevel="0" collapsed="false">
      <c r="A223" s="4" t="s">
        <v>3</v>
      </c>
      <c r="B223" s="4" t="s">
        <v>4</v>
      </c>
      <c r="C223" s="4" t="s">
        <v>5</v>
      </c>
      <c r="D223" s="36" t="s">
        <v>6</v>
      </c>
      <c r="E223" s="36"/>
      <c r="F223" s="36"/>
      <c r="G223" s="37" t="s">
        <v>7</v>
      </c>
      <c r="H223" s="37" t="s">
        <v>8</v>
      </c>
      <c r="I223" s="37"/>
      <c r="J223" s="37"/>
      <c r="K223" s="37" t="s">
        <v>9</v>
      </c>
      <c r="L223" s="37"/>
      <c r="M223" s="37"/>
    </row>
    <row r="224" customFormat="false" ht="15.75" hidden="false" customHeight="true" outlineLevel="0" collapsed="false">
      <c r="A224" s="4"/>
      <c r="B224" s="4"/>
      <c r="C224" s="4"/>
      <c r="D224" s="38" t="s">
        <v>10</v>
      </c>
      <c r="E224" s="38"/>
      <c r="F224" s="38"/>
      <c r="G224" s="37"/>
      <c r="H224" s="37"/>
      <c r="I224" s="37"/>
      <c r="J224" s="37"/>
      <c r="K224" s="37"/>
      <c r="L224" s="37"/>
      <c r="M224" s="37"/>
    </row>
    <row r="225" customFormat="false" ht="17.25" hidden="false" customHeight="false" outlineLevel="0" collapsed="false">
      <c r="A225" s="4"/>
      <c r="B225" s="4"/>
      <c r="C225" s="4"/>
      <c r="D225" s="37" t="s">
        <v>11</v>
      </c>
      <c r="E225" s="37" t="s">
        <v>12</v>
      </c>
      <c r="F225" s="37" t="s">
        <v>13</v>
      </c>
      <c r="G225" s="37"/>
      <c r="H225" s="37" t="s">
        <v>14</v>
      </c>
      <c r="I225" s="37" t="s">
        <v>38</v>
      </c>
      <c r="J225" s="37" t="s">
        <v>16</v>
      </c>
      <c r="K225" s="37" t="s">
        <v>17</v>
      </c>
      <c r="L225" s="37" t="s">
        <v>18</v>
      </c>
      <c r="M225" s="37" t="s">
        <v>19</v>
      </c>
    </row>
    <row r="226" customFormat="false" ht="18.75" hidden="false" customHeight="false" outlineLevel="0" collapsed="false">
      <c r="A226" s="7"/>
      <c r="B226" s="8" t="s">
        <v>20</v>
      </c>
      <c r="C226" s="9"/>
      <c r="D226" s="39"/>
      <c r="E226" s="39"/>
      <c r="F226" s="39"/>
      <c r="G226" s="39"/>
      <c r="H226" s="39"/>
      <c r="I226" s="39"/>
      <c r="J226" s="39"/>
      <c r="K226" s="39"/>
      <c r="L226" s="39"/>
      <c r="M226" s="39"/>
    </row>
    <row r="227" customFormat="false" ht="15" hidden="false" customHeight="false" outlineLevel="0" collapsed="false">
      <c r="A227" s="21" t="n">
        <v>210</v>
      </c>
      <c r="B227" s="11" t="s">
        <v>73</v>
      </c>
      <c r="C227" s="12" t="n">
        <v>160</v>
      </c>
      <c r="D227" s="14" t="n">
        <f aca="false">92.9*C227/1000</f>
        <v>14.864</v>
      </c>
      <c r="E227" s="14" t="n">
        <f aca="false">163.8*C227/1000</f>
        <v>26.208</v>
      </c>
      <c r="F227" s="14" t="n">
        <f aca="false">17.6*C227/1000</f>
        <v>2.816</v>
      </c>
      <c r="G227" s="14" t="n">
        <f aca="false">1931*C227/1000</f>
        <v>308.96</v>
      </c>
      <c r="H227" s="14" t="n">
        <f aca="false">2163.8*C227/1000</f>
        <v>346.208</v>
      </c>
      <c r="I227" s="14" t="n">
        <f aca="false">0.7*C227/1000</f>
        <v>0.112</v>
      </c>
      <c r="J227" s="14" t="n">
        <f aca="false">1.7*C227/1000</f>
        <v>0.272</v>
      </c>
      <c r="K227" s="14" t="n">
        <f aca="false">687.2*C227/1000</f>
        <v>109.952</v>
      </c>
      <c r="L227" s="14" t="n">
        <f aca="false">1505.2*C227/1000</f>
        <v>240.832</v>
      </c>
      <c r="M227" s="14" t="n">
        <f aca="false">17.6*C227/1000</f>
        <v>2.816</v>
      </c>
    </row>
    <row r="228" customFormat="false" ht="15" hidden="false" customHeight="false" outlineLevel="0" collapsed="false">
      <c r="A228" s="10" t="n">
        <v>382</v>
      </c>
      <c r="B228" s="11" t="s">
        <v>74</v>
      </c>
      <c r="C228" s="12" t="n">
        <v>200</v>
      </c>
      <c r="D228" s="14" t="n">
        <f aca="false">20.4*C228/1000</f>
        <v>4.08</v>
      </c>
      <c r="E228" s="14" t="n">
        <f aca="false">17.7*C228/1000</f>
        <v>3.54</v>
      </c>
      <c r="F228" s="14" t="n">
        <f aca="false">87.9*C228/1000</f>
        <v>17.58</v>
      </c>
      <c r="G228" s="14" t="n">
        <f aca="false">593*C228/1000</f>
        <v>118.6</v>
      </c>
      <c r="H228" s="14" t="n">
        <f aca="false">122*C228/1000</f>
        <v>24.4</v>
      </c>
      <c r="I228" s="14" t="n">
        <f aca="false">0.28*C228/1000</f>
        <v>0.056</v>
      </c>
      <c r="J228" s="14" t="n">
        <f aca="false">7.9*C228/1000</f>
        <v>1.58</v>
      </c>
      <c r="K228" s="14" t="n">
        <f aca="false">761.1*C228/1000</f>
        <v>152.22</v>
      </c>
      <c r="L228" s="14" t="n">
        <f aca="false">622.8*C228/1000</f>
        <v>124.56</v>
      </c>
      <c r="M228" s="14" t="n">
        <f aca="false">2.4*C228/1000</f>
        <v>0.48</v>
      </c>
    </row>
    <row r="229" customFormat="false" ht="15" hidden="false" customHeight="false" outlineLevel="0" collapsed="false">
      <c r="A229" s="10"/>
      <c r="B229" s="11" t="s">
        <v>25</v>
      </c>
      <c r="C229" s="12" t="n">
        <v>60</v>
      </c>
      <c r="D229" s="13" t="n">
        <f aca="false">107*C229/1000</f>
        <v>6.42</v>
      </c>
      <c r="E229" s="13" t="n">
        <f aca="false">45*C229/1000</f>
        <v>2.7</v>
      </c>
      <c r="F229" s="13" t="n">
        <f aca="false">435*C229/1000</f>
        <v>26.1</v>
      </c>
      <c r="G229" s="13" t="n">
        <f aca="false">2740*C229/1000</f>
        <v>164.4</v>
      </c>
      <c r="H229" s="13" t="n">
        <f aca="false">0</f>
        <v>0</v>
      </c>
      <c r="I229" s="13" t="n">
        <f aca="false">4.1*C229/1000</f>
        <v>0.246</v>
      </c>
      <c r="J229" s="13" t="n">
        <f aca="false">2*C229/1000</f>
        <v>0.12</v>
      </c>
      <c r="K229" s="13" t="n">
        <f aca="false">1250*C229/1000</f>
        <v>75</v>
      </c>
      <c r="L229" s="13" t="n">
        <f aca="false">1290*C229/1000</f>
        <v>77.4</v>
      </c>
      <c r="M229" s="13" t="n">
        <f aca="false">36*C229/1000</f>
        <v>2.16</v>
      </c>
    </row>
    <row r="230" customFormat="false" ht="15" hidden="false" customHeight="false" outlineLevel="0" collapsed="false">
      <c r="A230" s="10"/>
      <c r="B230" s="11" t="s">
        <v>26</v>
      </c>
      <c r="C230" s="12" t="n">
        <v>30</v>
      </c>
      <c r="D230" s="14" t="n">
        <f aca="false">85*C230/1000</f>
        <v>2.55</v>
      </c>
      <c r="E230" s="14" t="n">
        <f aca="false">33*C230/1000</f>
        <v>0.99</v>
      </c>
      <c r="F230" s="14" t="n">
        <f aca="false">425*C230/1000</f>
        <v>12.75</v>
      </c>
      <c r="G230" s="14" t="n">
        <f aca="false">2590*C230/1000</f>
        <v>77.7</v>
      </c>
      <c r="H230" s="14" t="n">
        <f aca="false">0</f>
        <v>0</v>
      </c>
      <c r="I230" s="14" t="n">
        <f aca="false">4.3*C230/1000</f>
        <v>0.129</v>
      </c>
      <c r="J230" s="14" t="n">
        <f aca="false">4*C230/1000</f>
        <v>0.12</v>
      </c>
      <c r="K230" s="14" t="n">
        <f aca="false">730*C230/1000</f>
        <v>21.9</v>
      </c>
      <c r="L230" s="14" t="n">
        <f aca="false">1250*C230/1000</f>
        <v>37.5</v>
      </c>
      <c r="M230" s="14" t="n">
        <f aca="false">28.3*C230/1000</f>
        <v>0.849</v>
      </c>
    </row>
    <row r="231" customFormat="false" ht="16.5" hidden="false" customHeight="true" outlineLevel="0" collapsed="false">
      <c r="A231" s="15" t="n">
        <v>338</v>
      </c>
      <c r="B231" s="11" t="s">
        <v>29</v>
      </c>
      <c r="C231" s="12" t="n">
        <v>100</v>
      </c>
      <c r="D231" s="13" t="n">
        <v>0.9</v>
      </c>
      <c r="E231" s="13" t="n">
        <v>0.8</v>
      </c>
      <c r="F231" s="13" t="n">
        <v>4.8</v>
      </c>
      <c r="G231" s="13" t="n">
        <v>30.2</v>
      </c>
      <c r="H231" s="13" t="n">
        <v>6</v>
      </c>
      <c r="I231" s="13" t="n">
        <v>0</v>
      </c>
      <c r="J231" s="13" t="n">
        <v>0.4</v>
      </c>
      <c r="K231" s="13" t="n">
        <v>37.7</v>
      </c>
      <c r="L231" s="13" t="n">
        <v>27</v>
      </c>
      <c r="M231" s="13" t="n">
        <v>0</v>
      </c>
    </row>
    <row r="232" customFormat="false" ht="15" hidden="false" customHeight="false" outlineLevel="0" collapsed="false">
      <c r="A232" s="10"/>
      <c r="B232" s="16" t="s">
        <v>27</v>
      </c>
      <c r="C232" s="40" t="n">
        <f aca="false">SUM(C227:C231)</f>
        <v>550</v>
      </c>
      <c r="D232" s="18" t="n">
        <f aca="false">SUM(D227:D231)</f>
        <v>28.814</v>
      </c>
      <c r="E232" s="18" t="n">
        <f aca="false">SUM(E227:E231)</f>
        <v>34.238</v>
      </c>
      <c r="F232" s="18" t="n">
        <f aca="false">SUM(F227:F231)</f>
        <v>64.046</v>
      </c>
      <c r="G232" s="18" t="n">
        <f aca="false">SUM(G227:G231)</f>
        <v>699.86</v>
      </c>
      <c r="H232" s="18" t="n">
        <f aca="false">SUM(H227:H231)</f>
        <v>376.608</v>
      </c>
      <c r="I232" s="18" t="n">
        <f aca="false">SUM(I227:I231)</f>
        <v>0.543</v>
      </c>
      <c r="J232" s="18" t="n">
        <f aca="false">SUM(J227:J231)</f>
        <v>2.492</v>
      </c>
      <c r="K232" s="18" t="n">
        <f aca="false">SUM(K227:K231)</f>
        <v>396.772</v>
      </c>
      <c r="L232" s="18" t="n">
        <f aca="false">SUM(L227:L231)</f>
        <v>507.292</v>
      </c>
      <c r="M232" s="18" t="n">
        <f aca="false">SUM(M227:M231)</f>
        <v>6.305</v>
      </c>
    </row>
    <row r="233" customFormat="false" ht="18.75" hidden="false" customHeight="false" outlineLevel="0" collapsed="false">
      <c r="A233" s="10"/>
      <c r="B233" s="19" t="s">
        <v>28</v>
      </c>
      <c r="C233" s="20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customFormat="false" ht="15" hidden="false" customHeight="false" outlineLevel="0" collapsed="false">
      <c r="A234" s="15" t="n">
        <v>70</v>
      </c>
      <c r="B234" s="11" t="s">
        <v>54</v>
      </c>
      <c r="C234" s="12" t="n">
        <v>100</v>
      </c>
      <c r="D234" s="13" t="n">
        <f aca="false">8*C234/1000</f>
        <v>0.8</v>
      </c>
      <c r="E234" s="13" t="n">
        <f aca="false">1*C234/1000</f>
        <v>0.1</v>
      </c>
      <c r="F234" s="13" t="n">
        <f aca="false">17*C234/1000</f>
        <v>1.7</v>
      </c>
      <c r="G234" s="13" t="n">
        <f aca="false">100*C234/1000</f>
        <v>10</v>
      </c>
      <c r="H234" s="13" t="n">
        <f aca="false">0*C234/1000</f>
        <v>0</v>
      </c>
      <c r="I234" s="13" t="n">
        <f aca="false">0.4*C234/1000</f>
        <v>0.04</v>
      </c>
      <c r="J234" s="13" t="n">
        <f aca="false">35*C234/1000</f>
        <v>3.5</v>
      </c>
      <c r="K234" s="13" t="n">
        <f aca="false">230*C234/1000</f>
        <v>23</v>
      </c>
      <c r="L234" s="13" t="n">
        <f aca="false">240*C234/1000</f>
        <v>24</v>
      </c>
      <c r="M234" s="13" t="n">
        <f aca="false">6*C234/1000</f>
        <v>0.6</v>
      </c>
    </row>
    <row r="235" customFormat="false" ht="15" hidden="false" customHeight="false" outlineLevel="0" collapsed="false">
      <c r="A235" s="10" t="n">
        <v>82</v>
      </c>
      <c r="B235" s="11" t="s">
        <v>75</v>
      </c>
      <c r="C235" s="12" t="n">
        <v>250</v>
      </c>
      <c r="D235" s="13" t="n">
        <f aca="false">7.21*C235/1000</f>
        <v>1.8025</v>
      </c>
      <c r="E235" s="13" t="n">
        <f aca="false">19.7*C235/1000</f>
        <v>4.925</v>
      </c>
      <c r="F235" s="13" t="n">
        <f aca="false">43.7*C235/1000</f>
        <v>10.925</v>
      </c>
      <c r="G235" s="13" t="n">
        <f aca="false">415*C235/1000</f>
        <v>103.75</v>
      </c>
      <c r="H235" s="13" t="n">
        <f aca="false">0*C235/1000</f>
        <v>0</v>
      </c>
      <c r="I235" s="13" t="n">
        <f aca="false">0.2*C235/1000</f>
        <v>0.05</v>
      </c>
      <c r="J235" s="13" t="n">
        <f aca="false">42.7*C235/1000</f>
        <v>10.675</v>
      </c>
      <c r="K235" s="13" t="n">
        <f aca="false">198.9*C235/1000</f>
        <v>49.725</v>
      </c>
      <c r="L235" s="13" t="n">
        <f aca="false">218.4*C235/1000</f>
        <v>54.6</v>
      </c>
      <c r="M235" s="13" t="n">
        <f aca="false">4.9*C235/1000</f>
        <v>1.225</v>
      </c>
    </row>
    <row r="236" customFormat="false" ht="15" hidden="false" customHeight="false" outlineLevel="0" collapsed="false">
      <c r="A236" s="10" t="n">
        <v>302</v>
      </c>
      <c r="B236" s="11" t="s">
        <v>76</v>
      </c>
      <c r="C236" s="12" t="n">
        <v>180</v>
      </c>
      <c r="D236" s="13" t="n">
        <f aca="false">90.1*C236/1000</f>
        <v>16.218</v>
      </c>
      <c r="E236" s="13" t="n">
        <f aca="false">44.7*C236/1000</f>
        <v>8.046</v>
      </c>
      <c r="F236" s="13" t="n">
        <f aca="false">182.3*C236/1000</f>
        <v>32.814</v>
      </c>
      <c r="G236" s="13" t="n">
        <f aca="false">1493.3*C236/1000</f>
        <v>268.794</v>
      </c>
      <c r="H236" s="13" t="n">
        <f aca="false">140*C236/1000</f>
        <v>25.2</v>
      </c>
      <c r="I236" s="13" t="n">
        <f aca="false">0.7*C236/1000</f>
        <v>0.126</v>
      </c>
      <c r="J236" s="13" t="n">
        <f aca="false">32.7*C236/1000</f>
        <v>5.886</v>
      </c>
      <c r="K236" s="13" t="n">
        <f aca="false">180.5*C236/1000</f>
        <v>32.49</v>
      </c>
      <c r="L236" s="13" t="n">
        <f aca="false">946.7*C236/1000</f>
        <v>170.406</v>
      </c>
      <c r="M236" s="13" t="n">
        <f aca="false">9.3*C236/1000</f>
        <v>1.674</v>
      </c>
    </row>
    <row r="237" customFormat="false" ht="15" hidden="false" customHeight="false" outlineLevel="0" collapsed="false">
      <c r="A237" s="10" t="n">
        <v>268</v>
      </c>
      <c r="B237" s="11" t="s">
        <v>77</v>
      </c>
      <c r="C237" s="12" t="n">
        <v>100</v>
      </c>
      <c r="D237" s="13" t="n">
        <f aca="false">0.8*C237/1000</f>
        <v>0.08</v>
      </c>
      <c r="E237" s="13" t="n">
        <f aca="false">0.8*C237/1000</f>
        <v>0.08</v>
      </c>
      <c r="F237" s="13" t="n">
        <f aca="false">139.4*C237/1000</f>
        <v>13.94</v>
      </c>
      <c r="G237" s="13" t="n">
        <f aca="false">573*C237/1000</f>
        <v>57.3</v>
      </c>
      <c r="H237" s="13" t="n">
        <f aca="false">0</f>
        <v>0</v>
      </c>
      <c r="I237" s="13" t="n">
        <f aca="false">0.1*C83/1000</f>
        <v>0.006</v>
      </c>
      <c r="J237" s="13" t="n">
        <f aca="false">5.5*C237/1000</f>
        <v>0.55</v>
      </c>
      <c r="K237" s="13" t="n">
        <f aca="false">70.9*C237/1000</f>
        <v>7.09</v>
      </c>
      <c r="L237" s="13" t="n">
        <f aca="false">22*C237/1000</f>
        <v>2.2</v>
      </c>
      <c r="M237" s="13" t="n">
        <f aca="false">4.8*C237/1000</f>
        <v>0.48</v>
      </c>
    </row>
    <row r="238" customFormat="false" ht="15" hidden="false" customHeight="false" outlineLevel="0" collapsed="false">
      <c r="A238" s="15"/>
      <c r="B238" s="11" t="s">
        <v>25</v>
      </c>
      <c r="C238" s="12" t="n">
        <v>60</v>
      </c>
      <c r="D238" s="13" t="n">
        <f aca="false">107*C238/1000</f>
        <v>6.42</v>
      </c>
      <c r="E238" s="13" t="n">
        <f aca="false">45*C238/1000</f>
        <v>2.7</v>
      </c>
      <c r="F238" s="13" t="n">
        <f aca="false">435*C238/1000</f>
        <v>26.1</v>
      </c>
      <c r="G238" s="13" t="n">
        <f aca="false">2740*C238/1000</f>
        <v>164.4</v>
      </c>
      <c r="H238" s="13" t="n">
        <f aca="false">0</f>
        <v>0</v>
      </c>
      <c r="I238" s="13" t="n">
        <f aca="false">4.1*C238/1000</f>
        <v>0.246</v>
      </c>
      <c r="J238" s="13" t="n">
        <f aca="false">2*C238/1000</f>
        <v>0.12</v>
      </c>
      <c r="K238" s="13" t="n">
        <f aca="false">1250*C238/1000</f>
        <v>75</v>
      </c>
      <c r="L238" s="13" t="n">
        <f aca="false">1290*C238/1000</f>
        <v>77.4</v>
      </c>
      <c r="M238" s="13" t="n">
        <f aca="false">36*C238/1000</f>
        <v>2.16</v>
      </c>
    </row>
    <row r="239" customFormat="false" ht="18.75" hidden="false" customHeight="true" outlineLevel="0" collapsed="false">
      <c r="A239" s="22"/>
      <c r="B239" s="11" t="s">
        <v>26</v>
      </c>
      <c r="C239" s="12" t="n">
        <v>30</v>
      </c>
      <c r="D239" s="14" t="n">
        <f aca="false">85*C239/1000</f>
        <v>2.55</v>
      </c>
      <c r="E239" s="14" t="n">
        <f aca="false">33*C239/1000</f>
        <v>0.99</v>
      </c>
      <c r="F239" s="14" t="n">
        <f aca="false">425*C239/1000</f>
        <v>12.75</v>
      </c>
      <c r="G239" s="14" t="n">
        <f aca="false">2590*C239/1000</f>
        <v>77.7</v>
      </c>
      <c r="H239" s="14" t="n">
        <f aca="false">0</f>
        <v>0</v>
      </c>
      <c r="I239" s="14" t="n">
        <f aca="false">4.3*C239/1000</f>
        <v>0.129</v>
      </c>
      <c r="J239" s="14" t="n">
        <f aca="false">4*C239/1000</f>
        <v>0.12</v>
      </c>
      <c r="K239" s="14" t="n">
        <f aca="false">730*C239/1000</f>
        <v>21.9</v>
      </c>
      <c r="L239" s="14" t="n">
        <f aca="false">1250*C239/1000</f>
        <v>37.5</v>
      </c>
      <c r="M239" s="14" t="n">
        <f aca="false">28.3*C239/1000</f>
        <v>0.849</v>
      </c>
    </row>
    <row r="240" customFormat="false" ht="15" hidden="false" customHeight="false" outlineLevel="0" collapsed="false">
      <c r="A240" s="15" t="n">
        <v>359</v>
      </c>
      <c r="B240" s="11" t="s">
        <v>33</v>
      </c>
      <c r="C240" s="12" t="n">
        <v>200</v>
      </c>
      <c r="D240" s="13" t="n">
        <f aca="false">4*C240/1000</f>
        <v>0.8</v>
      </c>
      <c r="E240" s="13" t="n">
        <f aca="false">4*C240/1000</f>
        <v>0.8</v>
      </c>
      <c r="F240" s="13" t="n">
        <f aca="false">98*C240/1000</f>
        <v>19.6</v>
      </c>
      <c r="G240" s="13" t="n">
        <f aca="false">470*C240/1000</f>
        <v>94</v>
      </c>
      <c r="H240" s="13" t="n">
        <f aca="false">0</f>
        <v>0</v>
      </c>
      <c r="I240" s="13" t="n">
        <f aca="false">0.3*C240/1000</f>
        <v>0.06</v>
      </c>
      <c r="J240" s="13" t="n">
        <f aca="false">100*C240/1000</f>
        <v>20</v>
      </c>
      <c r="K240" s="13" t="n">
        <f aca="false">160*C240/1000</f>
        <v>32</v>
      </c>
      <c r="L240" s="13" t="n">
        <f aca="false">110*C240/1000</f>
        <v>22</v>
      </c>
      <c r="M240" s="13" t="n">
        <f aca="false">22*C240/1000</f>
        <v>4.4</v>
      </c>
    </row>
    <row r="241" customFormat="false" ht="18.75" hidden="false" customHeight="true" outlineLevel="0" collapsed="false">
      <c r="A241" s="21"/>
      <c r="B241" s="16" t="s">
        <v>27</v>
      </c>
      <c r="C241" s="40" t="n">
        <f aca="false">SUM(C234:C239)</f>
        <v>720</v>
      </c>
      <c r="D241" s="18" t="n">
        <f aca="false">SUM(D234:D239)</f>
        <v>27.8705</v>
      </c>
      <c r="E241" s="18" t="n">
        <f aca="false">SUM(E234:E239)</f>
        <v>16.841</v>
      </c>
      <c r="F241" s="18" t="n">
        <f aca="false">SUM(F234:F239)</f>
        <v>98.229</v>
      </c>
      <c r="G241" s="18" t="n">
        <f aca="false">SUM(G234:G239)</f>
        <v>681.944</v>
      </c>
      <c r="H241" s="18" t="n">
        <f aca="false">SUM(H234:H239)</f>
        <v>25.2</v>
      </c>
      <c r="I241" s="18" t="n">
        <f aca="false">SUM(I234:I239)</f>
        <v>0.597</v>
      </c>
      <c r="J241" s="18" t="n">
        <f aca="false">SUM(J234:J239)</f>
        <v>20.851</v>
      </c>
      <c r="K241" s="18" t="n">
        <f aca="false">SUM(K234:K239)</f>
        <v>209.205</v>
      </c>
      <c r="L241" s="18" t="n">
        <f aca="false">SUM(L234:L239)</f>
        <v>366.106</v>
      </c>
      <c r="M241" s="18" t="n">
        <f aca="false">SUM(M234:M239)</f>
        <v>6.988</v>
      </c>
    </row>
    <row r="242" customFormat="false" ht="18.75" hidden="false" customHeight="true" outlineLevel="0" collapsed="false">
      <c r="A242" s="21"/>
      <c r="B242" s="24" t="s">
        <v>35</v>
      </c>
      <c r="C242" s="41" t="n">
        <f aca="false">C232+C241</f>
        <v>1270</v>
      </c>
      <c r="D242" s="26" t="n">
        <f aca="false">D232+D241</f>
        <v>56.6845</v>
      </c>
      <c r="E242" s="26" t="n">
        <f aca="false">E232+E241</f>
        <v>51.079</v>
      </c>
      <c r="F242" s="26" t="n">
        <f aca="false">F232+F241</f>
        <v>162.275</v>
      </c>
      <c r="G242" s="26" t="n">
        <f aca="false">G232+G241</f>
        <v>1381.804</v>
      </c>
      <c r="H242" s="26" t="n">
        <f aca="false">H232+H241</f>
        <v>401.808</v>
      </c>
      <c r="I242" s="26" t="n">
        <f aca="false">I232+I241</f>
        <v>1.14</v>
      </c>
      <c r="J242" s="26" t="n">
        <f aca="false">J232+J241</f>
        <v>23.343</v>
      </c>
      <c r="K242" s="26" t="n">
        <f aca="false">K232+K241</f>
        <v>605.977</v>
      </c>
      <c r="L242" s="26" t="n">
        <f aca="false">L232+L241</f>
        <v>873.398</v>
      </c>
      <c r="M242" s="26" t="n">
        <f aca="false">M232+M241</f>
        <v>13.293</v>
      </c>
    </row>
    <row r="243" customFormat="false" ht="18.75" hidden="false" customHeight="true" outlineLevel="0" collapsed="false">
      <c r="A243" s="27"/>
      <c r="B243" s="28" t="s">
        <v>36</v>
      </c>
      <c r="C243" s="29" t="n">
        <v>1350</v>
      </c>
      <c r="D243" s="13" t="n">
        <v>49.5</v>
      </c>
      <c r="E243" s="13" t="n">
        <v>50.6</v>
      </c>
      <c r="F243" s="13" t="n">
        <v>210.7</v>
      </c>
      <c r="G243" s="13" t="n">
        <v>1496</v>
      </c>
      <c r="H243" s="13" t="n">
        <v>495</v>
      </c>
      <c r="I243" s="13" t="n">
        <v>0.8</v>
      </c>
      <c r="J243" s="13" t="n">
        <v>38.5</v>
      </c>
      <c r="K243" s="13" t="n">
        <v>660</v>
      </c>
      <c r="L243" s="13" t="n">
        <v>660</v>
      </c>
      <c r="M243" s="13" t="n">
        <v>9.9</v>
      </c>
    </row>
    <row r="244" customFormat="false" ht="18.75" hidden="false" customHeight="true" outlineLevel="0" collapsed="false">
      <c r="A244" s="30"/>
      <c r="B244" s="31"/>
      <c r="C244" s="32"/>
      <c r="D244" s="34"/>
      <c r="E244" s="34"/>
      <c r="F244" s="34"/>
      <c r="G244" s="34"/>
      <c r="H244" s="34"/>
      <c r="I244" s="34"/>
      <c r="J244" s="34"/>
      <c r="K244" s="34"/>
      <c r="L244" s="34"/>
      <c r="M244" s="34"/>
    </row>
    <row r="245" customFormat="false" ht="18.75" hidden="false" customHeight="true" outlineLevel="0" collapsed="false">
      <c r="A245" s="30"/>
      <c r="B245" s="31"/>
      <c r="C245" s="32"/>
      <c r="D245" s="34"/>
      <c r="E245" s="34"/>
      <c r="F245" s="34"/>
      <c r="G245" s="34"/>
      <c r="H245" s="34"/>
      <c r="I245" s="34"/>
      <c r="J245" s="34"/>
      <c r="K245" s="34"/>
      <c r="L245" s="34"/>
      <c r="M245" s="34"/>
    </row>
    <row r="246" customFormat="false" ht="18.75" hidden="false" customHeight="true" outlineLevel="0" collapsed="false">
      <c r="A246" s="30"/>
      <c r="B246" s="31"/>
      <c r="C246" s="32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customFormat="false" ht="18.75" hidden="false" customHeight="true" outlineLevel="0" collapsed="false">
      <c r="A247" s="30"/>
      <c r="B247" s="31"/>
      <c r="C247" s="32"/>
      <c r="D247" s="34"/>
      <c r="E247" s="34"/>
      <c r="F247" s="34"/>
      <c r="G247" s="34"/>
      <c r="H247" s="34"/>
      <c r="I247" s="34"/>
      <c r="J247" s="34"/>
      <c r="K247" s="34"/>
      <c r="L247" s="34"/>
      <c r="M247" s="34"/>
    </row>
    <row r="248" customFormat="false" ht="18.75" hidden="false" customHeight="true" outlineLevel="0" collapsed="false">
      <c r="A248" s="30"/>
      <c r="B248" s="31"/>
      <c r="C248" s="32"/>
      <c r="D248" s="34"/>
      <c r="E248" s="34"/>
      <c r="F248" s="34"/>
      <c r="G248" s="34"/>
      <c r="H248" s="34"/>
      <c r="I248" s="34"/>
      <c r="J248" s="34"/>
      <c r="K248" s="34"/>
      <c r="L248" s="34"/>
      <c r="M248" s="34"/>
    </row>
    <row r="249" customFormat="false" ht="18.75" hidden="false" customHeight="true" outlineLevel="0" collapsed="false">
      <c r="A249" s="30"/>
      <c r="B249" s="31"/>
      <c r="C249" s="32"/>
      <c r="D249" s="34"/>
      <c r="E249" s="34"/>
      <c r="F249" s="34"/>
      <c r="G249" s="34"/>
      <c r="H249" s="34"/>
      <c r="I249" s="34"/>
      <c r="J249" s="34"/>
      <c r="K249" s="34"/>
      <c r="L249" s="34"/>
      <c r="M249" s="34"/>
    </row>
    <row r="250" customFormat="false" ht="18.75" hidden="false" customHeight="true" outlineLevel="0" collapsed="false">
      <c r="A250" s="30"/>
      <c r="B250" s="31"/>
      <c r="C250" s="32"/>
      <c r="D250" s="34"/>
      <c r="E250" s="34"/>
      <c r="F250" s="34"/>
      <c r="G250" s="34"/>
      <c r="H250" s="34"/>
      <c r="I250" s="34"/>
      <c r="J250" s="34"/>
      <c r="K250" s="34"/>
      <c r="L250" s="34"/>
      <c r="M250" s="34"/>
    </row>
    <row r="251" customFormat="false" ht="18.75" hidden="false" customHeight="true" outlineLevel="0" collapsed="false">
      <c r="A251" s="30"/>
      <c r="B251" s="31"/>
      <c r="C251" s="32"/>
      <c r="D251" s="34"/>
      <c r="E251" s="34"/>
      <c r="F251" s="34"/>
      <c r="G251" s="34"/>
      <c r="H251" s="34"/>
      <c r="I251" s="34"/>
      <c r="J251" s="34"/>
      <c r="K251" s="34"/>
      <c r="L251" s="34"/>
      <c r="M251" s="34"/>
    </row>
    <row r="252" customFormat="false" ht="15.75" hidden="false" customHeight="false" outlineLevel="0" collapsed="false">
      <c r="A252" s="30"/>
      <c r="B252" s="31"/>
      <c r="C252" s="32"/>
      <c r="D252" s="34"/>
      <c r="E252" s="34"/>
      <c r="F252" s="34"/>
      <c r="G252" s="34"/>
      <c r="H252" s="34"/>
      <c r="I252" s="34"/>
      <c r="J252" s="34"/>
      <c r="K252" s="34"/>
      <c r="L252" s="34"/>
      <c r="M252" s="34"/>
    </row>
    <row r="253" customFormat="false" ht="15.75" hidden="false" customHeight="false" outlineLevel="0" collapsed="false">
      <c r="A253" s="30"/>
      <c r="B253" s="31"/>
      <c r="C253" s="32"/>
      <c r="D253" s="34"/>
      <c r="E253" s="34"/>
      <c r="F253" s="34"/>
      <c r="G253" s="34"/>
      <c r="H253" s="34"/>
      <c r="I253" s="34"/>
      <c r="J253" s="34"/>
      <c r="K253" s="34"/>
      <c r="L253" s="34"/>
      <c r="M253" s="34"/>
    </row>
    <row r="254" customFormat="false" ht="15.75" hidden="false" customHeight="false" outlineLevel="0" collapsed="false">
      <c r="A254" s="30"/>
      <c r="B254" s="31"/>
      <c r="C254" s="32"/>
      <c r="D254" s="34"/>
      <c r="E254" s="34"/>
      <c r="F254" s="34"/>
      <c r="G254" s="34"/>
      <c r="H254" s="34"/>
      <c r="I254" s="34"/>
      <c r="J254" s="34"/>
      <c r="K254" s="34"/>
      <c r="L254" s="34"/>
      <c r="M254" s="34"/>
    </row>
    <row r="255" customFormat="false" ht="18.75" hidden="false" customHeight="false" outlineLevel="0" collapsed="false">
      <c r="A255" s="2" t="s">
        <v>78</v>
      </c>
      <c r="B255" s="2"/>
      <c r="D255" s="35"/>
      <c r="E255" s="35"/>
      <c r="F255" s="35"/>
      <c r="G255" s="35"/>
      <c r="H255" s="35"/>
      <c r="I255" s="35"/>
      <c r="J255" s="35"/>
      <c r="K255" s="35"/>
      <c r="L255" s="35"/>
      <c r="M255" s="35"/>
    </row>
    <row r="256" customFormat="false" ht="15" hidden="false" customHeight="false" outlineLevel="0" collapsed="false">
      <c r="A256" s="2" t="s">
        <v>67</v>
      </c>
      <c r="B256" s="2"/>
      <c r="D256" s="35"/>
      <c r="E256" s="35"/>
      <c r="F256" s="35"/>
      <c r="G256" s="35"/>
      <c r="H256" s="35"/>
      <c r="I256" s="35"/>
      <c r="J256" s="35"/>
      <c r="K256" s="35"/>
      <c r="L256" s="35"/>
      <c r="M256" s="35"/>
    </row>
    <row r="257" customFormat="false" ht="15.75" hidden="false" customHeight="false" outlineLevel="0" collapsed="false">
      <c r="A257" s="3" t="s">
        <v>2</v>
      </c>
      <c r="B257" s="3"/>
      <c r="D257" s="35"/>
      <c r="E257" s="35"/>
      <c r="F257" s="35"/>
      <c r="G257" s="35"/>
      <c r="H257" s="35"/>
      <c r="I257" s="35"/>
      <c r="J257" s="35"/>
      <c r="K257" s="35"/>
      <c r="L257" s="35"/>
      <c r="M257" s="35"/>
    </row>
    <row r="258" customFormat="false" ht="15" hidden="false" customHeight="true" outlineLevel="0" collapsed="false">
      <c r="A258" s="4" t="s">
        <v>3</v>
      </c>
      <c r="B258" s="4" t="s">
        <v>4</v>
      </c>
      <c r="C258" s="4" t="s">
        <v>5</v>
      </c>
      <c r="D258" s="36" t="s">
        <v>6</v>
      </c>
      <c r="E258" s="36"/>
      <c r="F258" s="36"/>
      <c r="G258" s="37" t="s">
        <v>7</v>
      </c>
      <c r="H258" s="37" t="s">
        <v>8</v>
      </c>
      <c r="I258" s="37"/>
      <c r="J258" s="37"/>
      <c r="K258" s="37" t="s">
        <v>9</v>
      </c>
      <c r="L258" s="37"/>
      <c r="M258" s="37"/>
    </row>
    <row r="259" customFormat="false" ht="15.75" hidden="false" customHeight="true" outlineLevel="0" collapsed="false">
      <c r="A259" s="4"/>
      <c r="B259" s="4"/>
      <c r="C259" s="4"/>
      <c r="D259" s="38" t="s">
        <v>10</v>
      </c>
      <c r="E259" s="38"/>
      <c r="F259" s="38"/>
      <c r="G259" s="37"/>
      <c r="H259" s="37"/>
      <c r="I259" s="37"/>
      <c r="J259" s="37"/>
      <c r="K259" s="37"/>
      <c r="L259" s="37"/>
      <c r="M259" s="37"/>
    </row>
    <row r="260" customFormat="false" ht="17.25" hidden="false" customHeight="false" outlineLevel="0" collapsed="false">
      <c r="A260" s="4"/>
      <c r="B260" s="4"/>
      <c r="C260" s="4"/>
      <c r="D260" s="37" t="s">
        <v>11</v>
      </c>
      <c r="E260" s="37" t="s">
        <v>12</v>
      </c>
      <c r="F260" s="37" t="s">
        <v>13</v>
      </c>
      <c r="G260" s="37"/>
      <c r="H260" s="37" t="s">
        <v>14</v>
      </c>
      <c r="I260" s="37" t="s">
        <v>38</v>
      </c>
      <c r="J260" s="37" t="s">
        <v>16</v>
      </c>
      <c r="K260" s="37" t="s">
        <v>17</v>
      </c>
      <c r="L260" s="37" t="s">
        <v>18</v>
      </c>
      <c r="M260" s="37" t="s">
        <v>19</v>
      </c>
    </row>
    <row r="261" customFormat="false" ht="18.75" hidden="false" customHeight="false" outlineLevel="0" collapsed="false">
      <c r="A261" s="7"/>
      <c r="B261" s="8" t="s">
        <v>20</v>
      </c>
      <c r="C261" s="9"/>
      <c r="D261" s="39"/>
      <c r="E261" s="39"/>
      <c r="F261" s="39"/>
      <c r="G261" s="39"/>
      <c r="H261" s="39"/>
      <c r="I261" s="39"/>
      <c r="J261" s="39"/>
      <c r="K261" s="39"/>
      <c r="L261" s="39"/>
      <c r="M261" s="39"/>
    </row>
    <row r="262" customFormat="false" ht="15" hidden="false" customHeight="false" outlineLevel="0" collapsed="false">
      <c r="A262" s="10" t="n">
        <v>312</v>
      </c>
      <c r="B262" s="11" t="s">
        <v>79</v>
      </c>
      <c r="C262" s="12" t="n">
        <v>180</v>
      </c>
      <c r="D262" s="13" t="n">
        <f aca="false">20.4*C262/1000</f>
        <v>3.672</v>
      </c>
      <c r="E262" s="13" t="n">
        <f aca="false">32*C262/1000</f>
        <v>5.76</v>
      </c>
      <c r="F262" s="13" t="n">
        <f aca="false">136.3*C262/1000</f>
        <v>24.534</v>
      </c>
      <c r="G262" s="13" t="n">
        <f aca="false">915*C262/1000</f>
        <v>164.7</v>
      </c>
      <c r="H262" s="13" t="n">
        <f aca="false">0</f>
        <v>0</v>
      </c>
      <c r="I262" s="13" t="n">
        <f aca="false">0.9*C262/1000</f>
        <v>0.162</v>
      </c>
      <c r="J262" s="13" t="n">
        <f aca="false">121.1*C262/1000</f>
        <v>21.798</v>
      </c>
      <c r="K262" s="13" t="n">
        <f aca="false">246.5*C262/1000</f>
        <v>44.37</v>
      </c>
      <c r="L262" s="13" t="n">
        <f aca="false">577.3*C262/1000</f>
        <v>103.914</v>
      </c>
      <c r="M262" s="13" t="n">
        <f aca="false">6.7*C262/1000</f>
        <v>1.206</v>
      </c>
    </row>
    <row r="263" customFormat="false" ht="15" hidden="false" customHeight="false" outlineLevel="0" collapsed="false">
      <c r="A263" s="10" t="n">
        <v>278</v>
      </c>
      <c r="B263" s="11" t="s">
        <v>80</v>
      </c>
      <c r="C263" s="12" t="n">
        <v>130</v>
      </c>
      <c r="D263" s="13" t="n">
        <f aca="false">71.18*C263/1000</f>
        <v>9.2534</v>
      </c>
      <c r="E263" s="13" t="n">
        <f aca="false">79.5*C263/1000</f>
        <v>10.335</v>
      </c>
      <c r="F263" s="13" t="n">
        <f aca="false">93.2*C263/1000</f>
        <v>12.116</v>
      </c>
      <c r="G263" s="13" t="n">
        <f aca="false">1372.7*C263/1000</f>
        <v>178.451</v>
      </c>
      <c r="H263" s="13" t="n">
        <f aca="false">308.4*C263/1000</f>
        <v>40.092</v>
      </c>
      <c r="I263" s="13" t="n">
        <f aca="false">0.5*C263/1000</f>
        <v>0.065</v>
      </c>
      <c r="J263" s="13" t="n">
        <f aca="false">6.5*C263/1000</f>
        <v>0.845</v>
      </c>
      <c r="K263" s="13" t="n">
        <f aca="false">254.1*C263/1000</f>
        <v>33.033</v>
      </c>
      <c r="L263" s="13" t="n">
        <f aca="false">803.4*C263/1000</f>
        <v>104.442</v>
      </c>
      <c r="M263" s="13" t="n">
        <f aca="false">7.9*C263/1000</f>
        <v>1.027</v>
      </c>
    </row>
    <row r="264" customFormat="false" ht="15" hidden="false" customHeight="false" outlineLevel="0" collapsed="false">
      <c r="A264" s="10" t="n">
        <v>382</v>
      </c>
      <c r="B264" s="11" t="s">
        <v>74</v>
      </c>
      <c r="C264" s="12" t="n">
        <v>200</v>
      </c>
      <c r="D264" s="13" t="n">
        <v>4.1</v>
      </c>
      <c r="E264" s="13" t="n">
        <v>3.5</v>
      </c>
      <c r="F264" s="13" t="n">
        <v>17.6</v>
      </c>
      <c r="G264" s="13" t="n">
        <v>118.6</v>
      </c>
      <c r="H264" s="13" t="n">
        <v>24.4</v>
      </c>
      <c r="I264" s="13" t="n">
        <v>0.1</v>
      </c>
      <c r="J264" s="13" t="n">
        <v>1.6</v>
      </c>
      <c r="K264" s="13" t="n">
        <v>152.2</v>
      </c>
      <c r="L264" s="13" t="n">
        <v>124.6</v>
      </c>
      <c r="M264" s="13" t="n">
        <v>0.5</v>
      </c>
    </row>
    <row r="265" customFormat="false" ht="15" hidden="false" customHeight="false" outlineLevel="0" collapsed="false">
      <c r="A265" s="15"/>
      <c r="B265" s="11" t="s">
        <v>25</v>
      </c>
      <c r="C265" s="12" t="n">
        <v>60</v>
      </c>
      <c r="D265" s="13" t="n">
        <f aca="false">107*C265/1000</f>
        <v>6.42</v>
      </c>
      <c r="E265" s="13" t="n">
        <f aca="false">45*C265/1000</f>
        <v>2.7</v>
      </c>
      <c r="F265" s="13" t="n">
        <f aca="false">435*C265/1000</f>
        <v>26.1</v>
      </c>
      <c r="G265" s="13" t="n">
        <f aca="false">2740*C265/1000</f>
        <v>164.4</v>
      </c>
      <c r="H265" s="13" t="n">
        <f aca="false">0</f>
        <v>0</v>
      </c>
      <c r="I265" s="13" t="n">
        <f aca="false">4.1*C265/1000</f>
        <v>0.246</v>
      </c>
      <c r="J265" s="13" t="n">
        <f aca="false">2*C265/1000</f>
        <v>0.12</v>
      </c>
      <c r="K265" s="13" t="n">
        <f aca="false">1250*C265/1000</f>
        <v>75</v>
      </c>
      <c r="L265" s="13" t="n">
        <f aca="false">1290*C265/1000</f>
        <v>77.4</v>
      </c>
      <c r="M265" s="13" t="n">
        <f aca="false">36*C265/1000</f>
        <v>2.16</v>
      </c>
    </row>
    <row r="266" customFormat="false" ht="15" hidden="false" customHeight="false" outlineLevel="0" collapsed="false">
      <c r="A266" s="15"/>
      <c r="B266" s="11" t="s">
        <v>26</v>
      </c>
      <c r="C266" s="12" t="n">
        <v>30</v>
      </c>
      <c r="D266" s="14" t="n">
        <f aca="false">85*C266/1000</f>
        <v>2.55</v>
      </c>
      <c r="E266" s="14" t="n">
        <f aca="false">33*C266/1000</f>
        <v>0.99</v>
      </c>
      <c r="F266" s="14" t="n">
        <f aca="false">425*C266/1000</f>
        <v>12.75</v>
      </c>
      <c r="G266" s="14" t="n">
        <f aca="false">2590*C266/1000</f>
        <v>77.7</v>
      </c>
      <c r="H266" s="14" t="n">
        <f aca="false">0</f>
        <v>0</v>
      </c>
      <c r="I266" s="14" t="n">
        <f aca="false">4.3*C266/1000</f>
        <v>0.129</v>
      </c>
      <c r="J266" s="14" t="n">
        <f aca="false">4*C266/1000</f>
        <v>0.12</v>
      </c>
      <c r="K266" s="14" t="n">
        <f aca="false">730*C266/1000</f>
        <v>21.9</v>
      </c>
      <c r="L266" s="14" t="n">
        <f aca="false">1250*C266/1000</f>
        <v>37.5</v>
      </c>
      <c r="M266" s="14" t="n">
        <f aca="false">28.3*C266/1000</f>
        <v>0.849</v>
      </c>
    </row>
    <row r="267" customFormat="false" ht="15" hidden="false" customHeight="false" outlineLevel="0" collapsed="false">
      <c r="A267" s="21" t="n">
        <v>14</v>
      </c>
      <c r="B267" s="11" t="s">
        <v>24</v>
      </c>
      <c r="C267" s="12" t="n">
        <v>10</v>
      </c>
      <c r="D267" s="14" t="n">
        <f aca="false">8*C267/1000</f>
        <v>0.08</v>
      </c>
      <c r="E267" s="14" t="n">
        <f aca="false">725*C267/1000</f>
        <v>7.25</v>
      </c>
      <c r="F267" s="14" t="n">
        <f aca="false">13*C267/1000</f>
        <v>0.13</v>
      </c>
      <c r="G267" s="14" t="n">
        <f aca="false">6600*C267/1000</f>
        <v>66</v>
      </c>
      <c r="H267" s="14" t="n">
        <f aca="false">4000*C267/1000</f>
        <v>40</v>
      </c>
      <c r="I267" s="14" t="n">
        <f aca="false">0</f>
        <v>0</v>
      </c>
      <c r="J267" s="14" t="n">
        <f aca="false">0</f>
        <v>0</v>
      </c>
      <c r="K267" s="14" t="n">
        <f aca="false">240*C267/1000</f>
        <v>2.4</v>
      </c>
      <c r="L267" s="14" t="n">
        <f aca="false">300*C267/1000</f>
        <v>3</v>
      </c>
      <c r="M267" s="14" t="n">
        <f aca="false">2*C267/1000</f>
        <v>0.02</v>
      </c>
    </row>
    <row r="268" customFormat="false" ht="15" hidden="false" customHeight="false" outlineLevel="0" collapsed="false">
      <c r="A268" s="10" t="n">
        <v>338</v>
      </c>
      <c r="B268" s="11" t="s">
        <v>34</v>
      </c>
      <c r="C268" s="12" t="n">
        <v>100</v>
      </c>
      <c r="D268" s="13" t="n">
        <f aca="false">5*C268/1000</f>
        <v>0.5</v>
      </c>
      <c r="E268" s="13" t="n">
        <f aca="false">0</f>
        <v>0</v>
      </c>
      <c r="F268" s="13" t="n">
        <f aca="false">101*C268/1000</f>
        <v>10.1</v>
      </c>
      <c r="G268" s="13" t="n">
        <f aca="false">424*C268/1000</f>
        <v>42.4</v>
      </c>
      <c r="H268" s="13" t="n">
        <f aca="false">0</f>
        <v>0</v>
      </c>
      <c r="I268" s="13" t="n">
        <f aca="false">0.1*C268/1000</f>
        <v>0.01</v>
      </c>
      <c r="J268" s="13" t="n">
        <f aca="false">20*C268/1000</f>
        <v>2</v>
      </c>
      <c r="K268" s="13" t="n">
        <f aca="false">70*C268/1000</f>
        <v>7</v>
      </c>
      <c r="L268" s="13" t="n">
        <f aca="false">70*C268/1000</f>
        <v>7</v>
      </c>
      <c r="M268" s="13" t="n">
        <f aca="false">14*C268/1000</f>
        <v>1.4</v>
      </c>
    </row>
    <row r="269" customFormat="false" ht="15" hidden="false" customHeight="false" outlineLevel="0" collapsed="false">
      <c r="A269" s="10"/>
      <c r="B269" s="11"/>
      <c r="C269" s="11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customFormat="false" ht="15" hidden="false" customHeight="false" outlineLevel="0" collapsed="false">
      <c r="A270" s="10"/>
      <c r="B270" s="16" t="s">
        <v>27</v>
      </c>
      <c r="C270" s="40" t="n">
        <f aca="false">SUM(C262:C269)</f>
        <v>710</v>
      </c>
      <c r="D270" s="18" t="n">
        <f aca="false">SUM(D262:D269)</f>
        <v>26.5754</v>
      </c>
      <c r="E270" s="18" t="n">
        <f aca="false">SUM(E262:E269)</f>
        <v>30.535</v>
      </c>
      <c r="F270" s="18" t="n">
        <f aca="false">SUM(F262:F269)</f>
        <v>103.33</v>
      </c>
      <c r="G270" s="18" t="n">
        <f aca="false">SUM(G262:G269)</f>
        <v>812.251</v>
      </c>
      <c r="H270" s="18" t="n">
        <f aca="false">SUM(H262:H269)</f>
        <v>104.492</v>
      </c>
      <c r="I270" s="18" t="n">
        <f aca="false">SUM(I262:I269)</f>
        <v>0.712</v>
      </c>
      <c r="J270" s="18" t="n">
        <f aca="false">SUM(J262:J269)</f>
        <v>26.483</v>
      </c>
      <c r="K270" s="18" t="n">
        <f aca="false">SUM(K262:K269)</f>
        <v>335.903</v>
      </c>
      <c r="L270" s="18" t="n">
        <f aca="false">SUM(L262:L269)</f>
        <v>457.856</v>
      </c>
      <c r="M270" s="18" t="n">
        <f aca="false">SUM(M262:M269)</f>
        <v>7.162</v>
      </c>
    </row>
    <row r="271" customFormat="false" ht="18.75" hidden="false" customHeight="false" outlineLevel="0" collapsed="false">
      <c r="A271" s="10"/>
      <c r="B271" s="19" t="s">
        <v>28</v>
      </c>
      <c r="C271" s="20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customFormat="false" ht="15" hidden="false" customHeight="false" outlineLevel="0" collapsed="false">
      <c r="A272" s="10" t="n">
        <v>45</v>
      </c>
      <c r="B272" s="11" t="s">
        <v>81</v>
      </c>
      <c r="C272" s="12" t="n">
        <v>100</v>
      </c>
      <c r="D272" s="13" t="n">
        <f aca="false">13.1*C272/1000</f>
        <v>1.31</v>
      </c>
      <c r="E272" s="13" t="n">
        <f aca="false">32.5*C272/1000</f>
        <v>3.25</v>
      </c>
      <c r="F272" s="13" t="n">
        <f aca="false">64.7*C272/1000</f>
        <v>6.47</v>
      </c>
      <c r="G272" s="13" t="n">
        <f aca="false">604*C272/1000</f>
        <v>60.4</v>
      </c>
      <c r="H272" s="13" t="n">
        <f aca="false">0</f>
        <v>0</v>
      </c>
      <c r="I272" s="13" t="n">
        <f aca="false">0.2*C272/1000</f>
        <v>0.02</v>
      </c>
      <c r="J272" s="13" t="n">
        <f aca="false">171*C272/1000</f>
        <v>17.1</v>
      </c>
      <c r="K272" s="13" t="n">
        <f aca="false">249.7*C272/1000</f>
        <v>24.97</v>
      </c>
      <c r="L272" s="13" t="n">
        <f aca="false">283.1*C272/1000</f>
        <v>28.31</v>
      </c>
      <c r="M272" s="13" t="n">
        <f aca="false">4.7*C272/1000</f>
        <v>0.47</v>
      </c>
    </row>
    <row r="273" customFormat="false" ht="15" hidden="false" customHeight="false" outlineLevel="0" collapsed="false">
      <c r="A273" s="10" t="n">
        <v>102</v>
      </c>
      <c r="B273" s="11" t="s">
        <v>82</v>
      </c>
      <c r="C273" s="12" t="n">
        <v>250</v>
      </c>
      <c r="D273" s="13" t="n">
        <f aca="false">22*C273/1000</f>
        <v>5.5</v>
      </c>
      <c r="E273" s="13" t="n">
        <f aca="false">21.1*C273/1000</f>
        <v>5.275</v>
      </c>
      <c r="F273" s="13" t="n">
        <f aca="false">66.1*C273/1000</f>
        <v>16.525</v>
      </c>
      <c r="G273" s="13" t="n">
        <f aca="false">593*C273/1000</f>
        <v>148.25</v>
      </c>
      <c r="H273" s="13" t="n">
        <f aca="false">0</f>
        <v>0</v>
      </c>
      <c r="I273" s="13" t="n">
        <f aca="false">0.9*C273/1000</f>
        <v>0.225</v>
      </c>
      <c r="J273" s="13" t="n">
        <f aca="false">23.3*C273/1000</f>
        <v>5.825</v>
      </c>
      <c r="K273" s="13" t="n">
        <f aca="false">170.7*C273/1000</f>
        <v>42.675</v>
      </c>
      <c r="L273" s="13" t="n">
        <f aca="false">352.4*C273/1000</f>
        <v>88.1</v>
      </c>
      <c r="M273" s="13" t="n">
        <f aca="false">8.2*C273/1000</f>
        <v>2.05</v>
      </c>
    </row>
    <row r="274" customFormat="false" ht="15" hidden="false" customHeight="false" outlineLevel="0" collapsed="false">
      <c r="A274" s="10" t="n">
        <v>302</v>
      </c>
      <c r="B274" s="11" t="s">
        <v>49</v>
      </c>
      <c r="C274" s="12" t="n">
        <v>180</v>
      </c>
      <c r="D274" s="13" t="n">
        <f aca="false">57.32*C274/1000</f>
        <v>10.3176</v>
      </c>
      <c r="E274" s="13" t="n">
        <f aca="false">40.62*C274/1000</f>
        <v>7.3116</v>
      </c>
      <c r="F274" s="13" t="n">
        <f aca="false">257.6*C274/1000</f>
        <v>46.368</v>
      </c>
      <c r="G274" s="13" t="n">
        <f aca="false">1625*C274/1000</f>
        <v>292.5</v>
      </c>
      <c r="H274" s="13" t="n">
        <f aca="false">0</f>
        <v>0</v>
      </c>
      <c r="I274" s="13" t="n">
        <f aca="false">1.4*C274/1000</f>
        <v>0.252</v>
      </c>
      <c r="J274" s="13" t="n">
        <f aca="false">0</f>
        <v>0</v>
      </c>
      <c r="K274" s="13" t="n">
        <f aca="false">98.8*C274/1000</f>
        <v>17.784</v>
      </c>
      <c r="L274" s="13" t="n">
        <f aca="false">1359.5*C274/1000</f>
        <v>244.71</v>
      </c>
      <c r="M274" s="13" t="n">
        <f aca="false">30.4*C274/1000</f>
        <v>5.472</v>
      </c>
    </row>
    <row r="275" customFormat="false" ht="15" hidden="false" customHeight="false" outlineLevel="0" collapsed="false">
      <c r="A275" s="10" t="n">
        <v>268</v>
      </c>
      <c r="B275" s="11" t="s">
        <v>50</v>
      </c>
      <c r="C275" s="12" t="n">
        <v>100</v>
      </c>
      <c r="D275" s="13" t="n">
        <f aca="false">129*C275/1000</f>
        <v>12.9</v>
      </c>
      <c r="E275" s="13" t="n">
        <f aca="false">334.2*C275/1000</f>
        <v>33.42</v>
      </c>
      <c r="F275" s="13" t="n">
        <f aca="false">132.2*C275/1000</f>
        <v>13.22</v>
      </c>
      <c r="G275" s="13" t="n">
        <f aca="false">4080*C275/1000</f>
        <v>408</v>
      </c>
      <c r="H275" s="13" t="n">
        <f aca="false">400*C275/1000</f>
        <v>40</v>
      </c>
      <c r="I275" s="13" t="n">
        <f aca="false">3.6*C275/1000</f>
        <v>0.36</v>
      </c>
      <c r="J275" s="13" t="n">
        <f aca="false">42.8*C275/1000</f>
        <v>4.28</v>
      </c>
      <c r="K275" s="13" t="n">
        <f aca="false">115*C275/1000</f>
        <v>11.5</v>
      </c>
      <c r="L275" s="13" t="n">
        <f aca="false">1541.6*C275/1000</f>
        <v>154.16</v>
      </c>
      <c r="M275" s="13" t="n">
        <f aca="false">32*C275/1000</f>
        <v>3.2</v>
      </c>
    </row>
    <row r="276" customFormat="false" ht="15" hidden="false" customHeight="false" outlineLevel="0" collapsed="false">
      <c r="A276" s="10" t="n">
        <v>359</v>
      </c>
      <c r="B276" s="11" t="s">
        <v>44</v>
      </c>
      <c r="C276" s="12" t="n">
        <v>200</v>
      </c>
      <c r="D276" s="13" t="n">
        <f aca="false">1.6*C276/1000</f>
        <v>0.32</v>
      </c>
      <c r="E276" s="13" t="n">
        <f aca="false">0</f>
        <v>0</v>
      </c>
      <c r="F276" s="13" t="n">
        <f aca="false">197*C276/1000</f>
        <v>39.4</v>
      </c>
      <c r="G276" s="13" t="n">
        <f aca="false">800*C276/1000</f>
        <v>160</v>
      </c>
      <c r="H276" s="13" t="n">
        <f aca="false">0</f>
        <v>0</v>
      </c>
      <c r="I276" s="13" t="n">
        <f aca="false">0.1*C276/1000</f>
        <v>0.02</v>
      </c>
      <c r="J276" s="13" t="n">
        <f aca="false">12*C276/1000</f>
        <v>2.4</v>
      </c>
      <c r="K276" s="13" t="n">
        <f aca="false">112.3*C276/1000</f>
        <v>22.46</v>
      </c>
      <c r="L276" s="13" t="n">
        <f aca="false">92.5*C276/1000</f>
        <v>18.5</v>
      </c>
      <c r="M276" s="13" t="n">
        <f aca="false">0.96*C276/1000</f>
        <v>0.192</v>
      </c>
    </row>
    <row r="277" customFormat="false" ht="15" hidden="false" customHeight="false" outlineLevel="0" collapsed="false">
      <c r="A277" s="15"/>
      <c r="B277" s="11" t="s">
        <v>25</v>
      </c>
      <c r="C277" s="12" t="n">
        <v>60</v>
      </c>
      <c r="D277" s="13" t="n">
        <f aca="false">107*C277/1000</f>
        <v>6.42</v>
      </c>
      <c r="E277" s="13" t="n">
        <f aca="false">45*C277/1000</f>
        <v>2.7</v>
      </c>
      <c r="F277" s="13" t="n">
        <f aca="false">435*C277/1000</f>
        <v>26.1</v>
      </c>
      <c r="G277" s="13" t="n">
        <f aca="false">2740*C277/1000</f>
        <v>164.4</v>
      </c>
      <c r="H277" s="13" t="n">
        <f aca="false">0</f>
        <v>0</v>
      </c>
      <c r="I277" s="13" t="n">
        <f aca="false">4.1*C277/1000</f>
        <v>0.246</v>
      </c>
      <c r="J277" s="13" t="n">
        <f aca="false">2*C277/1000</f>
        <v>0.12</v>
      </c>
      <c r="K277" s="13" t="n">
        <f aca="false">1250*C277/1000</f>
        <v>75</v>
      </c>
      <c r="L277" s="13" t="n">
        <f aca="false">1290*C277/1000</f>
        <v>77.4</v>
      </c>
      <c r="M277" s="13" t="n">
        <f aca="false">36*C277/1000</f>
        <v>2.16</v>
      </c>
    </row>
    <row r="278" customFormat="false" ht="15" hidden="false" customHeight="false" outlineLevel="0" collapsed="false">
      <c r="A278" s="22"/>
      <c r="B278" s="11" t="s">
        <v>26</v>
      </c>
      <c r="C278" s="12" t="n">
        <v>30</v>
      </c>
      <c r="D278" s="14" t="n">
        <f aca="false">85*C278/1000</f>
        <v>2.55</v>
      </c>
      <c r="E278" s="14" t="n">
        <f aca="false">33*C278/1000</f>
        <v>0.99</v>
      </c>
      <c r="F278" s="14" t="n">
        <f aca="false">425*C278/1000</f>
        <v>12.75</v>
      </c>
      <c r="G278" s="14" t="n">
        <f aca="false">2590*C278/1000</f>
        <v>77.7</v>
      </c>
      <c r="H278" s="14" t="n">
        <f aca="false">0</f>
        <v>0</v>
      </c>
      <c r="I278" s="14" t="n">
        <f aca="false">4.3*C278/1000</f>
        <v>0.129</v>
      </c>
      <c r="J278" s="14" t="n">
        <f aca="false">4*C278/1000</f>
        <v>0.12</v>
      </c>
      <c r="K278" s="14" t="n">
        <f aca="false">730*C278/1000</f>
        <v>21.9</v>
      </c>
      <c r="L278" s="14" t="n">
        <f aca="false">1250*C278/1000</f>
        <v>37.5</v>
      </c>
      <c r="M278" s="14" t="n">
        <f aca="false">28.3*C278/1000</f>
        <v>0.849</v>
      </c>
    </row>
    <row r="279" customFormat="false" ht="15" hidden="false" customHeight="false" outlineLevel="0" collapsed="false">
      <c r="A279" s="15" t="n">
        <v>338</v>
      </c>
      <c r="B279" s="11" t="s">
        <v>52</v>
      </c>
      <c r="C279" s="12" t="n">
        <v>100</v>
      </c>
      <c r="D279" s="13" t="n">
        <f aca="false">4*C279/1000</f>
        <v>0.4</v>
      </c>
      <c r="E279" s="13" t="n">
        <f aca="false">4*C279/1000</f>
        <v>0.4</v>
      </c>
      <c r="F279" s="13" t="n">
        <f aca="false">98*C279/1000</f>
        <v>9.8</v>
      </c>
      <c r="G279" s="13" t="n">
        <f aca="false">470*C279/1000</f>
        <v>47</v>
      </c>
      <c r="H279" s="13" t="n">
        <f aca="false">0</f>
        <v>0</v>
      </c>
      <c r="I279" s="13" t="n">
        <f aca="false">0.3*C279/1000</f>
        <v>0.03</v>
      </c>
      <c r="J279" s="13" t="n">
        <f aca="false">100*C279/1000</f>
        <v>10</v>
      </c>
      <c r="K279" s="13" t="n">
        <f aca="false">160*C279/1000</f>
        <v>16</v>
      </c>
      <c r="L279" s="13" t="n">
        <f aca="false">110*C279/1000</f>
        <v>11</v>
      </c>
      <c r="M279" s="13" t="n">
        <f aca="false">22*C279/1000</f>
        <v>2.2</v>
      </c>
    </row>
    <row r="280" customFormat="false" ht="18" hidden="false" customHeight="true" outlineLevel="0" collapsed="false">
      <c r="A280" s="21"/>
      <c r="B280" s="16" t="s">
        <v>27</v>
      </c>
      <c r="C280" s="17" t="n">
        <f aca="false">SUM(C272:C279)</f>
        <v>1020</v>
      </c>
      <c r="D280" s="18" t="n">
        <f aca="false">SUM(D272:D279)</f>
        <v>39.7176</v>
      </c>
      <c r="E280" s="18" t="n">
        <f aca="false">SUM(E272:E279)</f>
        <v>53.3466</v>
      </c>
      <c r="F280" s="18" t="n">
        <f aca="false">SUM(F272:F279)</f>
        <v>170.633</v>
      </c>
      <c r="G280" s="18" t="n">
        <f aca="false">SUM(G272:G279)</f>
        <v>1358.25</v>
      </c>
      <c r="H280" s="18" t="n">
        <f aca="false">SUM(H272:H279)</f>
        <v>40</v>
      </c>
      <c r="I280" s="18" t="n">
        <f aca="false">SUM(I272:I279)</f>
        <v>1.282</v>
      </c>
      <c r="J280" s="18" t="n">
        <f aca="false">SUM(J272:J279)</f>
        <v>39.845</v>
      </c>
      <c r="K280" s="18" t="n">
        <f aca="false">SUM(K272:K279)</f>
        <v>232.289</v>
      </c>
      <c r="L280" s="18" t="n">
        <f aca="false">SUM(L272:L279)</f>
        <v>659.68</v>
      </c>
      <c r="M280" s="18" t="n">
        <f aca="false">SUM(M272:M279)</f>
        <v>16.593</v>
      </c>
    </row>
    <row r="281" customFormat="false" ht="18" hidden="false" customHeight="true" outlineLevel="0" collapsed="false">
      <c r="A281" s="21"/>
      <c r="B281" s="24" t="s">
        <v>35</v>
      </c>
      <c r="C281" s="41" t="n">
        <f aca="false">C270+C280</f>
        <v>1730</v>
      </c>
      <c r="D281" s="26" t="n">
        <f aca="false">D270+D280</f>
        <v>66.293</v>
      </c>
      <c r="E281" s="26" t="n">
        <f aca="false">E270+E280</f>
        <v>83.8816</v>
      </c>
      <c r="F281" s="26" t="n">
        <f aca="false">F270+F280</f>
        <v>273.963</v>
      </c>
      <c r="G281" s="26" t="n">
        <f aca="false">G270+G280</f>
        <v>2170.501</v>
      </c>
      <c r="H281" s="26" t="n">
        <f aca="false">H270+H280</f>
        <v>144.492</v>
      </c>
      <c r="I281" s="26" t="n">
        <f aca="false">I270+I280</f>
        <v>1.994</v>
      </c>
      <c r="J281" s="26" t="n">
        <f aca="false">J270+J280</f>
        <v>66.328</v>
      </c>
      <c r="K281" s="26" t="n">
        <f aca="false">K270+K280</f>
        <v>568.192</v>
      </c>
      <c r="L281" s="26" t="n">
        <f aca="false">L270+L280</f>
        <v>1117.536</v>
      </c>
      <c r="M281" s="26" t="n">
        <f aca="false">M270+M280</f>
        <v>23.755</v>
      </c>
    </row>
    <row r="282" customFormat="false" ht="18" hidden="false" customHeight="true" outlineLevel="0" collapsed="false">
      <c r="A282" s="27"/>
      <c r="B282" s="28" t="s">
        <v>36</v>
      </c>
      <c r="C282" s="29" t="n">
        <v>1350</v>
      </c>
      <c r="D282" s="13" t="n">
        <v>49.5</v>
      </c>
      <c r="E282" s="13" t="n">
        <v>50.6</v>
      </c>
      <c r="F282" s="13" t="n">
        <v>210.7</v>
      </c>
      <c r="G282" s="13" t="n">
        <v>1496</v>
      </c>
      <c r="H282" s="13" t="n">
        <v>495</v>
      </c>
      <c r="I282" s="13" t="n">
        <v>0.8</v>
      </c>
      <c r="J282" s="13" t="n">
        <v>38.5</v>
      </c>
      <c r="K282" s="13" t="n">
        <v>660</v>
      </c>
      <c r="L282" s="13" t="n">
        <v>660</v>
      </c>
      <c r="M282" s="13" t="n">
        <v>9.9</v>
      </c>
    </row>
    <row r="283" customFormat="false" ht="18" hidden="false" customHeight="true" outlineLevel="0" collapsed="false">
      <c r="A283" s="30"/>
      <c r="B283" s="31"/>
      <c r="C283" s="32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customFormat="false" ht="18" hidden="false" customHeight="true" outlineLevel="0" collapsed="false">
      <c r="A284" s="30"/>
      <c r="B284" s="31"/>
      <c r="C284" s="32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customFormat="false" ht="18" hidden="false" customHeight="true" outlineLevel="0" collapsed="false">
      <c r="A285" s="30"/>
      <c r="B285" s="31"/>
      <c r="C285" s="32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customFormat="false" ht="18" hidden="false" customHeight="true" outlineLevel="0" collapsed="false">
      <c r="A286" s="30"/>
      <c r="B286" s="31"/>
      <c r="C286" s="32"/>
      <c r="D286" s="34"/>
      <c r="E286" s="34"/>
      <c r="F286" s="34"/>
      <c r="G286" s="34"/>
      <c r="H286" s="34"/>
      <c r="I286" s="34"/>
      <c r="J286" s="34"/>
      <c r="K286" s="34"/>
      <c r="L286" s="34"/>
      <c r="M286" s="34"/>
    </row>
    <row r="287" customFormat="false" ht="18" hidden="false" customHeight="true" outlineLevel="0" collapsed="false">
      <c r="A287" s="30"/>
      <c r="B287" s="31"/>
      <c r="C287" s="32"/>
      <c r="D287" s="34"/>
      <c r="E287" s="34"/>
      <c r="F287" s="34"/>
      <c r="G287" s="34"/>
      <c r="H287" s="34"/>
      <c r="I287" s="34"/>
      <c r="J287" s="34"/>
      <c r="K287" s="34"/>
      <c r="L287" s="34"/>
      <c r="M287" s="34"/>
    </row>
    <row r="288" customFormat="false" ht="15.75" hidden="false" customHeight="false" outlineLevel="0" collapsed="false">
      <c r="A288" s="30"/>
      <c r="B288" s="31"/>
      <c r="C288" s="32"/>
      <c r="D288" s="34"/>
      <c r="E288" s="34"/>
      <c r="F288" s="34"/>
      <c r="G288" s="34"/>
      <c r="H288" s="34"/>
      <c r="I288" s="34"/>
      <c r="J288" s="34"/>
      <c r="K288" s="34"/>
      <c r="L288" s="34"/>
      <c r="M288" s="34"/>
    </row>
    <row r="289" customFormat="false" ht="15.75" hidden="false" customHeight="false" outlineLevel="0" collapsed="false">
      <c r="A289" s="30"/>
      <c r="B289" s="31"/>
      <c r="C289" s="32"/>
      <c r="D289" s="34"/>
      <c r="E289" s="34"/>
      <c r="F289" s="34"/>
      <c r="G289" s="34"/>
      <c r="H289" s="34"/>
      <c r="I289" s="34"/>
      <c r="J289" s="34"/>
      <c r="K289" s="34"/>
      <c r="L289" s="34"/>
      <c r="M289" s="34"/>
    </row>
    <row r="290" customFormat="false" ht="15.75" hidden="false" customHeight="false" outlineLevel="0" collapsed="false">
      <c r="A290" s="30"/>
      <c r="B290" s="31"/>
      <c r="C290" s="32"/>
      <c r="D290" s="34"/>
      <c r="E290" s="34"/>
      <c r="F290" s="34"/>
      <c r="G290" s="34"/>
      <c r="H290" s="34"/>
      <c r="I290" s="34"/>
      <c r="J290" s="34"/>
      <c r="K290" s="34"/>
      <c r="L290" s="34"/>
      <c r="M290" s="34"/>
    </row>
    <row r="291" customFormat="false" ht="18.75" hidden="false" customHeight="false" outlineLevel="0" collapsed="false">
      <c r="A291" s="2" t="s">
        <v>83</v>
      </c>
      <c r="B291" s="2"/>
      <c r="D291" s="35"/>
      <c r="E291" s="35"/>
      <c r="F291" s="35"/>
      <c r="G291" s="35"/>
      <c r="H291" s="35"/>
      <c r="I291" s="35"/>
      <c r="J291" s="35"/>
      <c r="K291" s="35"/>
      <c r="L291" s="35"/>
      <c r="M291" s="35"/>
    </row>
    <row r="292" customFormat="false" ht="15" hidden="false" customHeight="false" outlineLevel="0" collapsed="false">
      <c r="A292" s="2" t="s">
        <v>67</v>
      </c>
      <c r="B292" s="2"/>
      <c r="D292" s="35"/>
      <c r="E292" s="35"/>
      <c r="F292" s="35"/>
      <c r="G292" s="35"/>
      <c r="H292" s="35"/>
      <c r="I292" s="35"/>
      <c r="J292" s="35"/>
      <c r="K292" s="35"/>
      <c r="L292" s="35"/>
      <c r="M292" s="35"/>
    </row>
    <row r="293" customFormat="false" ht="15.75" hidden="false" customHeight="false" outlineLevel="0" collapsed="false">
      <c r="A293" s="3" t="s">
        <v>2</v>
      </c>
      <c r="B293" s="3"/>
      <c r="D293" s="35"/>
      <c r="E293" s="35"/>
      <c r="F293" s="35"/>
      <c r="G293" s="35"/>
      <c r="H293" s="35"/>
      <c r="I293" s="35"/>
      <c r="J293" s="35"/>
      <c r="K293" s="35"/>
      <c r="L293" s="35"/>
      <c r="M293" s="35"/>
    </row>
    <row r="294" customFormat="false" ht="15" hidden="false" customHeight="true" outlineLevel="0" collapsed="false">
      <c r="A294" s="4" t="s">
        <v>3</v>
      </c>
      <c r="B294" s="4" t="s">
        <v>4</v>
      </c>
      <c r="C294" s="4" t="s">
        <v>5</v>
      </c>
      <c r="D294" s="36" t="s">
        <v>6</v>
      </c>
      <c r="E294" s="36"/>
      <c r="F294" s="36"/>
      <c r="G294" s="37" t="s">
        <v>7</v>
      </c>
      <c r="H294" s="37" t="s">
        <v>8</v>
      </c>
      <c r="I294" s="37"/>
      <c r="J294" s="37"/>
      <c r="K294" s="37" t="s">
        <v>9</v>
      </c>
      <c r="L294" s="37"/>
      <c r="M294" s="37"/>
    </row>
    <row r="295" customFormat="false" ht="15.75" hidden="false" customHeight="true" outlineLevel="0" collapsed="false">
      <c r="A295" s="4"/>
      <c r="B295" s="4"/>
      <c r="C295" s="4"/>
      <c r="D295" s="38" t="s">
        <v>10</v>
      </c>
      <c r="E295" s="38"/>
      <c r="F295" s="38"/>
      <c r="G295" s="37"/>
      <c r="H295" s="37"/>
      <c r="I295" s="37"/>
      <c r="J295" s="37"/>
      <c r="K295" s="37"/>
      <c r="L295" s="37"/>
      <c r="M295" s="37"/>
    </row>
    <row r="296" customFormat="false" ht="17.25" hidden="false" customHeight="false" outlineLevel="0" collapsed="false">
      <c r="A296" s="4"/>
      <c r="B296" s="4"/>
      <c r="C296" s="4"/>
      <c r="D296" s="37" t="s">
        <v>11</v>
      </c>
      <c r="E296" s="37" t="s">
        <v>12</v>
      </c>
      <c r="F296" s="37" t="s">
        <v>13</v>
      </c>
      <c r="G296" s="37"/>
      <c r="H296" s="37" t="s">
        <v>14</v>
      </c>
      <c r="I296" s="37" t="s">
        <v>38</v>
      </c>
      <c r="J296" s="37" t="s">
        <v>16</v>
      </c>
      <c r="K296" s="37" t="s">
        <v>17</v>
      </c>
      <c r="L296" s="37" t="s">
        <v>18</v>
      </c>
      <c r="M296" s="37" t="s">
        <v>19</v>
      </c>
    </row>
    <row r="297" customFormat="false" ht="18.75" hidden="false" customHeight="false" outlineLevel="0" collapsed="false">
      <c r="A297" s="7"/>
      <c r="B297" s="8" t="s">
        <v>20</v>
      </c>
      <c r="C297" s="9"/>
      <c r="D297" s="39"/>
      <c r="E297" s="39"/>
      <c r="F297" s="39"/>
      <c r="G297" s="39"/>
      <c r="H297" s="39"/>
      <c r="I297" s="39"/>
      <c r="J297" s="39"/>
      <c r="K297" s="39"/>
      <c r="L297" s="39"/>
      <c r="M297" s="39"/>
    </row>
    <row r="298" customFormat="false" ht="15" hidden="false" customHeight="false" outlineLevel="0" collapsed="false">
      <c r="A298" s="10" t="n">
        <v>263</v>
      </c>
      <c r="B298" s="11" t="s">
        <v>84</v>
      </c>
      <c r="C298" s="12" t="n">
        <v>250</v>
      </c>
      <c r="D298" s="13" t="n">
        <f aca="false">66.7*C298/1000</f>
        <v>16.675</v>
      </c>
      <c r="E298" s="13" t="n">
        <f aca="false">171.8*C298/1000</f>
        <v>42.95</v>
      </c>
      <c r="F298" s="13" t="n">
        <f aca="false">98.3*C298/1000</f>
        <v>24.575</v>
      </c>
      <c r="G298" s="13" t="n">
        <f aca="false">2160*C298/1000</f>
        <v>540</v>
      </c>
      <c r="H298" s="13" t="n">
        <f aca="false">0*C298/1000</f>
        <v>0</v>
      </c>
      <c r="I298" s="13" t="n">
        <f aca="false">2.3*C298/1000</f>
        <v>0.575</v>
      </c>
      <c r="J298" s="13" t="n">
        <f aca="false">35*C298/1000</f>
        <v>8.75</v>
      </c>
      <c r="K298" s="13" t="n">
        <f aca="false">122.8*C298/1000</f>
        <v>30.7</v>
      </c>
      <c r="L298" s="13" t="n">
        <f aca="false">995*C298/1000</f>
        <v>248.75</v>
      </c>
      <c r="M298" s="13" t="n">
        <f aca="false">12.3*C298/1000</f>
        <v>3.075</v>
      </c>
    </row>
    <row r="299" customFormat="false" ht="15" hidden="false" customHeight="false" outlineLevel="0" collapsed="false">
      <c r="A299" s="10"/>
      <c r="B299" s="11" t="s">
        <v>85</v>
      </c>
      <c r="C299" s="12" t="n">
        <v>200</v>
      </c>
      <c r="D299" s="14" t="n">
        <f aca="false">29*C299/1000</f>
        <v>5.8</v>
      </c>
      <c r="E299" s="14" t="n">
        <f aca="false">25*C299/1000</f>
        <v>5</v>
      </c>
      <c r="F299" s="14" t="n">
        <f aca="false">40*C299/1000</f>
        <v>8</v>
      </c>
      <c r="G299" s="14" t="n">
        <f aca="false">500*C299/1000</f>
        <v>100</v>
      </c>
      <c r="H299" s="14" t="n">
        <f aca="false">200*C299/1000</f>
        <v>40</v>
      </c>
      <c r="I299" s="14" t="n">
        <f aca="false">0.4*C299/1000</f>
        <v>0.08</v>
      </c>
      <c r="J299" s="14" t="n">
        <f aca="false">7*C299/1000</f>
        <v>1.4</v>
      </c>
      <c r="K299" s="14" t="n">
        <f aca="false">1200*C299/1000</f>
        <v>240</v>
      </c>
      <c r="L299" s="14" t="n">
        <f aca="false">900*C299/1000</f>
        <v>180</v>
      </c>
      <c r="M299" s="14" t="n">
        <f aca="false">1*C299/1000</f>
        <v>0.2</v>
      </c>
    </row>
    <row r="300" customFormat="false" ht="15" hidden="false" customHeight="false" outlineLevel="0" collapsed="false">
      <c r="A300" s="15"/>
      <c r="B300" s="11" t="s">
        <v>25</v>
      </c>
      <c r="C300" s="12" t="n">
        <v>60</v>
      </c>
      <c r="D300" s="13" t="n">
        <f aca="false">107*C300/1000</f>
        <v>6.42</v>
      </c>
      <c r="E300" s="13" t="n">
        <f aca="false">45*C300/1000</f>
        <v>2.7</v>
      </c>
      <c r="F300" s="13" t="n">
        <f aca="false">435*C300/1000</f>
        <v>26.1</v>
      </c>
      <c r="G300" s="13" t="n">
        <f aca="false">2740*C300/1000</f>
        <v>164.4</v>
      </c>
      <c r="H300" s="13" t="n">
        <f aca="false">0</f>
        <v>0</v>
      </c>
      <c r="I300" s="13" t="n">
        <f aca="false">4.1*C300/1000</f>
        <v>0.246</v>
      </c>
      <c r="J300" s="13" t="n">
        <f aca="false">2*C300/1000</f>
        <v>0.12</v>
      </c>
      <c r="K300" s="13" t="n">
        <f aca="false">1250*C300/1000</f>
        <v>75</v>
      </c>
      <c r="L300" s="13" t="n">
        <f aca="false">1290*C300/1000</f>
        <v>77.4</v>
      </c>
      <c r="M300" s="13" t="n">
        <f aca="false">36*C300/1000</f>
        <v>2.16</v>
      </c>
    </row>
    <row r="301" customFormat="false" ht="15" hidden="false" customHeight="false" outlineLevel="0" collapsed="false">
      <c r="A301" s="15"/>
      <c r="B301" s="11" t="s">
        <v>26</v>
      </c>
      <c r="C301" s="12" t="n">
        <v>30</v>
      </c>
      <c r="D301" s="14" t="n">
        <f aca="false">85*C301/1000</f>
        <v>2.55</v>
      </c>
      <c r="E301" s="14" t="n">
        <f aca="false">33*C301/1000</f>
        <v>0.99</v>
      </c>
      <c r="F301" s="14" t="n">
        <f aca="false">425*C301/1000</f>
        <v>12.75</v>
      </c>
      <c r="G301" s="14" t="n">
        <f aca="false">2590*C301/1000</f>
        <v>77.7</v>
      </c>
      <c r="H301" s="14" t="n">
        <f aca="false">0</f>
        <v>0</v>
      </c>
      <c r="I301" s="14" t="n">
        <f aca="false">4.3*C301/1000</f>
        <v>0.129</v>
      </c>
      <c r="J301" s="14" t="n">
        <f aca="false">4*C301/1000</f>
        <v>0.12</v>
      </c>
      <c r="K301" s="14" t="n">
        <f aca="false">730*C301/1000</f>
        <v>21.9</v>
      </c>
      <c r="L301" s="14" t="n">
        <f aca="false">1250*C301/1000</f>
        <v>37.5</v>
      </c>
      <c r="M301" s="14" t="n">
        <f aca="false">28.3*C301/1000</f>
        <v>0.849</v>
      </c>
    </row>
    <row r="302" customFormat="false" ht="15" hidden="false" customHeight="false" outlineLevel="0" collapsed="false">
      <c r="A302" s="15" t="n">
        <v>338</v>
      </c>
      <c r="B302" s="11" t="s">
        <v>52</v>
      </c>
      <c r="C302" s="12" t="n">
        <v>100</v>
      </c>
      <c r="D302" s="13" t="n">
        <f aca="false">4*C302/1000</f>
        <v>0.4</v>
      </c>
      <c r="E302" s="13" t="n">
        <f aca="false">4*C302/1000</f>
        <v>0.4</v>
      </c>
      <c r="F302" s="13" t="n">
        <f aca="false">98*C302/1000</f>
        <v>9.8</v>
      </c>
      <c r="G302" s="13" t="n">
        <f aca="false">470*C302/1000</f>
        <v>47</v>
      </c>
      <c r="H302" s="13" t="n">
        <f aca="false">0</f>
        <v>0</v>
      </c>
      <c r="I302" s="13" t="n">
        <f aca="false">0.3*C302/1000</f>
        <v>0.03</v>
      </c>
      <c r="J302" s="13" t="n">
        <f aca="false">100*C302/1000</f>
        <v>10</v>
      </c>
      <c r="K302" s="13" t="n">
        <f aca="false">160*C302/1000</f>
        <v>16</v>
      </c>
      <c r="L302" s="13" t="n">
        <f aca="false">110*C302/1000</f>
        <v>11</v>
      </c>
      <c r="M302" s="13" t="n">
        <f aca="false">22*C302/1000</f>
        <v>2.2</v>
      </c>
    </row>
    <row r="303" customFormat="false" ht="15" hidden="false" customHeight="false" outlineLevel="0" collapsed="false">
      <c r="A303" s="22" t="n">
        <v>14</v>
      </c>
      <c r="B303" s="11" t="s">
        <v>86</v>
      </c>
      <c r="C303" s="12" t="n">
        <v>10</v>
      </c>
      <c r="D303" s="14" t="n">
        <v>0.1</v>
      </c>
      <c r="E303" s="14" t="n">
        <v>7.3</v>
      </c>
      <c r="F303" s="14" t="n">
        <v>0.1</v>
      </c>
      <c r="G303" s="14" t="n">
        <v>66</v>
      </c>
      <c r="H303" s="14" t="n">
        <v>40</v>
      </c>
      <c r="I303" s="14" t="n">
        <v>0</v>
      </c>
      <c r="J303" s="14" t="n">
        <v>0</v>
      </c>
      <c r="K303" s="14" t="n">
        <v>2.4</v>
      </c>
      <c r="L303" s="14" t="n">
        <v>3</v>
      </c>
      <c r="M303" s="14" t="n">
        <v>0</v>
      </c>
    </row>
    <row r="304" customFormat="false" ht="15" hidden="false" customHeight="false" outlineLevel="0" collapsed="false">
      <c r="A304" s="10"/>
      <c r="B304" s="16" t="s">
        <v>27</v>
      </c>
      <c r="C304" s="40" t="n">
        <f aca="false">SUM(C298:C303)</f>
        <v>650</v>
      </c>
      <c r="D304" s="18" t="n">
        <f aca="false">SUM(D298:D303)</f>
        <v>31.945</v>
      </c>
      <c r="E304" s="18" t="n">
        <f aca="false">SUM(E298:E303)</f>
        <v>59.34</v>
      </c>
      <c r="F304" s="18" t="n">
        <f aca="false">SUM(F298:F303)</f>
        <v>81.325</v>
      </c>
      <c r="G304" s="18" t="n">
        <f aca="false">SUM(G298:G303)</f>
        <v>995.1</v>
      </c>
      <c r="H304" s="18" t="n">
        <f aca="false">SUM(H298:H303)</f>
        <v>80</v>
      </c>
      <c r="I304" s="18" t="n">
        <f aca="false">SUM(I298:I303)</f>
        <v>1.06</v>
      </c>
      <c r="J304" s="18" t="n">
        <f aca="false">SUM(J298:J303)</f>
        <v>20.39</v>
      </c>
      <c r="K304" s="18" t="n">
        <f aca="false">SUM(K298:K303)</f>
        <v>386</v>
      </c>
      <c r="L304" s="18" t="n">
        <f aca="false">SUM(L298:L303)</f>
        <v>557.65</v>
      </c>
      <c r="M304" s="18" t="n">
        <f aca="false">SUM(M298:M303)</f>
        <v>8.484</v>
      </c>
    </row>
    <row r="305" customFormat="false" ht="18.75" hidden="false" customHeight="false" outlineLevel="0" collapsed="false">
      <c r="A305" s="10"/>
      <c r="B305" s="19" t="s">
        <v>28</v>
      </c>
      <c r="C305" s="20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customFormat="false" ht="15" hidden="false" customHeight="false" outlineLevel="0" collapsed="false">
      <c r="A306" s="10" t="n">
        <v>62</v>
      </c>
      <c r="B306" s="11" t="s">
        <v>87</v>
      </c>
      <c r="C306" s="12" t="n">
        <v>250</v>
      </c>
      <c r="D306" s="13" t="n">
        <f aca="false">12.3*C306/1000</f>
        <v>3.075</v>
      </c>
      <c r="E306" s="13" t="n">
        <f aca="false">0.9*C306/1000</f>
        <v>0.225</v>
      </c>
      <c r="F306" s="13" t="n">
        <f aca="false">114.8*C306/1000</f>
        <v>28.7</v>
      </c>
      <c r="G306" s="13" t="n">
        <f aca="false">817*C306/1000</f>
        <v>204.25</v>
      </c>
      <c r="H306" s="13" t="n">
        <f aca="false">0</f>
        <v>0</v>
      </c>
      <c r="I306" s="13" t="n">
        <f aca="false">0.6*C306/1000</f>
        <v>0.15</v>
      </c>
      <c r="J306" s="13" t="n">
        <f aca="false">33.6*C306/1000</f>
        <v>8.4</v>
      </c>
      <c r="K306" s="13" t="n">
        <f aca="false">257.6*C306/1000</f>
        <v>64.4</v>
      </c>
      <c r="L306" s="13" t="n">
        <f aca="false">527.7*C306/1000</f>
        <v>131.925</v>
      </c>
      <c r="M306" s="13" t="n">
        <f aca="false">6.6*C306/1000</f>
        <v>1.65</v>
      </c>
    </row>
    <row r="307" customFormat="false" ht="15" hidden="false" customHeight="false" outlineLevel="0" collapsed="false">
      <c r="A307" s="10" t="n">
        <v>309</v>
      </c>
      <c r="B307" s="11" t="s">
        <v>55</v>
      </c>
      <c r="C307" s="12" t="n">
        <v>200</v>
      </c>
      <c r="D307" s="13" t="n">
        <v>13.5</v>
      </c>
      <c r="E307" s="13" t="n">
        <v>15.9</v>
      </c>
      <c r="F307" s="13" t="n">
        <v>34.1</v>
      </c>
      <c r="G307" s="13" t="n">
        <v>224.6</v>
      </c>
      <c r="H307" s="13" t="n">
        <v>115.2</v>
      </c>
      <c r="I307" s="13" t="n">
        <v>0.1</v>
      </c>
      <c r="J307" s="13" t="n">
        <v>0.2</v>
      </c>
      <c r="K307" s="13" t="n">
        <v>295.2</v>
      </c>
      <c r="L307" s="13" t="n">
        <v>202</v>
      </c>
      <c r="M307" s="13" t="n">
        <v>1.2</v>
      </c>
    </row>
    <row r="308" customFormat="false" ht="15" hidden="false" customHeight="false" outlineLevel="0" collapsed="false">
      <c r="A308" s="10" t="n">
        <v>256</v>
      </c>
      <c r="B308" s="11" t="s">
        <v>43</v>
      </c>
      <c r="C308" s="12" t="n">
        <v>100</v>
      </c>
      <c r="D308" s="13" t="n">
        <v>15.2</v>
      </c>
      <c r="E308" s="13" t="n">
        <v>17.4</v>
      </c>
      <c r="F308" s="13" t="n">
        <v>2.6</v>
      </c>
      <c r="G308" s="13" t="n">
        <v>225</v>
      </c>
      <c r="H308" s="13" t="n">
        <v>0</v>
      </c>
      <c r="I308" s="13" t="n">
        <v>0.3</v>
      </c>
      <c r="J308" s="13" t="n">
        <v>0.1</v>
      </c>
      <c r="K308" s="13" t="n">
        <v>21.2</v>
      </c>
      <c r="L308" s="13" t="n">
        <v>159.4</v>
      </c>
      <c r="M308" s="13" t="n">
        <v>2.5</v>
      </c>
    </row>
    <row r="309" customFormat="false" ht="15" hidden="false" customHeight="false" outlineLevel="0" collapsed="false">
      <c r="A309" s="10" t="n">
        <v>389</v>
      </c>
      <c r="B309" s="11" t="s">
        <v>59</v>
      </c>
      <c r="C309" s="12" t="n">
        <v>200</v>
      </c>
      <c r="D309" s="14" t="n">
        <v>1</v>
      </c>
      <c r="E309" s="14" t="n">
        <v>0</v>
      </c>
      <c r="F309" s="14" t="n">
        <v>20.2</v>
      </c>
      <c r="G309" s="14" t="n">
        <v>84.8</v>
      </c>
      <c r="H309" s="14" t="n">
        <v>0</v>
      </c>
      <c r="I309" s="14" t="n">
        <v>0</v>
      </c>
      <c r="J309" s="14" t="n">
        <v>4</v>
      </c>
      <c r="K309" s="14" t="n">
        <v>14</v>
      </c>
      <c r="L309" s="14" t="n">
        <v>14</v>
      </c>
      <c r="M309" s="14" t="n">
        <v>2.8</v>
      </c>
    </row>
    <row r="310" customFormat="false" ht="15" hidden="false" customHeight="false" outlineLevel="0" collapsed="false">
      <c r="A310" s="15"/>
      <c r="B310" s="11" t="s">
        <v>25</v>
      </c>
      <c r="C310" s="12" t="n">
        <v>60</v>
      </c>
      <c r="D310" s="13" t="n">
        <f aca="false">107*C310/1000</f>
        <v>6.42</v>
      </c>
      <c r="E310" s="13" t="n">
        <f aca="false">45*C310/1000</f>
        <v>2.7</v>
      </c>
      <c r="F310" s="13" t="n">
        <f aca="false">435*C310/1000</f>
        <v>26.1</v>
      </c>
      <c r="G310" s="13" t="n">
        <f aca="false">2740*C310/1000</f>
        <v>164.4</v>
      </c>
      <c r="H310" s="13" t="n">
        <f aca="false">0</f>
        <v>0</v>
      </c>
      <c r="I310" s="13" t="n">
        <f aca="false">4.1*C310/1000</f>
        <v>0.246</v>
      </c>
      <c r="J310" s="13" t="n">
        <f aca="false">2*C310/1000</f>
        <v>0.12</v>
      </c>
      <c r="K310" s="13" t="n">
        <f aca="false">1250*C310/1000</f>
        <v>75</v>
      </c>
      <c r="L310" s="13" t="n">
        <f aca="false">1290*C310/1000</f>
        <v>77.4</v>
      </c>
      <c r="M310" s="13" t="n">
        <f aca="false">36*C310/1000</f>
        <v>2.16</v>
      </c>
    </row>
    <row r="311" customFormat="false" ht="15" hidden="false" customHeight="false" outlineLevel="0" collapsed="false">
      <c r="A311" s="10"/>
      <c r="B311" s="11" t="s">
        <v>26</v>
      </c>
      <c r="C311" s="12" t="n">
        <v>30</v>
      </c>
      <c r="D311" s="23" t="n">
        <f aca="false">232*C311/1000</f>
        <v>6.96</v>
      </c>
      <c r="E311" s="23" t="n">
        <f aca="false">295*C311/1000</f>
        <v>8.85</v>
      </c>
      <c r="F311" s="23" t="n">
        <f aca="false">0</f>
        <v>0</v>
      </c>
      <c r="G311" s="23" t="n">
        <f aca="false">3600*C311/1000</f>
        <v>108</v>
      </c>
      <c r="H311" s="23" t="n">
        <f aca="false">2600*C311/1000</f>
        <v>78</v>
      </c>
      <c r="I311" s="23" t="n">
        <f aca="false">0.3*C311/1000</f>
        <v>0.009</v>
      </c>
      <c r="J311" s="23" t="n">
        <f aca="false">7*C311/1000</f>
        <v>0.21</v>
      </c>
      <c r="K311" s="23" t="n">
        <f aca="false">8800*C311/1000</f>
        <v>264</v>
      </c>
      <c r="L311" s="23" t="n">
        <f aca="false">5000*C311/1000</f>
        <v>150</v>
      </c>
      <c r="M311" s="23" t="n">
        <f aca="false">10*C311/1000</f>
        <v>0.3</v>
      </c>
    </row>
    <row r="312" customFormat="false" ht="18" hidden="false" customHeight="true" outlineLevel="0" collapsed="false">
      <c r="A312" s="22" t="n">
        <v>338</v>
      </c>
      <c r="B312" s="11" t="s">
        <v>34</v>
      </c>
      <c r="C312" s="12" t="n">
        <v>100</v>
      </c>
      <c r="D312" s="14" t="n">
        <f aca="false">85*C312/1000</f>
        <v>8.5</v>
      </c>
      <c r="E312" s="14" t="n">
        <f aca="false">33*C312/1000</f>
        <v>3.3</v>
      </c>
      <c r="F312" s="14" t="n">
        <f aca="false">425*C312/1000</f>
        <v>42.5</v>
      </c>
      <c r="G312" s="14" t="n">
        <f aca="false">2590*C312/1000</f>
        <v>259</v>
      </c>
      <c r="H312" s="14" t="n">
        <f aca="false">0</f>
        <v>0</v>
      </c>
      <c r="I312" s="14" t="n">
        <f aca="false">4.3*C312/1000</f>
        <v>0.43</v>
      </c>
      <c r="J312" s="14" t="n">
        <f aca="false">4*C312/1000</f>
        <v>0.4</v>
      </c>
      <c r="K312" s="14" t="n">
        <f aca="false">730*C312/1000</f>
        <v>73</v>
      </c>
      <c r="L312" s="14" t="n">
        <f aca="false">1250*C312/1000</f>
        <v>125</v>
      </c>
      <c r="M312" s="14" t="n">
        <f aca="false">28.3*C312/1000</f>
        <v>2.83</v>
      </c>
    </row>
    <row r="313" customFormat="false" ht="15" hidden="false" customHeight="false" outlineLevel="0" collapsed="false">
      <c r="A313" s="15"/>
      <c r="B313" s="11"/>
      <c r="C313" s="12"/>
      <c r="D313" s="13" t="n">
        <f aca="false">4*C313/1000</f>
        <v>0</v>
      </c>
      <c r="E313" s="13" t="n">
        <f aca="false">4*C313/1000</f>
        <v>0</v>
      </c>
      <c r="F313" s="13" t="n">
        <f aca="false">98*C313/1000</f>
        <v>0</v>
      </c>
      <c r="G313" s="13" t="n">
        <f aca="false">470*C313/1000</f>
        <v>0</v>
      </c>
      <c r="H313" s="13" t="n">
        <f aca="false">0</f>
        <v>0</v>
      </c>
      <c r="I313" s="13" t="n">
        <f aca="false">0.3*C313/1000</f>
        <v>0</v>
      </c>
      <c r="J313" s="13" t="n">
        <f aca="false">100*C313/1000</f>
        <v>0</v>
      </c>
      <c r="K313" s="13" t="n">
        <f aca="false">160*C313/1000</f>
        <v>0</v>
      </c>
      <c r="L313" s="13" t="n">
        <f aca="false">110*C313/1000</f>
        <v>0</v>
      </c>
      <c r="M313" s="13" t="n">
        <f aca="false">22*C313/1000</f>
        <v>0</v>
      </c>
    </row>
    <row r="314" customFormat="false" ht="18" hidden="false" customHeight="true" outlineLevel="0" collapsed="false">
      <c r="A314" s="21"/>
      <c r="B314" s="16" t="s">
        <v>27</v>
      </c>
      <c r="C314" s="40" t="n">
        <f aca="false">SUM(C306:C312)</f>
        <v>940</v>
      </c>
      <c r="D314" s="18" t="n">
        <f aca="false">SUM(D306:D312)</f>
        <v>54.655</v>
      </c>
      <c r="E314" s="18" t="n">
        <f aca="false">SUM(E306:E312)</f>
        <v>48.375</v>
      </c>
      <c r="F314" s="18" t="n">
        <f aca="false">SUM(F306:F312)</f>
        <v>154.2</v>
      </c>
      <c r="G314" s="18" t="n">
        <f aca="false">SUM(G306:G312)</f>
        <v>1270.05</v>
      </c>
      <c r="H314" s="18" t="n">
        <f aca="false">SUM(H306:H312)</f>
        <v>193.2</v>
      </c>
      <c r="I314" s="18" t="n">
        <f aca="false">SUM(I306:I312)</f>
        <v>1.235</v>
      </c>
      <c r="J314" s="18" t="n">
        <f aca="false">SUM(J306:J312)</f>
        <v>13.43</v>
      </c>
      <c r="K314" s="18" t="n">
        <f aca="false">SUM(K306:K312)</f>
        <v>806.8</v>
      </c>
      <c r="L314" s="18" t="n">
        <f aca="false">SUM(L306:L312)</f>
        <v>859.725</v>
      </c>
      <c r="M314" s="18" t="n">
        <f aca="false">SUM(M306:M312)</f>
        <v>13.44</v>
      </c>
    </row>
    <row r="315" customFormat="false" ht="18" hidden="false" customHeight="true" outlineLevel="0" collapsed="false">
      <c r="A315" s="21"/>
      <c r="B315" s="24" t="s">
        <v>35</v>
      </c>
      <c r="C315" s="41" t="n">
        <f aca="false">C304+C314</f>
        <v>1590</v>
      </c>
      <c r="D315" s="26" t="n">
        <f aca="false">D304+D314</f>
        <v>86.6</v>
      </c>
      <c r="E315" s="26" t="n">
        <f aca="false">E304+E314</f>
        <v>107.715</v>
      </c>
      <c r="F315" s="26" t="n">
        <f aca="false">F304+F314</f>
        <v>235.525</v>
      </c>
      <c r="G315" s="26" t="n">
        <f aca="false">G304+G314</f>
        <v>2265.15</v>
      </c>
      <c r="H315" s="26" t="n">
        <f aca="false">H304+H314</f>
        <v>273.2</v>
      </c>
      <c r="I315" s="26" t="n">
        <f aca="false">I304+I314</f>
        <v>2.295</v>
      </c>
      <c r="J315" s="26" t="n">
        <f aca="false">J304+J314</f>
        <v>33.82</v>
      </c>
      <c r="K315" s="26" t="n">
        <f aca="false">K304+K314</f>
        <v>1192.8</v>
      </c>
      <c r="L315" s="26" t="n">
        <f aca="false">L304+L314</f>
        <v>1417.375</v>
      </c>
      <c r="M315" s="26" t="n">
        <f aca="false">M304+M314</f>
        <v>21.924</v>
      </c>
    </row>
    <row r="316" customFormat="false" ht="18" hidden="false" customHeight="true" outlineLevel="0" collapsed="false">
      <c r="A316" s="27"/>
      <c r="B316" s="28" t="s">
        <v>36</v>
      </c>
      <c r="C316" s="29" t="n">
        <v>1350</v>
      </c>
      <c r="D316" s="13" t="n">
        <v>49.5</v>
      </c>
      <c r="E316" s="13" t="n">
        <v>50.6</v>
      </c>
      <c r="F316" s="13" t="n">
        <v>210.7</v>
      </c>
      <c r="G316" s="13" t="n">
        <v>1496</v>
      </c>
      <c r="H316" s="13" t="n">
        <v>495</v>
      </c>
      <c r="I316" s="13" t="n">
        <v>0.8</v>
      </c>
      <c r="J316" s="13" t="n">
        <v>38.5</v>
      </c>
      <c r="K316" s="13" t="n">
        <v>660</v>
      </c>
      <c r="L316" s="13" t="n">
        <v>660</v>
      </c>
      <c r="M316" s="13" t="n">
        <v>9.9</v>
      </c>
    </row>
    <row r="317" customFormat="false" ht="18" hidden="false" customHeight="true" outlineLevel="0" collapsed="false">
      <c r="A317" s="30"/>
      <c r="B317" s="31"/>
      <c r="C317" s="32"/>
      <c r="D317" s="34"/>
      <c r="E317" s="34"/>
      <c r="F317" s="34"/>
      <c r="G317" s="34"/>
      <c r="H317" s="34"/>
      <c r="I317" s="34"/>
      <c r="J317" s="34"/>
      <c r="K317" s="34"/>
      <c r="L317" s="34"/>
      <c r="M317" s="34"/>
    </row>
    <row r="318" customFormat="false" ht="18" hidden="false" customHeight="true" outlineLevel="0" collapsed="false">
      <c r="A318" s="30"/>
      <c r="B318" s="31"/>
      <c r="C318" s="32"/>
      <c r="D318" s="34"/>
      <c r="E318" s="34"/>
      <c r="F318" s="34"/>
      <c r="G318" s="34"/>
      <c r="H318" s="34"/>
      <c r="I318" s="34"/>
      <c r="J318" s="34"/>
      <c r="K318" s="34"/>
      <c r="L318" s="34"/>
      <c r="M318" s="34"/>
    </row>
    <row r="319" customFormat="false" ht="18" hidden="false" customHeight="true" outlineLevel="0" collapsed="false">
      <c r="A319" s="30"/>
      <c r="B319" s="31"/>
      <c r="C319" s="32"/>
      <c r="D319" s="34"/>
      <c r="E319" s="34"/>
      <c r="F319" s="34"/>
      <c r="G319" s="34"/>
      <c r="H319" s="34"/>
      <c r="I319" s="34"/>
      <c r="J319" s="34"/>
      <c r="K319" s="34"/>
      <c r="L319" s="34"/>
      <c r="M319" s="34"/>
    </row>
    <row r="320" customFormat="false" ht="15.75" hidden="false" customHeight="false" outlineLevel="0" collapsed="false">
      <c r="A320" s="30"/>
      <c r="B320" s="31"/>
      <c r="C320" s="32"/>
      <c r="D320" s="34"/>
      <c r="E320" s="34"/>
      <c r="F320" s="34"/>
      <c r="G320" s="34"/>
      <c r="H320" s="34"/>
      <c r="I320" s="34"/>
      <c r="J320" s="34"/>
      <c r="K320" s="34"/>
      <c r="L320" s="34"/>
      <c r="M320" s="34"/>
    </row>
    <row r="321" customFormat="false" ht="15.75" hidden="false" customHeight="false" outlineLevel="0" collapsed="false">
      <c r="A321" s="30"/>
      <c r="B321" s="31"/>
      <c r="C321" s="32"/>
      <c r="D321" s="34"/>
      <c r="E321" s="34"/>
      <c r="F321" s="34"/>
      <c r="G321" s="34"/>
      <c r="H321" s="34"/>
      <c r="I321" s="34"/>
      <c r="J321" s="34"/>
      <c r="K321" s="34"/>
      <c r="L321" s="34"/>
      <c r="M321" s="34"/>
    </row>
    <row r="323" customFormat="false" ht="15" hidden="false" customHeight="false" outlineLevel="0" collapsed="false">
      <c r="D323" s="35"/>
      <c r="E323" s="35"/>
      <c r="F323" s="35"/>
      <c r="G323" s="35"/>
      <c r="H323" s="35"/>
      <c r="I323" s="35"/>
      <c r="J323" s="35"/>
      <c r="K323" s="35"/>
      <c r="L323" s="35"/>
      <c r="M323" s="35"/>
    </row>
    <row r="324" customFormat="false" ht="18.75" hidden="false" customHeight="false" outlineLevel="0" collapsed="false">
      <c r="A324" s="2" t="s">
        <v>88</v>
      </c>
      <c r="B324" s="2"/>
      <c r="D324" s="35"/>
      <c r="E324" s="35"/>
      <c r="F324" s="35"/>
      <c r="G324" s="35"/>
      <c r="H324" s="35"/>
      <c r="I324" s="35"/>
      <c r="J324" s="35"/>
      <c r="K324" s="35"/>
      <c r="L324" s="35"/>
      <c r="M324" s="35"/>
    </row>
    <row r="325" customFormat="false" ht="15" hidden="false" customHeight="false" outlineLevel="0" collapsed="false">
      <c r="A325" s="2" t="s">
        <v>67</v>
      </c>
      <c r="B325" s="2"/>
      <c r="D325" s="35"/>
      <c r="E325" s="35"/>
      <c r="F325" s="35"/>
      <c r="G325" s="35"/>
      <c r="H325" s="35"/>
      <c r="I325" s="35"/>
      <c r="J325" s="35"/>
      <c r="K325" s="35"/>
      <c r="L325" s="35"/>
      <c r="M325" s="35"/>
    </row>
    <row r="326" customFormat="false" ht="16.5" hidden="false" customHeight="true" outlineLevel="0" collapsed="false">
      <c r="A326" s="3" t="s">
        <v>2</v>
      </c>
      <c r="B326" s="3"/>
      <c r="D326" s="35"/>
      <c r="E326" s="35"/>
      <c r="F326" s="35"/>
      <c r="G326" s="35"/>
      <c r="H326" s="35"/>
      <c r="I326" s="35"/>
      <c r="J326" s="35"/>
      <c r="K326" s="35"/>
      <c r="L326" s="35"/>
      <c r="M326" s="35"/>
    </row>
    <row r="327" customFormat="false" ht="16.5" hidden="false" customHeight="true" outlineLevel="0" collapsed="false">
      <c r="A327" s="4" t="s">
        <v>3</v>
      </c>
      <c r="B327" s="4" t="s">
        <v>4</v>
      </c>
      <c r="C327" s="4" t="s">
        <v>5</v>
      </c>
      <c r="D327" s="36" t="s">
        <v>6</v>
      </c>
      <c r="E327" s="36"/>
      <c r="F327" s="36"/>
      <c r="G327" s="37" t="s">
        <v>7</v>
      </c>
      <c r="H327" s="37" t="s">
        <v>8</v>
      </c>
      <c r="I327" s="37"/>
      <c r="J327" s="37"/>
      <c r="K327" s="37" t="s">
        <v>9</v>
      </c>
      <c r="L327" s="37"/>
      <c r="M327" s="37"/>
    </row>
    <row r="328" customFormat="false" ht="15.75" hidden="false" customHeight="true" outlineLevel="0" collapsed="false">
      <c r="A328" s="4"/>
      <c r="B328" s="4"/>
      <c r="C328" s="4"/>
      <c r="D328" s="38" t="s">
        <v>10</v>
      </c>
      <c r="E328" s="38"/>
      <c r="F328" s="38"/>
      <c r="G328" s="37"/>
      <c r="H328" s="37"/>
      <c r="I328" s="37"/>
      <c r="J328" s="37"/>
      <c r="K328" s="37"/>
      <c r="L328" s="37"/>
      <c r="M328" s="37"/>
    </row>
    <row r="329" customFormat="false" ht="17.25" hidden="false" customHeight="false" outlineLevel="0" collapsed="false">
      <c r="A329" s="4"/>
      <c r="B329" s="4"/>
      <c r="C329" s="4"/>
      <c r="D329" s="37" t="s">
        <v>11</v>
      </c>
      <c r="E329" s="37" t="s">
        <v>12</v>
      </c>
      <c r="F329" s="37" t="s">
        <v>13</v>
      </c>
      <c r="G329" s="37"/>
      <c r="H329" s="37" t="s">
        <v>14</v>
      </c>
      <c r="I329" s="37" t="s">
        <v>38</v>
      </c>
      <c r="J329" s="37" t="s">
        <v>16</v>
      </c>
      <c r="K329" s="37" t="s">
        <v>17</v>
      </c>
      <c r="L329" s="37" t="s">
        <v>18</v>
      </c>
      <c r="M329" s="37" t="s">
        <v>19</v>
      </c>
    </row>
    <row r="330" customFormat="false" ht="18.75" hidden="false" customHeight="false" outlineLevel="0" collapsed="false">
      <c r="A330" s="7"/>
      <c r="B330" s="8" t="s">
        <v>20</v>
      </c>
      <c r="C330" s="9"/>
      <c r="D330" s="39"/>
      <c r="E330" s="39"/>
      <c r="F330" s="39"/>
      <c r="G330" s="39"/>
      <c r="H330" s="39"/>
      <c r="I330" s="39"/>
      <c r="J330" s="39"/>
      <c r="K330" s="39"/>
      <c r="L330" s="39"/>
      <c r="M330" s="39"/>
    </row>
    <row r="331" customFormat="false" ht="15" hidden="false" customHeight="false" outlineLevel="0" collapsed="false">
      <c r="A331" s="45"/>
      <c r="B331" s="45" t="s">
        <v>47</v>
      </c>
      <c r="C331" s="45" t="n">
        <v>100</v>
      </c>
      <c r="D331" s="45" t="n">
        <v>0.4</v>
      </c>
      <c r="E331" s="45" t="n">
        <v>0.4</v>
      </c>
      <c r="F331" s="45" t="n">
        <v>9.8</v>
      </c>
      <c r="G331" s="45" t="n">
        <v>47</v>
      </c>
      <c r="H331" s="45" t="n">
        <v>0</v>
      </c>
      <c r="I331" s="45" t="n">
        <v>0.3</v>
      </c>
      <c r="J331" s="45" t="n">
        <v>10</v>
      </c>
      <c r="K331" s="45" t="n">
        <v>16</v>
      </c>
      <c r="L331" s="45" t="n">
        <v>11</v>
      </c>
      <c r="M331" s="45" t="n">
        <v>2.2</v>
      </c>
    </row>
    <row r="332" customFormat="false" ht="15" hidden="false" customHeight="false" outlineLevel="0" collapsed="false">
      <c r="A332" s="10" t="n">
        <v>173</v>
      </c>
      <c r="B332" s="11" t="s">
        <v>89</v>
      </c>
      <c r="C332" s="12" t="n">
        <v>250</v>
      </c>
      <c r="D332" s="13" t="n">
        <v>10.8</v>
      </c>
      <c r="E332" s="13" t="n">
        <v>13.8</v>
      </c>
      <c r="F332" s="13" t="n">
        <v>55.4</v>
      </c>
      <c r="G332" s="13" t="n">
        <v>390</v>
      </c>
      <c r="H332" s="13" t="n">
        <v>68.5</v>
      </c>
      <c r="I332" s="13" t="n">
        <v>0.2</v>
      </c>
      <c r="J332" s="13" t="n">
        <v>1.2</v>
      </c>
      <c r="K332" s="13" t="n">
        <v>183.5</v>
      </c>
      <c r="L332" s="13" t="n">
        <v>276.06</v>
      </c>
      <c r="M332" s="13" t="n">
        <v>2.9</v>
      </c>
    </row>
    <row r="333" customFormat="false" ht="15.75" hidden="false" customHeight="true" outlineLevel="0" collapsed="false">
      <c r="A333" s="10" t="n">
        <v>382</v>
      </c>
      <c r="B333" s="11" t="s">
        <v>90</v>
      </c>
      <c r="C333" s="12" t="n">
        <v>55</v>
      </c>
      <c r="D333" s="14" t="n">
        <f aca="false">20.4*C333/1000</f>
        <v>1.122</v>
      </c>
      <c r="E333" s="14" t="n">
        <f aca="false">17.7*C333/1000</f>
        <v>0.9735</v>
      </c>
      <c r="F333" s="14" t="n">
        <f aca="false">87.9*C333/1000</f>
        <v>4.8345</v>
      </c>
      <c r="G333" s="14" t="n">
        <f aca="false">593*C333/1000</f>
        <v>32.615</v>
      </c>
      <c r="H333" s="14" t="n">
        <f aca="false">122*C333/1000</f>
        <v>6.71</v>
      </c>
      <c r="I333" s="14" t="n">
        <f aca="false">0.28*C333/1000</f>
        <v>0.0154</v>
      </c>
      <c r="J333" s="14" t="n">
        <f aca="false">7.9*C333/1000</f>
        <v>0.4345</v>
      </c>
      <c r="K333" s="14" t="n">
        <f aca="false">761.1*C333/1000</f>
        <v>41.8605</v>
      </c>
      <c r="L333" s="14" t="n">
        <f aca="false">622.8*C333/1000</f>
        <v>34.254</v>
      </c>
      <c r="M333" s="14" t="n">
        <f aca="false">2.4*C333/1000</f>
        <v>0.132</v>
      </c>
    </row>
    <row r="334" customFormat="false" ht="15" hidden="false" customHeight="false" outlineLevel="0" collapsed="false">
      <c r="A334" s="21" t="n">
        <v>377</v>
      </c>
      <c r="B334" s="11" t="s">
        <v>23</v>
      </c>
      <c r="C334" s="12" t="n">
        <v>200</v>
      </c>
      <c r="D334" s="14" t="n">
        <f aca="false">8*C334/1000</f>
        <v>1.6</v>
      </c>
      <c r="E334" s="14" t="n">
        <f aca="false">725*C334/1000</f>
        <v>145</v>
      </c>
      <c r="F334" s="14" t="n">
        <f aca="false">13*C334/1000</f>
        <v>2.6</v>
      </c>
      <c r="G334" s="14" t="n">
        <v>62</v>
      </c>
      <c r="H334" s="14" t="n">
        <v>0.1</v>
      </c>
      <c r="I334" s="14" t="n">
        <f aca="false">0</f>
        <v>0</v>
      </c>
      <c r="J334" s="14" t="n">
        <v>2.8</v>
      </c>
      <c r="K334" s="14" t="n">
        <v>14.2</v>
      </c>
      <c r="L334" s="14" t="n">
        <v>4.4</v>
      </c>
      <c r="M334" s="14" t="n">
        <f aca="false">2*C334/1000</f>
        <v>0.4</v>
      </c>
    </row>
    <row r="335" customFormat="false" ht="15" hidden="false" customHeight="false" outlineLevel="0" collapsed="false">
      <c r="A335" s="15"/>
      <c r="B335" s="11" t="s">
        <v>25</v>
      </c>
      <c r="C335" s="12" t="n">
        <v>60</v>
      </c>
      <c r="D335" s="13" t="n">
        <f aca="false">107*C335/1000</f>
        <v>6.42</v>
      </c>
      <c r="E335" s="13" t="n">
        <f aca="false">45*C335/1000</f>
        <v>2.7</v>
      </c>
      <c r="F335" s="13" t="n">
        <f aca="false">435*C335/1000</f>
        <v>26.1</v>
      </c>
      <c r="G335" s="13" t="n">
        <v>82.2</v>
      </c>
      <c r="H335" s="13" t="n">
        <f aca="false">0</f>
        <v>0</v>
      </c>
      <c r="I335" s="13" t="n">
        <f aca="false">4.1*C335/1000</f>
        <v>0.246</v>
      </c>
      <c r="J335" s="13" t="n">
        <f aca="false">2*C335/1000</f>
        <v>0.12</v>
      </c>
      <c r="K335" s="13" t="n">
        <f aca="false">1250*C335/1000</f>
        <v>75</v>
      </c>
      <c r="L335" s="13" t="n">
        <f aca="false">1290*C335/1000</f>
        <v>77.4</v>
      </c>
      <c r="M335" s="13" t="n">
        <f aca="false">36*C335/1000</f>
        <v>2.16</v>
      </c>
    </row>
    <row r="336" customFormat="false" ht="15" hidden="false" customHeight="false" outlineLevel="0" collapsed="false">
      <c r="A336" s="10"/>
      <c r="B336" s="11" t="s">
        <v>26</v>
      </c>
      <c r="C336" s="12" t="n">
        <v>30</v>
      </c>
      <c r="D336" s="14" t="n">
        <f aca="false">85*C336/1000</f>
        <v>2.55</v>
      </c>
      <c r="E336" s="14" t="n">
        <f aca="false">33*C336/1000</f>
        <v>0.99</v>
      </c>
      <c r="F336" s="14" t="n">
        <f aca="false">425*C336/1000</f>
        <v>12.75</v>
      </c>
      <c r="G336" s="14" t="n">
        <f aca="false">2590*C336/1000</f>
        <v>77.7</v>
      </c>
      <c r="H336" s="14" t="n">
        <f aca="false">0</f>
        <v>0</v>
      </c>
      <c r="I336" s="14" t="n">
        <f aca="false">4.3*C336/1000</f>
        <v>0.129</v>
      </c>
      <c r="J336" s="14" t="n">
        <f aca="false">4*C336/1000</f>
        <v>0.12</v>
      </c>
      <c r="K336" s="14" t="n">
        <f aca="false">730*C336/1000</f>
        <v>21.9</v>
      </c>
      <c r="L336" s="14" t="n">
        <f aca="false">1250*C336/1000</f>
        <v>37.5</v>
      </c>
      <c r="M336" s="14" t="n">
        <f aca="false">28.3*C336/1000</f>
        <v>0.849</v>
      </c>
    </row>
    <row r="337" customFormat="false" ht="15" hidden="false" customHeight="false" outlineLevel="0" collapsed="false">
      <c r="A337" s="10"/>
      <c r="B337" s="16" t="s">
        <v>27</v>
      </c>
      <c r="C337" s="17" t="n">
        <v>695</v>
      </c>
      <c r="D337" s="18" t="n">
        <v>22.9</v>
      </c>
      <c r="E337" s="18" t="n">
        <v>163.9</v>
      </c>
      <c r="F337" s="18" t="n">
        <v>91.5</v>
      </c>
      <c r="G337" s="18" t="n">
        <v>691.5</v>
      </c>
      <c r="H337" s="18" t="n">
        <v>75.3</v>
      </c>
      <c r="I337" s="18" t="n">
        <v>0.8</v>
      </c>
      <c r="J337" s="18" t="n">
        <v>14.6</v>
      </c>
      <c r="K337" s="18" t="n">
        <v>352.5</v>
      </c>
      <c r="L337" s="18" t="n">
        <v>440.7</v>
      </c>
      <c r="M337" s="18" t="n">
        <v>8.6</v>
      </c>
    </row>
    <row r="338" customFormat="false" ht="18.75" hidden="false" customHeight="false" outlineLevel="0" collapsed="false">
      <c r="A338" s="10"/>
      <c r="B338" s="19" t="s">
        <v>28</v>
      </c>
      <c r="C338" s="20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customFormat="false" ht="15" hidden="false" customHeight="false" outlineLevel="0" collapsed="false">
      <c r="A339" s="15" t="n">
        <v>70</v>
      </c>
      <c r="B339" s="11" t="s">
        <v>54</v>
      </c>
      <c r="C339" s="12" t="n">
        <v>100</v>
      </c>
      <c r="D339" s="13" t="n">
        <f aca="false">8*C339/1000</f>
        <v>0.8</v>
      </c>
      <c r="E339" s="13" t="n">
        <f aca="false">1*C339/1000</f>
        <v>0.1</v>
      </c>
      <c r="F339" s="13" t="n">
        <f aca="false">17*C339/1000</f>
        <v>1.7</v>
      </c>
      <c r="G339" s="13" t="n">
        <f aca="false">100*C339/1000</f>
        <v>10</v>
      </c>
      <c r="H339" s="13" t="n">
        <f aca="false">0*C339/1000</f>
        <v>0</v>
      </c>
      <c r="I339" s="13" t="n">
        <f aca="false">0.4*C339/1000</f>
        <v>0.04</v>
      </c>
      <c r="J339" s="13" t="n">
        <f aca="false">35*C339/1000</f>
        <v>3.5</v>
      </c>
      <c r="K339" s="13" t="n">
        <f aca="false">230*C339/1000</f>
        <v>23</v>
      </c>
      <c r="L339" s="13" t="n">
        <f aca="false">240*C339/1000</f>
        <v>24</v>
      </c>
      <c r="M339" s="13" t="n">
        <f aca="false">6*C339/1000</f>
        <v>0.6</v>
      </c>
    </row>
    <row r="340" customFormat="false" ht="15" hidden="false" customHeight="false" outlineLevel="0" collapsed="false">
      <c r="A340" s="10" t="n">
        <v>101</v>
      </c>
      <c r="B340" s="11" t="s">
        <v>63</v>
      </c>
      <c r="C340" s="12" t="n">
        <v>250</v>
      </c>
      <c r="D340" s="13" t="n">
        <f aca="false">7.89*C340/1000</f>
        <v>1.9725</v>
      </c>
      <c r="E340" s="13" t="n">
        <f aca="false">10.85*C340/1000</f>
        <v>2.7125</v>
      </c>
      <c r="F340" s="13" t="n">
        <f aca="false">48.45*C340/1000</f>
        <v>12.1125</v>
      </c>
      <c r="G340" s="13" t="n">
        <f aca="false">343*C340/1000</f>
        <v>85.75</v>
      </c>
      <c r="H340" s="13" t="n">
        <f aca="false">0*C340/1000</f>
        <v>0</v>
      </c>
      <c r="I340" s="13" t="n">
        <f aca="false">0.36*C340/1000</f>
        <v>0.09</v>
      </c>
      <c r="J340" s="13" t="n">
        <f aca="false">33*C340/1000</f>
        <v>8.25</v>
      </c>
      <c r="K340" s="13" t="n">
        <f aca="false">106.8*C340/1000</f>
        <v>26.7</v>
      </c>
      <c r="L340" s="13" t="n">
        <f aca="false">223.9*C340/1000</f>
        <v>55.975</v>
      </c>
      <c r="M340" s="13" t="n">
        <f aca="false">3.5*C340/1000</f>
        <v>0.875</v>
      </c>
    </row>
    <row r="341" customFormat="false" ht="15" hidden="false" customHeight="false" outlineLevel="0" collapsed="false">
      <c r="A341" s="10" t="n">
        <v>291</v>
      </c>
      <c r="B341" s="11" t="s">
        <v>91</v>
      </c>
      <c r="C341" s="12" t="n">
        <v>250</v>
      </c>
      <c r="D341" s="13" t="n">
        <f aca="false">66.7*C341/1000</f>
        <v>16.675</v>
      </c>
      <c r="E341" s="13" t="n">
        <f aca="false">171.8*C341/1000</f>
        <v>42.95</v>
      </c>
      <c r="F341" s="13" t="n">
        <f aca="false">98.3*C341/1000</f>
        <v>24.575</v>
      </c>
      <c r="G341" s="13" t="n">
        <f aca="false">2160*C341/1000</f>
        <v>540</v>
      </c>
      <c r="H341" s="13" t="n">
        <f aca="false">0*C341/1000</f>
        <v>0</v>
      </c>
      <c r="I341" s="13" t="n">
        <f aca="false">2.3*C341/1000</f>
        <v>0.575</v>
      </c>
      <c r="J341" s="13" t="n">
        <f aca="false">35*C341/1000</f>
        <v>8.75</v>
      </c>
      <c r="K341" s="13" t="n">
        <f aca="false">122.8*C341/1000</f>
        <v>30.7</v>
      </c>
      <c r="L341" s="13" t="n">
        <f aca="false">995*C341/1000</f>
        <v>248.75</v>
      </c>
      <c r="M341" s="13" t="n">
        <f aca="false">12.3*C341/1000</f>
        <v>3.075</v>
      </c>
    </row>
    <row r="342" customFormat="false" ht="15" hidden="false" customHeight="false" outlineLevel="0" collapsed="false">
      <c r="A342" s="10" t="n">
        <v>342</v>
      </c>
      <c r="B342" s="11" t="s">
        <v>92</v>
      </c>
      <c r="C342" s="12" t="n">
        <v>200</v>
      </c>
      <c r="D342" s="13" t="n">
        <f aca="false">0.8*C342/1000</f>
        <v>0.16</v>
      </c>
      <c r="E342" s="13" t="n">
        <f aca="false">0.8*C342/1000</f>
        <v>0.16</v>
      </c>
      <c r="F342" s="13" t="n">
        <f aca="false">139.4*C342/1000</f>
        <v>27.88</v>
      </c>
      <c r="G342" s="13" t="n">
        <f aca="false">573*C342/1000</f>
        <v>114.6</v>
      </c>
      <c r="H342" s="13" t="n">
        <f aca="false">0</f>
        <v>0</v>
      </c>
      <c r="I342" s="13" t="n">
        <f aca="false">0.1*C224/1000</f>
        <v>0</v>
      </c>
      <c r="J342" s="13" t="n">
        <f aca="false">5.5*C342/1000</f>
        <v>1.1</v>
      </c>
      <c r="K342" s="13" t="n">
        <f aca="false">70.9*C342/1000</f>
        <v>14.18</v>
      </c>
      <c r="L342" s="13" t="n">
        <f aca="false">22*C342/1000</f>
        <v>4.4</v>
      </c>
      <c r="M342" s="13" t="n">
        <f aca="false">4.8*C342/1000</f>
        <v>0.96</v>
      </c>
    </row>
    <row r="343" customFormat="false" ht="15" hidden="false" customHeight="false" outlineLevel="0" collapsed="false">
      <c r="A343" s="15"/>
      <c r="B343" s="11" t="s">
        <v>25</v>
      </c>
      <c r="C343" s="12" t="n">
        <v>60</v>
      </c>
      <c r="D343" s="13" t="n">
        <f aca="false">107*C343/1000</f>
        <v>6.42</v>
      </c>
      <c r="E343" s="13" t="n">
        <f aca="false">45*C343/1000</f>
        <v>2.7</v>
      </c>
      <c r="F343" s="13" t="n">
        <f aca="false">435*C343/1000</f>
        <v>26.1</v>
      </c>
      <c r="G343" s="13" t="n">
        <f aca="false">2740*C343/1000</f>
        <v>164.4</v>
      </c>
      <c r="H343" s="13" t="n">
        <f aca="false">0</f>
        <v>0</v>
      </c>
      <c r="I343" s="13" t="n">
        <f aca="false">4.1*C343/1000</f>
        <v>0.246</v>
      </c>
      <c r="J343" s="13" t="n">
        <f aca="false">2*C343/1000</f>
        <v>0.12</v>
      </c>
      <c r="K343" s="13" t="n">
        <f aca="false">1250*C343/1000</f>
        <v>75</v>
      </c>
      <c r="L343" s="13" t="n">
        <f aca="false">1290*C343/1000</f>
        <v>77.4</v>
      </c>
      <c r="M343" s="13" t="n">
        <f aca="false">36*C343/1000</f>
        <v>2.16</v>
      </c>
    </row>
    <row r="344" customFormat="false" ht="15" hidden="false" customHeight="false" outlineLevel="0" collapsed="false">
      <c r="A344" s="22"/>
      <c r="B344" s="11" t="s">
        <v>26</v>
      </c>
      <c r="C344" s="12" t="n">
        <v>30</v>
      </c>
      <c r="D344" s="14" t="n">
        <f aca="false">85*C344/1000</f>
        <v>2.55</v>
      </c>
      <c r="E344" s="14" t="n">
        <f aca="false">33*C344/1000</f>
        <v>0.99</v>
      </c>
      <c r="F344" s="14" t="n">
        <f aca="false">425*C344/1000</f>
        <v>12.75</v>
      </c>
      <c r="G344" s="14" t="n">
        <f aca="false">2590*C344/1000</f>
        <v>77.7</v>
      </c>
      <c r="H344" s="14" t="n">
        <f aca="false">0</f>
        <v>0</v>
      </c>
      <c r="I344" s="14" t="n">
        <f aca="false">4.3*C344/1000</f>
        <v>0.129</v>
      </c>
      <c r="J344" s="14" t="n">
        <f aca="false">4*C344/1000</f>
        <v>0.12</v>
      </c>
      <c r="K344" s="14" t="n">
        <f aca="false">730*C344/1000</f>
        <v>21.9</v>
      </c>
      <c r="L344" s="14" t="n">
        <f aca="false">1250*C344/1000</f>
        <v>37.5</v>
      </c>
      <c r="M344" s="14" t="n">
        <f aca="false">28.3*C344/1000</f>
        <v>0.849</v>
      </c>
    </row>
    <row r="345" customFormat="false" ht="15" hidden="false" customHeight="false" outlineLevel="0" collapsed="false">
      <c r="A345" s="10" t="n">
        <v>338</v>
      </c>
      <c r="B345" s="11" t="s">
        <v>34</v>
      </c>
      <c r="C345" s="12" t="n">
        <v>100</v>
      </c>
      <c r="D345" s="13" t="n">
        <f aca="false">5*C345/1000</f>
        <v>0.5</v>
      </c>
      <c r="E345" s="13" t="n">
        <f aca="false">0</f>
        <v>0</v>
      </c>
      <c r="F345" s="13" t="n">
        <f aca="false">101*C345/1000</f>
        <v>10.1</v>
      </c>
      <c r="G345" s="13" t="n">
        <f aca="false">424*C345/1000</f>
        <v>42.4</v>
      </c>
      <c r="H345" s="13" t="n">
        <f aca="false">0</f>
        <v>0</v>
      </c>
      <c r="I345" s="13" t="n">
        <f aca="false">0.1*C345/1000</f>
        <v>0.01</v>
      </c>
      <c r="J345" s="13" t="n">
        <f aca="false">20*C345/1000</f>
        <v>2</v>
      </c>
      <c r="K345" s="13" t="n">
        <f aca="false">70*C345/1000</f>
        <v>7</v>
      </c>
      <c r="L345" s="13" t="n">
        <f aca="false">70*C345/1000</f>
        <v>7</v>
      </c>
      <c r="M345" s="13" t="n">
        <f aca="false">14*C345/1000</f>
        <v>1.4</v>
      </c>
    </row>
    <row r="346" customFormat="false" ht="15" hidden="false" customHeight="false" outlineLevel="0" collapsed="false">
      <c r="A346" s="15"/>
      <c r="B346" s="11"/>
      <c r="C346" s="12"/>
      <c r="D346" s="13" t="n">
        <f aca="false">4*C346/1000</f>
        <v>0</v>
      </c>
      <c r="E346" s="13" t="n">
        <f aca="false">4*C346/1000</f>
        <v>0</v>
      </c>
      <c r="F346" s="13" t="n">
        <f aca="false">98*C346/1000</f>
        <v>0</v>
      </c>
      <c r="G346" s="13" t="n">
        <f aca="false">470*C346/1000</f>
        <v>0</v>
      </c>
      <c r="H346" s="13" t="n">
        <f aca="false">0</f>
        <v>0</v>
      </c>
      <c r="I346" s="13" t="n">
        <f aca="false">0.3*C346/1000</f>
        <v>0</v>
      </c>
      <c r="J346" s="13" t="n">
        <f aca="false">100*C346/1000</f>
        <v>0</v>
      </c>
      <c r="K346" s="13" t="n">
        <f aca="false">160*C346/1000</f>
        <v>0</v>
      </c>
      <c r="L346" s="13" t="n">
        <f aca="false">110*C346/1000</f>
        <v>0</v>
      </c>
      <c r="M346" s="13" t="n">
        <f aca="false">22*C346/1000</f>
        <v>0</v>
      </c>
    </row>
    <row r="347" customFormat="false" ht="15" hidden="false" customHeight="false" outlineLevel="0" collapsed="false">
      <c r="A347" s="21"/>
      <c r="B347" s="16" t="s">
        <v>27</v>
      </c>
      <c r="C347" s="17" t="n">
        <f aca="false">SUM(C339:C344)</f>
        <v>890</v>
      </c>
      <c r="D347" s="18" t="n">
        <f aca="false">SUM(D339:D344)</f>
        <v>28.5775</v>
      </c>
      <c r="E347" s="18" t="n">
        <f aca="false">SUM(E339:E344)</f>
        <v>49.6125</v>
      </c>
      <c r="F347" s="18" t="n">
        <f aca="false">SUM(F339:F344)</f>
        <v>105.1175</v>
      </c>
      <c r="G347" s="18" t="n">
        <f aca="false">SUM(G339:G344)</f>
        <v>992.45</v>
      </c>
      <c r="H347" s="18" t="n">
        <f aca="false">SUM(H339:H344)</f>
        <v>0</v>
      </c>
      <c r="I347" s="18" t="n">
        <f aca="false">SUM(I339:I344)</f>
        <v>1.08</v>
      </c>
      <c r="J347" s="18" t="n">
        <f aca="false">SUM(J339:J344)</f>
        <v>21.84</v>
      </c>
      <c r="K347" s="18" t="n">
        <f aca="false">SUM(K339:K344)</f>
        <v>191.48</v>
      </c>
      <c r="L347" s="18" t="n">
        <f aca="false">SUM(L339:L344)</f>
        <v>448.025</v>
      </c>
      <c r="M347" s="18" t="n">
        <f aca="false">SUM(M339:M344)</f>
        <v>8.519</v>
      </c>
    </row>
    <row r="348" customFormat="false" ht="18.75" hidden="false" customHeight="false" outlineLevel="0" collapsed="false">
      <c r="A348" s="21"/>
      <c r="B348" s="24" t="s">
        <v>35</v>
      </c>
      <c r="C348" s="41" t="n">
        <f aca="false">C337+C347</f>
        <v>1585</v>
      </c>
      <c r="D348" s="26" t="n">
        <f aca="false">D337+D347</f>
        <v>51.4775</v>
      </c>
      <c r="E348" s="26" t="n">
        <f aca="false">E337+E347</f>
        <v>213.5125</v>
      </c>
      <c r="F348" s="26" t="n">
        <f aca="false">F337+F347</f>
        <v>196.6175</v>
      </c>
      <c r="G348" s="26" t="n">
        <f aca="false">G337+G347</f>
        <v>1683.95</v>
      </c>
      <c r="H348" s="26" t="n">
        <f aca="false">H337+H347</f>
        <v>75.3</v>
      </c>
      <c r="I348" s="26" t="n">
        <f aca="false">I337+I347</f>
        <v>1.88</v>
      </c>
      <c r="J348" s="26" t="n">
        <f aca="false">J337+J347</f>
        <v>36.44</v>
      </c>
      <c r="K348" s="26" t="n">
        <f aca="false">K337+K347</f>
        <v>543.98</v>
      </c>
      <c r="L348" s="26" t="n">
        <f aca="false">L337+L347</f>
        <v>888.725</v>
      </c>
      <c r="M348" s="26" t="n">
        <f aca="false">M337+M347</f>
        <v>17.119</v>
      </c>
    </row>
    <row r="349" customFormat="false" ht="15.75" hidden="false" customHeight="false" outlineLevel="0" collapsed="false">
      <c r="A349" s="27"/>
      <c r="B349" s="28" t="s">
        <v>36</v>
      </c>
      <c r="C349" s="29" t="n">
        <v>1350</v>
      </c>
      <c r="D349" s="13" t="n">
        <v>49.5</v>
      </c>
      <c r="E349" s="13" t="n">
        <v>50.6</v>
      </c>
      <c r="F349" s="13" t="n">
        <v>210.7</v>
      </c>
      <c r="G349" s="13" t="n">
        <v>1496</v>
      </c>
      <c r="H349" s="13" t="n">
        <v>495</v>
      </c>
      <c r="I349" s="13" t="n">
        <v>0.8</v>
      </c>
      <c r="J349" s="13" t="n">
        <v>38.5</v>
      </c>
      <c r="K349" s="13" t="n">
        <v>660</v>
      </c>
      <c r="L349" s="13" t="n">
        <v>660</v>
      </c>
      <c r="M349" s="13" t="n">
        <v>9.9</v>
      </c>
    </row>
    <row r="356" customFormat="false" ht="15" hidden="false" customHeight="true" outlineLevel="0" collapsed="false"/>
    <row r="359" customFormat="false" ht="15" hidden="false" customHeight="false" outlineLevel="0" collapsed="false">
      <c r="A359" s="46"/>
      <c r="B359" s="46"/>
      <c r="C359" s="46"/>
      <c r="D359" s="47"/>
      <c r="E359" s="47"/>
      <c r="F359" s="47"/>
      <c r="G359" s="48"/>
      <c r="H359" s="47"/>
      <c r="I359" s="47"/>
      <c r="J359" s="49" t="s">
        <v>93</v>
      </c>
      <c r="K359" s="49"/>
      <c r="L359" s="49"/>
      <c r="M359" s="49"/>
    </row>
    <row r="360" customFormat="false" ht="15" hidden="false" customHeight="false" outlineLevel="0" collapsed="false">
      <c r="A360" s="46"/>
      <c r="B360" s="46"/>
      <c r="C360" s="46"/>
      <c r="D360" s="47"/>
      <c r="E360" s="47"/>
      <c r="F360" s="47"/>
      <c r="G360" s="48"/>
      <c r="H360" s="47" t="s">
        <v>94</v>
      </c>
      <c r="I360" s="47"/>
      <c r="J360" s="49"/>
      <c r="K360" s="49"/>
      <c r="L360" s="49"/>
      <c r="M360" s="49"/>
    </row>
    <row r="361" customFormat="false" ht="15" hidden="false" customHeight="false" outlineLevel="0" collapsed="false">
      <c r="A361" s="46"/>
      <c r="B361" s="46"/>
      <c r="C361" s="46"/>
      <c r="D361" s="47"/>
      <c r="E361" s="47"/>
      <c r="F361" s="47"/>
      <c r="G361" s="48" t="s">
        <v>95</v>
      </c>
      <c r="H361" s="47"/>
      <c r="I361" s="47"/>
      <c r="J361" s="49"/>
      <c r="K361" s="49"/>
      <c r="L361" s="49"/>
      <c r="M361" s="49"/>
    </row>
    <row r="362" customFormat="false" ht="15" hidden="false" customHeight="false" outlineLevel="0" collapsed="false">
      <c r="A362" s="46"/>
      <c r="B362" s="46"/>
      <c r="C362" s="46"/>
      <c r="D362" s="47"/>
      <c r="E362" s="47"/>
      <c r="F362" s="47"/>
      <c r="G362" s="48"/>
      <c r="H362" s="47"/>
      <c r="I362" s="47"/>
      <c r="J362" s="49"/>
      <c r="K362" s="49"/>
      <c r="L362" s="49"/>
      <c r="M362" s="49"/>
    </row>
    <row r="363" customFormat="false" ht="15" hidden="false" customHeight="false" outlineLevel="0" collapsed="false">
      <c r="A363" s="46"/>
      <c r="B363" s="46"/>
      <c r="C363" s="46"/>
      <c r="D363" s="47"/>
      <c r="E363" s="47"/>
      <c r="F363" s="47"/>
      <c r="G363" s="50" t="s">
        <v>96</v>
      </c>
      <c r="H363" s="50"/>
      <c r="I363" s="50"/>
      <c r="J363" s="50"/>
      <c r="K363" s="49"/>
      <c r="L363" s="49"/>
      <c r="M363" s="49"/>
    </row>
    <row r="364" customFormat="false" ht="18.75" hidden="false" customHeight="true" outlineLevel="0" collapsed="false">
      <c r="A364" s="46"/>
      <c r="B364" s="46"/>
      <c r="C364" s="46"/>
      <c r="D364" s="47"/>
      <c r="E364" s="47"/>
      <c r="F364" s="47"/>
      <c r="G364" s="48"/>
      <c r="H364" s="47"/>
      <c r="I364" s="47"/>
      <c r="J364" s="49"/>
      <c r="K364" s="49"/>
      <c r="L364" s="49"/>
      <c r="M364" s="49"/>
    </row>
    <row r="365" customFormat="false" ht="15" hidden="false" customHeight="false" outlineLevel="0" collapsed="false">
      <c r="A365" s="46"/>
      <c r="B365" s="46"/>
      <c r="C365" s="46"/>
      <c r="D365" s="47"/>
      <c r="E365" s="47"/>
      <c r="F365" s="47"/>
      <c r="G365" s="48"/>
      <c r="H365" s="50" t="s">
        <v>97</v>
      </c>
      <c r="I365" s="50"/>
      <c r="J365" s="50"/>
      <c r="K365" s="49"/>
      <c r="L365" s="49"/>
      <c r="M365" s="49"/>
    </row>
    <row r="366" customFormat="false" ht="15" hidden="false" customHeight="false" outlineLevel="0" collapsed="false">
      <c r="A366" s="46"/>
      <c r="B366" s="46"/>
      <c r="C366" s="46"/>
      <c r="D366" s="47"/>
      <c r="E366" s="47"/>
      <c r="F366" s="47"/>
      <c r="G366" s="48"/>
      <c r="H366" s="47"/>
      <c r="I366" s="47"/>
      <c r="J366" s="49"/>
      <c r="K366" s="49"/>
      <c r="L366" s="49"/>
      <c r="M366" s="49"/>
    </row>
    <row r="367" customFormat="false" ht="18.75" hidden="false" customHeight="true" outlineLevel="0" collapsed="false">
      <c r="A367" s="51"/>
      <c r="B367" s="52" t="s">
        <v>98</v>
      </c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</row>
    <row r="368" customFormat="false" ht="18.75" hidden="false" customHeight="false" outlineLevel="0" collapsed="false">
      <c r="A368" s="51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</row>
    <row r="369" customFormat="false" ht="18.75" hidden="false" customHeight="false" outlineLevel="0" collapsed="false">
      <c r="A369" s="51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</row>
    <row r="370" customFormat="false" ht="18.75" hidden="false" customHeight="false" outlineLevel="0" collapsed="false">
      <c r="A370" s="51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</row>
    <row r="371" customFormat="false" ht="18.75" hidden="false" customHeight="false" outlineLevel="0" collapsed="false">
      <c r="A371" s="51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</row>
    <row r="372" customFormat="false" ht="18.75" hidden="false" customHeight="false" outlineLevel="0" collapsed="false">
      <c r="A372" s="51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</row>
    <row r="373" customFormat="false" ht="18.75" hidden="false" customHeight="false" outlineLevel="0" collapsed="false">
      <c r="A373" s="51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</row>
    <row r="374" customFormat="false" ht="18.75" hidden="false" customHeight="false" outlineLevel="0" collapsed="false">
      <c r="A374" s="51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</row>
    <row r="375" customFormat="false" ht="18.75" hidden="false" customHeight="false" outlineLevel="0" collapsed="false">
      <c r="A375" s="51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</row>
    <row r="376" customFormat="false" ht="18.75" hidden="false" customHeight="false" outlineLevel="0" collapsed="false">
      <c r="A376" s="51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</row>
    <row r="377" customFormat="false" ht="18.75" hidden="false" customHeight="false" outlineLevel="0" collapsed="false">
      <c r="A377" s="51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</row>
    <row r="378" customFormat="false" ht="18.75" hidden="false" customHeight="false" outlineLevel="0" collapsed="false">
      <c r="A378" s="51"/>
      <c r="B378" s="51"/>
      <c r="C378" s="51"/>
      <c r="D378" s="53"/>
      <c r="E378" s="53"/>
      <c r="F378" s="53"/>
      <c r="G378" s="54"/>
      <c r="H378" s="53"/>
      <c r="I378" s="53"/>
      <c r="J378" s="53"/>
      <c r="K378" s="53"/>
      <c r="L378" s="53"/>
      <c r="M378" s="53"/>
    </row>
    <row r="379" customFormat="false" ht="18.75" hidden="false" customHeight="false" outlineLevel="0" collapsed="false">
      <c r="A379" s="51"/>
      <c r="B379" s="51"/>
      <c r="C379" s="51"/>
      <c r="D379" s="53"/>
      <c r="E379" s="53"/>
      <c r="F379" s="53"/>
      <c r="G379" s="54"/>
      <c r="H379" s="53"/>
      <c r="I379" s="53"/>
      <c r="J379" s="53"/>
      <c r="K379" s="53"/>
      <c r="L379" s="53"/>
      <c r="M379" s="53"/>
    </row>
    <row r="380" customFormat="false" ht="18.75" hidden="false" customHeight="false" outlineLevel="0" collapsed="false">
      <c r="A380" s="51"/>
      <c r="B380" s="51"/>
      <c r="C380" s="51"/>
      <c r="D380" s="55" t="s">
        <v>99</v>
      </c>
      <c r="E380" s="55"/>
      <c r="F380" s="55"/>
      <c r="G380" s="55"/>
      <c r="H380" s="55"/>
      <c r="I380" s="54"/>
      <c r="J380" s="54"/>
      <c r="K380" s="54"/>
      <c r="L380" s="54"/>
      <c r="M380" s="53"/>
    </row>
    <row r="381" customFormat="false" ht="18.75" hidden="false" customHeight="false" outlineLevel="0" collapsed="false">
      <c r="A381" s="51"/>
      <c r="B381" s="51"/>
      <c r="C381" s="51"/>
      <c r="D381" s="53"/>
      <c r="E381" s="53"/>
      <c r="F381" s="53"/>
      <c r="G381" s="54"/>
      <c r="H381" s="53"/>
      <c r="I381" s="53"/>
      <c r="J381" s="53"/>
      <c r="K381" s="53"/>
      <c r="L381" s="53"/>
      <c r="M381" s="53"/>
    </row>
    <row r="382" customFormat="false" ht="18.75" hidden="false" customHeight="false" outlineLevel="0" collapsed="false">
      <c r="A382" s="51"/>
      <c r="B382" s="51"/>
      <c r="C382" s="51"/>
      <c r="D382" s="53"/>
      <c r="E382" s="53"/>
      <c r="F382" s="53"/>
      <c r="G382" s="54"/>
      <c r="H382" s="53"/>
      <c r="I382" s="53"/>
      <c r="J382" s="53"/>
      <c r="K382" s="53"/>
      <c r="L382" s="53"/>
      <c r="M382" s="53"/>
    </row>
    <row r="383" customFormat="false" ht="18.75" hidden="false" customHeight="false" outlineLevel="0" collapsed="false">
      <c r="A383" s="51"/>
      <c r="B383" s="51"/>
      <c r="C383" s="51"/>
      <c r="D383" s="53"/>
      <c r="E383" s="53"/>
      <c r="F383" s="53"/>
      <c r="G383" s="54"/>
      <c r="H383" s="53"/>
      <c r="I383" s="53"/>
      <c r="J383" s="53"/>
      <c r="K383" s="53"/>
      <c r="L383" s="53"/>
      <c r="M383" s="53"/>
    </row>
  </sheetData>
  <mergeCells count="114">
    <mergeCell ref="A1:B1"/>
    <mergeCell ref="A2:B2"/>
    <mergeCell ref="A3:B3"/>
    <mergeCell ref="A4:A6"/>
    <mergeCell ref="B4:B6"/>
    <mergeCell ref="C4:C6"/>
    <mergeCell ref="D4:F4"/>
    <mergeCell ref="G4:G6"/>
    <mergeCell ref="H4:J5"/>
    <mergeCell ref="K4:M5"/>
    <mergeCell ref="D5:F5"/>
    <mergeCell ref="A37:B37"/>
    <mergeCell ref="A38:B38"/>
    <mergeCell ref="A39:B39"/>
    <mergeCell ref="A40:A42"/>
    <mergeCell ref="B40:B42"/>
    <mergeCell ref="C40:C42"/>
    <mergeCell ref="D40:F40"/>
    <mergeCell ref="G40:G42"/>
    <mergeCell ref="H40:J41"/>
    <mergeCell ref="K40:M41"/>
    <mergeCell ref="D41:F41"/>
    <mergeCell ref="A74:B74"/>
    <mergeCell ref="A75:B75"/>
    <mergeCell ref="A76:B76"/>
    <mergeCell ref="A77:A79"/>
    <mergeCell ref="B77:B79"/>
    <mergeCell ref="C77:C79"/>
    <mergeCell ref="D77:F77"/>
    <mergeCell ref="G77:G79"/>
    <mergeCell ref="H77:J78"/>
    <mergeCell ref="K77:M78"/>
    <mergeCell ref="D78:F78"/>
    <mergeCell ref="A111:B111"/>
    <mergeCell ref="A112:B112"/>
    <mergeCell ref="A113:B113"/>
    <mergeCell ref="A114:A116"/>
    <mergeCell ref="B114:B116"/>
    <mergeCell ref="C114:C116"/>
    <mergeCell ref="D114:F114"/>
    <mergeCell ref="G114:G116"/>
    <mergeCell ref="H114:J115"/>
    <mergeCell ref="K114:M115"/>
    <mergeCell ref="D115:F115"/>
    <mergeCell ref="A147:B147"/>
    <mergeCell ref="A148:B148"/>
    <mergeCell ref="A149:B149"/>
    <mergeCell ref="A150:A152"/>
    <mergeCell ref="B150:B152"/>
    <mergeCell ref="C150:C152"/>
    <mergeCell ref="D150:F150"/>
    <mergeCell ref="G150:G152"/>
    <mergeCell ref="H150:J151"/>
    <mergeCell ref="K150:M151"/>
    <mergeCell ref="D151:F151"/>
    <mergeCell ref="A184:B184"/>
    <mergeCell ref="A185:B185"/>
    <mergeCell ref="A186:B186"/>
    <mergeCell ref="A187:A189"/>
    <mergeCell ref="B187:B189"/>
    <mergeCell ref="C187:C189"/>
    <mergeCell ref="D187:F187"/>
    <mergeCell ref="G187:G189"/>
    <mergeCell ref="H187:J188"/>
    <mergeCell ref="K187:M188"/>
    <mergeCell ref="D188:F188"/>
    <mergeCell ref="A220:B220"/>
    <mergeCell ref="A221:B221"/>
    <mergeCell ref="A222:B222"/>
    <mergeCell ref="A223:A225"/>
    <mergeCell ref="B223:B225"/>
    <mergeCell ref="C223:C225"/>
    <mergeCell ref="D223:F223"/>
    <mergeCell ref="G223:G225"/>
    <mergeCell ref="H223:J224"/>
    <mergeCell ref="K223:M224"/>
    <mergeCell ref="D224:F224"/>
    <mergeCell ref="A255:B255"/>
    <mergeCell ref="A256:B256"/>
    <mergeCell ref="A257:B257"/>
    <mergeCell ref="A258:A260"/>
    <mergeCell ref="B258:B260"/>
    <mergeCell ref="C258:C260"/>
    <mergeCell ref="D258:F258"/>
    <mergeCell ref="G258:G260"/>
    <mergeCell ref="H258:J259"/>
    <mergeCell ref="K258:M259"/>
    <mergeCell ref="D259:F259"/>
    <mergeCell ref="A291:B291"/>
    <mergeCell ref="A292:B292"/>
    <mergeCell ref="A293:B293"/>
    <mergeCell ref="A294:A296"/>
    <mergeCell ref="B294:B296"/>
    <mergeCell ref="C294:C296"/>
    <mergeCell ref="D294:F294"/>
    <mergeCell ref="G294:G296"/>
    <mergeCell ref="H294:J295"/>
    <mergeCell ref="K294:M295"/>
    <mergeCell ref="D295:F295"/>
    <mergeCell ref="A324:B324"/>
    <mergeCell ref="A325:B325"/>
    <mergeCell ref="A326:B326"/>
    <mergeCell ref="A327:A329"/>
    <mergeCell ref="B327:B329"/>
    <mergeCell ref="C327:C329"/>
    <mergeCell ref="D327:F327"/>
    <mergeCell ref="G327:G329"/>
    <mergeCell ref="H327:J328"/>
    <mergeCell ref="K327:M328"/>
    <mergeCell ref="D328:F328"/>
    <mergeCell ref="G363:J363"/>
    <mergeCell ref="H365:J365"/>
    <mergeCell ref="B367:M377"/>
    <mergeCell ref="D380:H380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A54" activeCellId="0" sqref="AA54"/>
    </sheetView>
  </sheetViews>
  <sheetFormatPr defaultColWidth="8.54296875" defaultRowHeight="15" zeroHeight="false" outlineLevelRow="0" outlineLevelCol="0"/>
  <cols>
    <col collapsed="false" customWidth="true" hidden="false" outlineLevel="0" max="1" min="1" style="56" width="8"/>
    <col collapsed="false" customWidth="true" hidden="false" outlineLevel="0" max="2" min="2" style="0" width="31.57"/>
    <col collapsed="false" customWidth="true" hidden="false" outlineLevel="0" max="14" min="4" style="0" width="9.14"/>
    <col collapsed="false" customWidth="true" hidden="false" outlineLevel="0" max="15" min="15" style="0" width="6.85"/>
    <col collapsed="false" customWidth="true" hidden="false" outlineLevel="0" max="16" min="16" style="0" width="31"/>
    <col collapsed="false" customWidth="true" hidden="false" outlineLevel="0" max="17" min="17" style="0" width="8.71"/>
    <col collapsed="false" customWidth="true" hidden="false" outlineLevel="0" max="26" min="18" style="0" width="7.71"/>
    <col collapsed="false" customWidth="true" hidden="false" outlineLevel="0" max="28" min="27" style="0" width="8.42"/>
    <col collapsed="false" customWidth="true" hidden="false" outlineLevel="0" max="45" min="29" style="0" width="7.71"/>
  </cols>
  <sheetData>
    <row r="1" customFormat="false" ht="74.25" hidden="false" customHeight="false" outlineLevel="0" collapsed="false">
      <c r="A1" s="57" t="s">
        <v>3</v>
      </c>
      <c r="B1" s="58" t="s">
        <v>100</v>
      </c>
      <c r="C1" s="59" t="s">
        <v>101</v>
      </c>
      <c r="D1" s="60" t="s">
        <v>102</v>
      </c>
      <c r="E1" s="61" t="s">
        <v>103</v>
      </c>
      <c r="F1" s="61" t="s">
        <v>104</v>
      </c>
      <c r="G1" s="61" t="s">
        <v>105</v>
      </c>
      <c r="H1" s="62" t="s">
        <v>106</v>
      </c>
      <c r="I1" s="60" t="s">
        <v>102</v>
      </c>
      <c r="J1" s="61" t="s">
        <v>103</v>
      </c>
      <c r="K1" s="61" t="s">
        <v>104</v>
      </c>
      <c r="L1" s="61" t="s">
        <v>105</v>
      </c>
      <c r="M1" s="62" t="s">
        <v>106</v>
      </c>
      <c r="N1" s="63" t="s">
        <v>107</v>
      </c>
      <c r="P1" s="64"/>
      <c r="Q1" s="65" t="s">
        <v>108</v>
      </c>
      <c r="R1" s="66" t="s">
        <v>109</v>
      </c>
      <c r="S1" s="66" t="s">
        <v>110</v>
      </c>
      <c r="T1" s="66" t="s">
        <v>111</v>
      </c>
      <c r="U1" s="66" t="s">
        <v>112</v>
      </c>
      <c r="V1" s="66" t="s">
        <v>113</v>
      </c>
      <c r="W1" s="66" t="s">
        <v>114</v>
      </c>
      <c r="X1" s="66" t="s">
        <v>115</v>
      </c>
      <c r="Y1" s="66" t="s">
        <v>116</v>
      </c>
      <c r="Z1" s="66" t="s">
        <v>117</v>
      </c>
      <c r="AA1" s="66" t="s">
        <v>118</v>
      </c>
      <c r="AB1" s="66" t="s">
        <v>119</v>
      </c>
      <c r="AC1" s="66" t="s">
        <v>120</v>
      </c>
      <c r="AD1" s="66" t="s">
        <v>121</v>
      </c>
      <c r="AE1" s="66" t="s">
        <v>122</v>
      </c>
      <c r="AF1" s="66" t="s">
        <v>123</v>
      </c>
      <c r="AG1" s="66" t="s">
        <v>124</v>
      </c>
      <c r="AH1" s="66" t="s">
        <v>125</v>
      </c>
      <c r="AI1" s="66" t="s">
        <v>126</v>
      </c>
      <c r="AJ1" s="66" t="s">
        <v>127</v>
      </c>
      <c r="AK1" s="66" t="s">
        <v>128</v>
      </c>
      <c r="AL1" s="66" t="s">
        <v>129</v>
      </c>
      <c r="AM1" s="66" t="s">
        <v>130</v>
      </c>
      <c r="AN1" s="66" t="s">
        <v>131</v>
      </c>
      <c r="AO1" s="66" t="s">
        <v>132</v>
      </c>
      <c r="AP1" s="66" t="s">
        <v>133</v>
      </c>
      <c r="AQ1" s="66" t="s">
        <v>134</v>
      </c>
      <c r="AR1" s="67" t="s">
        <v>26</v>
      </c>
      <c r="AS1" s="67" t="s">
        <v>135</v>
      </c>
    </row>
    <row r="2" customFormat="false" ht="15" hidden="false" customHeight="false" outlineLevel="0" collapsed="false">
      <c r="A2" s="68" t="n">
        <v>173</v>
      </c>
      <c r="B2" s="69" t="s">
        <v>136</v>
      </c>
      <c r="C2" s="70" t="n">
        <v>200</v>
      </c>
      <c r="D2" s="71"/>
      <c r="E2" s="72"/>
      <c r="F2" s="72"/>
      <c r="G2" s="72"/>
      <c r="H2" s="73"/>
      <c r="I2" s="74" t="n">
        <v>1</v>
      </c>
      <c r="J2" s="72"/>
      <c r="K2" s="72"/>
      <c r="L2" s="72"/>
      <c r="M2" s="73"/>
      <c r="N2" s="75" t="n">
        <f aca="false">SUM(D2:M2)</f>
        <v>1</v>
      </c>
      <c r="P2" s="69" t="s">
        <v>136</v>
      </c>
      <c r="Q2" s="76" t="n">
        <f aca="false">100*N2</f>
        <v>100</v>
      </c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 t="n">
        <f aca="false">50*N2</f>
        <v>50</v>
      </c>
      <c r="AG2" s="77"/>
      <c r="AH2" s="77"/>
      <c r="AI2" s="77"/>
      <c r="AJ2" s="77"/>
      <c r="AK2" s="77"/>
      <c r="AL2" s="77"/>
      <c r="AM2" s="77"/>
      <c r="AN2" s="77"/>
      <c r="AO2" s="78" t="n">
        <f aca="false">16*N2</f>
        <v>16</v>
      </c>
      <c r="AP2" s="78" t="n">
        <f aca="false">0.6*N2</f>
        <v>0.6</v>
      </c>
      <c r="AQ2" s="77"/>
      <c r="AR2" s="79"/>
      <c r="AS2" s="79"/>
    </row>
    <row r="3" customFormat="false" ht="15" hidden="false" customHeight="false" outlineLevel="0" collapsed="false">
      <c r="A3" s="80" t="n">
        <v>376</v>
      </c>
      <c r="B3" s="81" t="s">
        <v>23</v>
      </c>
      <c r="C3" s="82" t="n">
        <v>200</v>
      </c>
      <c r="D3" s="83"/>
      <c r="E3" s="84" t="n">
        <v>1</v>
      </c>
      <c r="F3" s="85"/>
      <c r="G3" s="85"/>
      <c r="H3" s="86"/>
      <c r="I3" s="83"/>
      <c r="J3" s="84" t="n">
        <v>1</v>
      </c>
      <c r="K3" s="85"/>
      <c r="L3" s="85"/>
      <c r="M3" s="87" t="n">
        <v>1</v>
      </c>
      <c r="N3" s="75" t="n">
        <f aca="false">SUM(D3:M3)</f>
        <v>3</v>
      </c>
      <c r="P3" s="81" t="s">
        <v>23</v>
      </c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 t="n">
        <f aca="false">0.5*N3</f>
        <v>1.5</v>
      </c>
      <c r="AM3" s="78"/>
      <c r="AN3" s="78"/>
      <c r="AO3" s="78" t="n">
        <f aca="false">15*N3</f>
        <v>45</v>
      </c>
      <c r="AP3" s="78"/>
      <c r="AQ3" s="78"/>
      <c r="AR3" s="78"/>
      <c r="AS3" s="78"/>
    </row>
    <row r="4" customFormat="false" ht="15" hidden="false" customHeight="false" outlineLevel="0" collapsed="false">
      <c r="A4" s="80" t="n">
        <v>382</v>
      </c>
      <c r="B4" s="81" t="s">
        <v>74</v>
      </c>
      <c r="C4" s="82" t="n">
        <v>200</v>
      </c>
      <c r="D4" s="88" t="n">
        <v>1</v>
      </c>
      <c r="E4" s="85"/>
      <c r="F4" s="85"/>
      <c r="G4" s="84" t="n">
        <v>1</v>
      </c>
      <c r="H4" s="87" t="n">
        <v>1</v>
      </c>
      <c r="I4" s="83"/>
      <c r="J4" s="85"/>
      <c r="K4" s="84" t="n">
        <v>1</v>
      </c>
      <c r="L4" s="84" t="n">
        <v>1</v>
      </c>
      <c r="M4" s="86"/>
      <c r="N4" s="75" t="n">
        <f aca="false">SUM(D4:M4)</f>
        <v>5</v>
      </c>
      <c r="P4" s="81" t="s">
        <v>74</v>
      </c>
      <c r="Q4" s="78" t="n">
        <f aca="false">100*N4</f>
        <v>500</v>
      </c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 t="n">
        <f aca="false">4*N4</f>
        <v>20</v>
      </c>
      <c r="AN4" s="78"/>
      <c r="AO4" s="78" t="n">
        <f aca="false">20*N4</f>
        <v>100</v>
      </c>
      <c r="AP4" s="78"/>
      <c r="AQ4" s="78"/>
      <c r="AR4" s="78"/>
      <c r="AS4" s="78"/>
    </row>
    <row r="5" customFormat="false" ht="15" hidden="false" customHeight="false" outlineLevel="0" collapsed="false">
      <c r="A5" s="80" t="n">
        <v>379</v>
      </c>
      <c r="B5" s="81" t="s">
        <v>137</v>
      </c>
      <c r="C5" s="82" t="n">
        <v>200</v>
      </c>
      <c r="D5" s="83"/>
      <c r="E5" s="85"/>
      <c r="F5" s="84" t="n">
        <v>1</v>
      </c>
      <c r="G5" s="85"/>
      <c r="H5" s="86"/>
      <c r="I5" s="88" t="n">
        <v>1</v>
      </c>
      <c r="J5" s="84" t="n">
        <v>1</v>
      </c>
      <c r="K5" s="84" t="n">
        <v>1</v>
      </c>
      <c r="L5" s="85"/>
      <c r="M5" s="87" t="n">
        <v>1</v>
      </c>
      <c r="N5" s="75" t="n">
        <f aca="false">SUM(D5:M5)</f>
        <v>5</v>
      </c>
      <c r="P5" s="81" t="s">
        <v>137</v>
      </c>
      <c r="Q5" s="78" t="n">
        <f aca="false">100*N5</f>
        <v>500</v>
      </c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 t="n">
        <f aca="false">5*N5</f>
        <v>25</v>
      </c>
      <c r="AO5" s="78" t="n">
        <f aca="false">20*N5</f>
        <v>100</v>
      </c>
      <c r="AP5" s="78"/>
      <c r="AQ5" s="78"/>
      <c r="AR5" s="78"/>
      <c r="AS5" s="78"/>
    </row>
    <row r="6" customFormat="false" ht="15" hidden="false" customHeight="false" outlineLevel="0" collapsed="false">
      <c r="A6" s="80"/>
      <c r="B6" s="81" t="s">
        <v>138</v>
      </c>
      <c r="C6" s="82" t="n">
        <v>150</v>
      </c>
      <c r="D6" s="88" t="n">
        <v>1</v>
      </c>
      <c r="E6" s="85"/>
      <c r="F6" s="85"/>
      <c r="G6" s="85"/>
      <c r="H6" s="87" t="n">
        <v>1</v>
      </c>
      <c r="I6" s="83"/>
      <c r="J6" s="85"/>
      <c r="K6" s="85"/>
      <c r="L6" s="85"/>
      <c r="M6" s="86"/>
      <c r="N6" s="75" t="n">
        <f aca="false">SUM(D6:M6)</f>
        <v>2</v>
      </c>
      <c r="P6" s="81" t="s">
        <v>138</v>
      </c>
      <c r="Q6" s="78" t="n">
        <f aca="false">200*N6</f>
        <v>400</v>
      </c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</row>
    <row r="7" customFormat="false" ht="15" hidden="false" customHeight="false" outlineLevel="0" collapsed="false">
      <c r="A7" s="80" t="n">
        <v>389</v>
      </c>
      <c r="B7" s="81" t="s">
        <v>139</v>
      </c>
      <c r="C7" s="82" t="n">
        <v>200</v>
      </c>
      <c r="D7" s="83"/>
      <c r="E7" s="85"/>
      <c r="F7" s="85"/>
      <c r="G7" s="85"/>
      <c r="H7" s="87" t="n">
        <v>1</v>
      </c>
      <c r="I7" s="88" t="n">
        <v>1</v>
      </c>
      <c r="J7" s="84" t="n">
        <v>1</v>
      </c>
      <c r="K7" s="85"/>
      <c r="L7" s="84" t="n">
        <v>1</v>
      </c>
      <c r="M7" s="86"/>
      <c r="N7" s="75" t="n">
        <f aca="false">SUM(D7:M7)</f>
        <v>4</v>
      </c>
      <c r="P7" s="81" t="s">
        <v>139</v>
      </c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 t="n">
        <f aca="false">200*N7</f>
        <v>800</v>
      </c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</row>
    <row r="8" customFormat="false" ht="15" hidden="false" customHeight="false" outlineLevel="0" collapsed="false">
      <c r="A8" s="80" t="n">
        <v>349</v>
      </c>
      <c r="B8" s="81" t="s">
        <v>140</v>
      </c>
      <c r="C8" s="82" t="n">
        <v>200</v>
      </c>
      <c r="D8" s="83"/>
      <c r="E8" s="85"/>
      <c r="F8" s="84" t="n">
        <v>1</v>
      </c>
      <c r="G8" s="85"/>
      <c r="H8" s="86"/>
      <c r="I8" s="83"/>
      <c r="J8" s="85"/>
      <c r="K8" s="85"/>
      <c r="L8" s="85"/>
      <c r="M8" s="86"/>
      <c r="N8" s="75" t="n">
        <f aca="false">SUM(D8:M8)</f>
        <v>1</v>
      </c>
      <c r="P8" s="81" t="s">
        <v>140</v>
      </c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 t="n">
        <f aca="false">50*N8</f>
        <v>50</v>
      </c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 t="n">
        <f aca="false">20*N8</f>
        <v>20</v>
      </c>
      <c r="AP8" s="78"/>
      <c r="AQ8" s="78"/>
      <c r="AR8" s="78"/>
      <c r="AS8" s="78"/>
    </row>
    <row r="9" customFormat="false" ht="15" hidden="false" customHeight="false" outlineLevel="0" collapsed="false">
      <c r="A9" s="80" t="n">
        <v>342</v>
      </c>
      <c r="B9" s="81" t="s">
        <v>141</v>
      </c>
      <c r="C9" s="82" t="n">
        <v>200</v>
      </c>
      <c r="D9" s="88" t="n">
        <v>1</v>
      </c>
      <c r="E9" s="85"/>
      <c r="F9" s="85"/>
      <c r="G9" s="84" t="n">
        <v>1</v>
      </c>
      <c r="H9" s="86"/>
      <c r="I9" s="83"/>
      <c r="J9" s="85"/>
      <c r="K9" s="85"/>
      <c r="L9" s="85"/>
      <c r="M9" s="86"/>
      <c r="N9" s="75" t="n">
        <f aca="false">SUM(D9:M9)</f>
        <v>2</v>
      </c>
      <c r="P9" s="81" t="s">
        <v>141</v>
      </c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 t="n">
        <f aca="false">40*N9</f>
        <v>80</v>
      </c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 t="n">
        <f aca="false">24*N9</f>
        <v>48</v>
      </c>
      <c r="AP9" s="78"/>
      <c r="AQ9" s="78"/>
      <c r="AR9" s="78"/>
      <c r="AS9" s="78"/>
    </row>
    <row r="10" customFormat="false" ht="15" hidden="false" customHeight="false" outlineLevel="0" collapsed="false">
      <c r="A10" s="80" t="n">
        <v>359</v>
      </c>
      <c r="B10" s="81" t="s">
        <v>142</v>
      </c>
      <c r="C10" s="82" t="n">
        <v>200</v>
      </c>
      <c r="D10" s="83"/>
      <c r="E10" s="84" t="n">
        <v>1</v>
      </c>
      <c r="F10" s="85"/>
      <c r="G10" s="85"/>
      <c r="H10" s="86"/>
      <c r="I10" s="88" t="n">
        <v>1</v>
      </c>
      <c r="J10" s="85"/>
      <c r="K10" s="85"/>
      <c r="L10" s="85"/>
      <c r="M10" s="86"/>
      <c r="N10" s="75" t="n">
        <f aca="false">SUM(D10:M10)</f>
        <v>2</v>
      </c>
      <c r="P10" s="81" t="s">
        <v>142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 t="n">
        <f aca="false">60*N10</f>
        <v>120</v>
      </c>
      <c r="AF10" s="78"/>
      <c r="AG10" s="78"/>
      <c r="AH10" s="78"/>
      <c r="AI10" s="78"/>
      <c r="AJ10" s="78" t="n">
        <f aca="false">10*N10</f>
        <v>20</v>
      </c>
      <c r="AK10" s="78"/>
      <c r="AL10" s="78"/>
      <c r="AM10" s="78"/>
      <c r="AN10" s="78"/>
      <c r="AO10" s="78" t="n">
        <f aca="false">20*N10</f>
        <v>40</v>
      </c>
      <c r="AP10" s="78"/>
      <c r="AQ10" s="78"/>
      <c r="AR10" s="78"/>
      <c r="AS10" s="78"/>
    </row>
    <row r="11" customFormat="false" ht="15" hidden="false" customHeight="false" outlineLevel="0" collapsed="false">
      <c r="A11" s="80"/>
      <c r="B11" s="81" t="s">
        <v>134</v>
      </c>
      <c r="C11" s="82" t="n">
        <v>30</v>
      </c>
      <c r="D11" s="88" t="n">
        <v>2</v>
      </c>
      <c r="E11" s="84" t="n">
        <v>2</v>
      </c>
      <c r="F11" s="84" t="n">
        <v>2</v>
      </c>
      <c r="G11" s="84" t="n">
        <v>2</v>
      </c>
      <c r="H11" s="87" t="n">
        <v>2</v>
      </c>
      <c r="I11" s="88" t="n">
        <v>2</v>
      </c>
      <c r="J11" s="84" t="n">
        <v>2</v>
      </c>
      <c r="K11" s="84" t="n">
        <v>2</v>
      </c>
      <c r="L11" s="84" t="n">
        <v>2</v>
      </c>
      <c r="M11" s="87" t="n">
        <v>2</v>
      </c>
      <c r="N11" s="75" t="n">
        <f aca="false">SUM(D11:M11)</f>
        <v>20</v>
      </c>
      <c r="P11" s="81" t="s">
        <v>134</v>
      </c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 t="n">
        <f aca="false">30*N11</f>
        <v>600</v>
      </c>
      <c r="AR11" s="78"/>
      <c r="AS11" s="78"/>
    </row>
    <row r="12" customFormat="false" ht="15" hidden="false" customHeight="false" outlineLevel="0" collapsed="false">
      <c r="A12" s="80"/>
      <c r="B12" s="81" t="s">
        <v>26</v>
      </c>
      <c r="C12" s="82" t="n">
        <v>20</v>
      </c>
      <c r="D12" s="88" t="n">
        <v>2</v>
      </c>
      <c r="E12" s="84" t="n">
        <v>1</v>
      </c>
      <c r="F12" s="84" t="n">
        <v>2</v>
      </c>
      <c r="G12" s="84" t="n">
        <v>2</v>
      </c>
      <c r="H12" s="87" t="n">
        <v>2</v>
      </c>
      <c r="I12" s="88" t="n">
        <v>2</v>
      </c>
      <c r="J12" s="84" t="n">
        <v>1</v>
      </c>
      <c r="K12" s="84" t="n">
        <v>2</v>
      </c>
      <c r="L12" s="84" t="n">
        <v>2</v>
      </c>
      <c r="M12" s="87" t="n">
        <v>2</v>
      </c>
      <c r="N12" s="75" t="n">
        <f aca="false">SUM(D12:M12)</f>
        <v>18</v>
      </c>
      <c r="P12" s="81" t="s">
        <v>26</v>
      </c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 t="n">
        <f aca="false">20*N12</f>
        <v>360</v>
      </c>
      <c r="AS12" s="78"/>
    </row>
    <row r="13" customFormat="false" ht="15" hidden="false" customHeight="false" outlineLevel="0" collapsed="false">
      <c r="A13" s="80" t="n">
        <v>14</v>
      </c>
      <c r="B13" s="81" t="s">
        <v>143</v>
      </c>
      <c r="C13" s="82" t="n">
        <v>5</v>
      </c>
      <c r="D13" s="83"/>
      <c r="E13" s="85"/>
      <c r="F13" s="85"/>
      <c r="G13" s="84" t="n">
        <v>1</v>
      </c>
      <c r="H13" s="87" t="n">
        <v>1</v>
      </c>
      <c r="I13" s="83"/>
      <c r="J13" s="85"/>
      <c r="K13" s="84" t="n">
        <v>2</v>
      </c>
      <c r="L13" s="85"/>
      <c r="M13" s="86"/>
      <c r="N13" s="75" t="n">
        <f aca="false">SUM(D13:M13)</f>
        <v>4</v>
      </c>
      <c r="P13" s="81" t="s">
        <v>143</v>
      </c>
      <c r="Q13" s="78"/>
      <c r="R13" s="78"/>
      <c r="S13" s="78"/>
      <c r="T13" s="78"/>
      <c r="U13" s="78" t="n">
        <f aca="false">5*N13</f>
        <v>20</v>
      </c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</row>
    <row r="14" customFormat="false" ht="15" hidden="false" customHeight="false" outlineLevel="0" collapsed="false">
      <c r="A14" s="80" t="n">
        <v>14</v>
      </c>
      <c r="B14" s="81" t="s">
        <v>143</v>
      </c>
      <c r="C14" s="82" t="n">
        <v>10</v>
      </c>
      <c r="D14" s="88" t="n">
        <v>1</v>
      </c>
      <c r="E14" s="84" t="n">
        <v>1</v>
      </c>
      <c r="F14" s="85"/>
      <c r="G14" s="85"/>
      <c r="H14" s="86"/>
      <c r="I14" s="88" t="n">
        <v>1</v>
      </c>
      <c r="J14" s="84" t="n">
        <v>1</v>
      </c>
      <c r="K14" s="84" t="n">
        <v>1</v>
      </c>
      <c r="L14" s="85"/>
      <c r="M14" s="87" t="n">
        <v>1</v>
      </c>
      <c r="N14" s="75" t="n">
        <f aca="false">SUM(D14:M14)</f>
        <v>6</v>
      </c>
      <c r="P14" s="81" t="s">
        <v>143</v>
      </c>
      <c r="Q14" s="78"/>
      <c r="R14" s="78"/>
      <c r="S14" s="78"/>
      <c r="T14" s="78"/>
      <c r="U14" s="78" t="n">
        <f aca="false">10*N14</f>
        <v>60</v>
      </c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</row>
    <row r="15" customFormat="false" ht="15" hidden="false" customHeight="false" outlineLevel="0" collapsed="false">
      <c r="A15" s="80" t="n">
        <v>15</v>
      </c>
      <c r="B15" s="81" t="s">
        <v>111</v>
      </c>
      <c r="C15" s="82" t="n">
        <v>10</v>
      </c>
      <c r="D15" s="83"/>
      <c r="E15" s="85"/>
      <c r="F15" s="85"/>
      <c r="G15" s="84" t="n">
        <v>1</v>
      </c>
      <c r="H15" s="87" t="n">
        <v>1</v>
      </c>
      <c r="I15" s="83"/>
      <c r="J15" s="85"/>
      <c r="K15" s="85"/>
      <c r="L15" s="85"/>
      <c r="M15" s="87" t="n">
        <v>1</v>
      </c>
      <c r="N15" s="75" t="n">
        <f aca="false">SUM(D15:M15)</f>
        <v>3</v>
      </c>
      <c r="P15" s="81" t="s">
        <v>111</v>
      </c>
      <c r="Q15" s="78"/>
      <c r="R15" s="78"/>
      <c r="S15" s="78"/>
      <c r="T15" s="78" t="n">
        <f aca="false">10*N15</f>
        <v>30</v>
      </c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</row>
    <row r="16" customFormat="false" ht="15" hidden="false" customHeight="false" outlineLevel="0" collapsed="false">
      <c r="A16" s="80" t="n">
        <v>208</v>
      </c>
      <c r="B16" s="81" t="s">
        <v>144</v>
      </c>
      <c r="C16" s="82" t="n">
        <v>40</v>
      </c>
      <c r="D16" s="83"/>
      <c r="E16" s="85"/>
      <c r="F16" s="85"/>
      <c r="G16" s="85"/>
      <c r="H16" s="86"/>
      <c r="I16" s="83"/>
      <c r="J16" s="85"/>
      <c r="K16" s="85"/>
      <c r="L16" s="84" t="n">
        <v>1</v>
      </c>
      <c r="M16" s="86"/>
      <c r="N16" s="75" t="n">
        <f aca="false">SUM(D16:M16)</f>
        <v>1</v>
      </c>
      <c r="P16" s="81" t="s">
        <v>145</v>
      </c>
      <c r="Q16" s="78"/>
      <c r="R16" s="78"/>
      <c r="S16" s="78"/>
      <c r="T16" s="78"/>
      <c r="U16" s="78"/>
      <c r="V16" s="78" t="n">
        <f aca="false">40*N16</f>
        <v>40</v>
      </c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</row>
    <row r="17" customFormat="false" ht="15" hidden="false" customHeight="false" outlineLevel="0" collapsed="false">
      <c r="A17" s="80" t="n">
        <v>338</v>
      </c>
      <c r="B17" s="81" t="s">
        <v>146</v>
      </c>
      <c r="C17" s="82" t="n">
        <v>100</v>
      </c>
      <c r="D17" s="83"/>
      <c r="E17" s="85"/>
      <c r="F17" s="84" t="n">
        <v>1</v>
      </c>
      <c r="G17" s="84" t="n">
        <v>1</v>
      </c>
      <c r="H17" s="86"/>
      <c r="I17" s="83"/>
      <c r="J17" s="85"/>
      <c r="K17" s="84" t="n">
        <v>1</v>
      </c>
      <c r="L17" s="85"/>
      <c r="M17" s="87" t="n">
        <v>1</v>
      </c>
      <c r="N17" s="75" t="n">
        <f aca="false">SUM(D17:M17)</f>
        <v>4</v>
      </c>
      <c r="P17" s="81" t="s">
        <v>146</v>
      </c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 t="n">
        <f aca="false">100*N17</f>
        <v>400</v>
      </c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</row>
    <row r="18" customFormat="false" ht="15" hidden="false" customHeight="false" outlineLevel="0" collapsed="false">
      <c r="A18" s="80" t="n">
        <v>338</v>
      </c>
      <c r="B18" s="81" t="s">
        <v>146</v>
      </c>
      <c r="C18" s="82" t="n">
        <v>150</v>
      </c>
      <c r="D18" s="88" t="n">
        <v>1</v>
      </c>
      <c r="E18" s="84" t="n">
        <v>1</v>
      </c>
      <c r="F18" s="85"/>
      <c r="G18" s="85"/>
      <c r="H18" s="86"/>
      <c r="I18" s="83"/>
      <c r="J18" s="84" t="n">
        <v>1</v>
      </c>
      <c r="K18" s="85"/>
      <c r="L18" s="85"/>
      <c r="M18" s="86"/>
      <c r="N18" s="75" t="n">
        <f aca="false">SUM(D18:M18)</f>
        <v>3</v>
      </c>
      <c r="P18" s="81" t="s">
        <v>146</v>
      </c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 t="n">
        <f aca="false">150*N18</f>
        <v>450</v>
      </c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</row>
    <row r="19" customFormat="false" ht="15" hidden="false" customHeight="false" outlineLevel="0" collapsed="false">
      <c r="A19" s="80"/>
      <c r="B19" s="81" t="s">
        <v>135</v>
      </c>
      <c r="C19" s="82" t="n">
        <v>50</v>
      </c>
      <c r="D19" s="83"/>
      <c r="E19" s="85"/>
      <c r="F19" s="85"/>
      <c r="G19" s="85"/>
      <c r="H19" s="86"/>
      <c r="I19" s="83"/>
      <c r="J19" s="85"/>
      <c r="K19" s="84" t="n">
        <v>1</v>
      </c>
      <c r="L19" s="85"/>
      <c r="M19" s="86"/>
      <c r="N19" s="75" t="n">
        <f aca="false">SUM(D19:M19)</f>
        <v>1</v>
      </c>
      <c r="P19" s="81" t="s">
        <v>135</v>
      </c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 t="n">
        <f aca="false">50*N19</f>
        <v>50</v>
      </c>
    </row>
    <row r="20" customFormat="false" ht="15" hidden="false" customHeight="false" outlineLevel="0" collapsed="false">
      <c r="A20" s="80" t="n">
        <v>71</v>
      </c>
      <c r="B20" s="81" t="s">
        <v>147</v>
      </c>
      <c r="C20" s="82" t="n">
        <v>100</v>
      </c>
      <c r="D20" s="88" t="n">
        <v>1</v>
      </c>
      <c r="E20" s="85"/>
      <c r="F20" s="85"/>
      <c r="G20" s="85"/>
      <c r="H20" s="87" t="n">
        <v>1</v>
      </c>
      <c r="I20" s="83"/>
      <c r="J20" s="84" t="n">
        <v>1</v>
      </c>
      <c r="K20" s="85"/>
      <c r="L20" s="85"/>
      <c r="M20" s="86"/>
      <c r="N20" s="75" t="n">
        <f aca="false">SUM(D20:M20)</f>
        <v>3</v>
      </c>
      <c r="P20" s="81" t="s">
        <v>147</v>
      </c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 t="n">
        <f aca="false">100*N20</f>
        <v>300</v>
      </c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</row>
    <row r="21" customFormat="false" ht="15" hidden="false" customHeight="false" outlineLevel="0" collapsed="false">
      <c r="A21" s="80" t="n">
        <v>71</v>
      </c>
      <c r="B21" s="81" t="s">
        <v>148</v>
      </c>
      <c r="C21" s="82" t="n">
        <v>100</v>
      </c>
      <c r="D21" s="83"/>
      <c r="E21" s="85"/>
      <c r="F21" s="84" t="n">
        <v>1</v>
      </c>
      <c r="G21" s="85"/>
      <c r="H21" s="86"/>
      <c r="I21" s="88" t="n">
        <v>1</v>
      </c>
      <c r="J21" s="85"/>
      <c r="K21" s="84" t="n">
        <v>1</v>
      </c>
      <c r="L21" s="85"/>
      <c r="M21" s="87" t="n">
        <v>1</v>
      </c>
      <c r="N21" s="75" t="n">
        <f aca="false">SUM(D21:M21)</f>
        <v>4</v>
      </c>
      <c r="P21" s="81" t="s">
        <v>148</v>
      </c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 t="n">
        <f aca="false">100*N21</f>
        <v>400</v>
      </c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</row>
    <row r="22" customFormat="false" ht="15" hidden="false" customHeight="false" outlineLevel="0" collapsed="false">
      <c r="A22" s="80" t="n">
        <v>45</v>
      </c>
      <c r="B22" s="81" t="s">
        <v>149</v>
      </c>
      <c r="C22" s="82" t="n">
        <v>100</v>
      </c>
      <c r="D22" s="83"/>
      <c r="E22" s="84" t="n">
        <v>1</v>
      </c>
      <c r="F22" s="85"/>
      <c r="G22" s="85"/>
      <c r="H22" s="87" t="n">
        <v>1</v>
      </c>
      <c r="I22" s="83"/>
      <c r="J22" s="85"/>
      <c r="K22" s="84" t="n">
        <v>1</v>
      </c>
      <c r="L22" s="85"/>
      <c r="M22" s="86"/>
      <c r="N22" s="75" t="n">
        <f aca="false">SUM(D22:M22)</f>
        <v>3</v>
      </c>
      <c r="P22" s="81" t="s">
        <v>149</v>
      </c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 t="n">
        <f aca="false">89*N22</f>
        <v>267</v>
      </c>
      <c r="AC22" s="89"/>
      <c r="AD22" s="89"/>
      <c r="AE22" s="89"/>
      <c r="AF22" s="89"/>
      <c r="AG22" s="89"/>
      <c r="AH22" s="89"/>
      <c r="AI22" s="89"/>
      <c r="AJ22" s="89"/>
      <c r="AK22" s="89" t="n">
        <f aca="false">5*N22</f>
        <v>15</v>
      </c>
      <c r="AL22" s="89"/>
      <c r="AM22" s="89"/>
      <c r="AN22" s="89"/>
      <c r="AO22" s="89" t="n">
        <f aca="false">5*N22</f>
        <v>15</v>
      </c>
      <c r="AP22" s="89" t="n">
        <f aca="false">1.5*N22</f>
        <v>4.5</v>
      </c>
      <c r="AQ22" s="89"/>
      <c r="AR22" s="89"/>
      <c r="AS22" s="89"/>
    </row>
    <row r="23" customFormat="false" ht="15" hidden="false" customHeight="false" outlineLevel="0" collapsed="false">
      <c r="A23" s="80" t="n">
        <v>62</v>
      </c>
      <c r="B23" s="81" t="s">
        <v>150</v>
      </c>
      <c r="C23" s="82" t="n">
        <v>100</v>
      </c>
      <c r="D23" s="83"/>
      <c r="E23" s="85"/>
      <c r="F23" s="85"/>
      <c r="G23" s="84" t="n">
        <v>1</v>
      </c>
      <c r="H23" s="86"/>
      <c r="I23" s="83"/>
      <c r="J23" s="85"/>
      <c r="K23" s="85"/>
      <c r="L23" s="84" t="n">
        <v>1</v>
      </c>
      <c r="M23" s="86"/>
      <c r="N23" s="75" t="n">
        <f aca="false">SUM(D23:M23)</f>
        <v>2</v>
      </c>
      <c r="P23" s="81" t="s">
        <v>150</v>
      </c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 t="n">
        <f aca="false">96*N23</f>
        <v>192</v>
      </c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 t="n">
        <f aca="false">5*N23</f>
        <v>10</v>
      </c>
      <c r="AP23" s="89"/>
      <c r="AQ23" s="89"/>
      <c r="AR23" s="89"/>
      <c r="AS23" s="89"/>
    </row>
    <row r="24" customFormat="false" ht="15" hidden="false" customHeight="false" outlineLevel="0" collapsed="false">
      <c r="A24" s="80" t="n">
        <v>87</v>
      </c>
      <c r="B24" s="81" t="s">
        <v>151</v>
      </c>
      <c r="C24" s="82" t="n">
        <v>250</v>
      </c>
      <c r="D24" s="88" t="n">
        <v>1</v>
      </c>
      <c r="E24" s="85"/>
      <c r="F24" s="85"/>
      <c r="G24" s="85"/>
      <c r="H24" s="86"/>
      <c r="I24" s="83"/>
      <c r="J24" s="85"/>
      <c r="K24" s="84" t="n">
        <v>1</v>
      </c>
      <c r="L24" s="85"/>
      <c r="M24" s="86"/>
      <c r="N24" s="75" t="n">
        <f aca="false">SUM(D24:M24)</f>
        <v>2</v>
      </c>
      <c r="P24" s="81" t="s">
        <v>151</v>
      </c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 t="n">
        <f aca="false">92.5*N24</f>
        <v>185</v>
      </c>
      <c r="AC24" s="89"/>
      <c r="AD24" s="89"/>
      <c r="AE24" s="89"/>
      <c r="AF24" s="89"/>
      <c r="AG24" s="89"/>
      <c r="AH24" s="89" t="n">
        <f aca="false">2.5*N24</f>
        <v>5</v>
      </c>
      <c r="AI24" s="89"/>
      <c r="AJ24" s="89"/>
      <c r="AK24" s="89" t="n">
        <f aca="false">5*N24</f>
        <v>10</v>
      </c>
      <c r="AL24" s="89"/>
      <c r="AM24" s="89"/>
      <c r="AN24" s="89"/>
      <c r="AO24" s="89"/>
      <c r="AP24" s="89" t="n">
        <f aca="false">1.25*N24</f>
        <v>2.5</v>
      </c>
      <c r="AQ24" s="89"/>
      <c r="AR24" s="89"/>
      <c r="AS24" s="89"/>
    </row>
    <row r="25" customFormat="false" ht="15" hidden="false" customHeight="false" outlineLevel="0" collapsed="false">
      <c r="A25" s="80" t="n">
        <v>81</v>
      </c>
      <c r="B25" s="81" t="s">
        <v>152</v>
      </c>
      <c r="C25" s="82" t="n">
        <v>250</v>
      </c>
      <c r="D25" s="83"/>
      <c r="E25" s="84" t="n">
        <v>1</v>
      </c>
      <c r="F25" s="85"/>
      <c r="G25" s="85"/>
      <c r="H25" s="87" t="n">
        <v>1</v>
      </c>
      <c r="I25" s="83"/>
      <c r="J25" s="85"/>
      <c r="K25" s="85"/>
      <c r="L25" s="85"/>
      <c r="M25" s="87" t="n">
        <v>1</v>
      </c>
      <c r="N25" s="75" t="n">
        <f aca="false">SUM(D25:M25)</f>
        <v>3</v>
      </c>
      <c r="P25" s="81" t="s">
        <v>152</v>
      </c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 t="n">
        <f aca="false">92.5*N25</f>
        <v>277.5</v>
      </c>
      <c r="AC25" s="89"/>
      <c r="AD25" s="89"/>
      <c r="AE25" s="89"/>
      <c r="AF25" s="89"/>
      <c r="AG25" s="89"/>
      <c r="AH25" s="89"/>
      <c r="AI25" s="89"/>
      <c r="AJ25" s="89"/>
      <c r="AK25" s="89" t="n">
        <f aca="false">5*N25</f>
        <v>15</v>
      </c>
      <c r="AL25" s="89"/>
      <c r="AM25" s="89"/>
      <c r="AN25" s="89"/>
      <c r="AO25" s="89" t="n">
        <f aca="false">2.5*N25</f>
        <v>7.5</v>
      </c>
      <c r="AP25" s="89" t="n">
        <f aca="false">1.25*N25</f>
        <v>3.75</v>
      </c>
      <c r="AQ25" s="89"/>
      <c r="AR25" s="89"/>
      <c r="AS25" s="89"/>
    </row>
    <row r="26" s="92" customFormat="true" ht="15" hidden="false" customHeight="false" outlineLevel="0" collapsed="false">
      <c r="A26" s="90" t="n">
        <v>104</v>
      </c>
      <c r="B26" s="81" t="s">
        <v>153</v>
      </c>
      <c r="C26" s="82" t="n">
        <v>250</v>
      </c>
      <c r="D26" s="83"/>
      <c r="E26" s="85"/>
      <c r="F26" s="85"/>
      <c r="G26" s="85"/>
      <c r="H26" s="86"/>
      <c r="I26" s="83"/>
      <c r="J26" s="85"/>
      <c r="K26" s="85"/>
      <c r="L26" s="84" t="n">
        <v>1</v>
      </c>
      <c r="M26" s="86"/>
      <c r="N26" s="91" t="n">
        <f aca="false">SUM(D26:M26)</f>
        <v>1</v>
      </c>
      <c r="P26" s="81" t="s">
        <v>153</v>
      </c>
      <c r="Q26" s="85"/>
      <c r="R26" s="85"/>
      <c r="S26" s="85"/>
      <c r="T26" s="85"/>
      <c r="U26" s="85"/>
      <c r="V26" s="85" t="n">
        <f aca="false">3*N26</f>
        <v>3</v>
      </c>
      <c r="W26" s="85" t="n">
        <f aca="false">40*N26</f>
        <v>40</v>
      </c>
      <c r="X26" s="85"/>
      <c r="Y26" s="85"/>
      <c r="Z26" s="85"/>
      <c r="AA26" s="85" t="n">
        <f aca="false">100*N26</f>
        <v>100</v>
      </c>
      <c r="AB26" s="85" t="n">
        <f aca="false">24*N26</f>
        <v>24</v>
      </c>
      <c r="AC26" s="85"/>
      <c r="AD26" s="85"/>
      <c r="AE26" s="85"/>
      <c r="AF26" s="85"/>
      <c r="AG26" s="85"/>
      <c r="AH26" s="85"/>
      <c r="AI26" s="85"/>
      <c r="AJ26" s="85"/>
      <c r="AK26" s="85" t="n">
        <f aca="false">3*N26</f>
        <v>3</v>
      </c>
      <c r="AL26" s="85"/>
      <c r="AM26" s="85"/>
      <c r="AN26" s="85"/>
      <c r="AO26" s="85"/>
      <c r="AP26" s="85" t="n">
        <f aca="false">1*N26</f>
        <v>1</v>
      </c>
      <c r="AQ26" s="85"/>
      <c r="AR26" s="85"/>
      <c r="AS26" s="85"/>
    </row>
    <row r="27" customFormat="false" ht="15" hidden="false" customHeight="false" outlineLevel="0" collapsed="false">
      <c r="A27" s="80" t="n">
        <v>102</v>
      </c>
      <c r="B27" s="81" t="s">
        <v>154</v>
      </c>
      <c r="C27" s="82" t="n">
        <v>250</v>
      </c>
      <c r="D27" s="83"/>
      <c r="E27" s="85"/>
      <c r="F27" s="85"/>
      <c r="G27" s="85"/>
      <c r="H27" s="86"/>
      <c r="I27" s="83"/>
      <c r="J27" s="84" t="n">
        <v>1</v>
      </c>
      <c r="K27" s="85"/>
      <c r="L27" s="85"/>
      <c r="M27" s="86"/>
      <c r="N27" s="75" t="n">
        <f aca="false">SUM(D27:M27)</f>
        <v>1</v>
      </c>
      <c r="P27" s="81" t="s">
        <v>154</v>
      </c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 t="n">
        <f aca="false">50*N27</f>
        <v>50</v>
      </c>
      <c r="AB27" s="89" t="n">
        <f aca="false">22.5*N27</f>
        <v>22.5</v>
      </c>
      <c r="AC27" s="89"/>
      <c r="AD27" s="89"/>
      <c r="AE27" s="89"/>
      <c r="AF27" s="89" t="n">
        <f aca="false">20*N27</f>
        <v>20</v>
      </c>
      <c r="AG27" s="89"/>
      <c r="AH27" s="89"/>
      <c r="AI27" s="89"/>
      <c r="AJ27" s="89"/>
      <c r="AK27" s="89" t="n">
        <f aca="false">5*N27</f>
        <v>5</v>
      </c>
      <c r="AL27" s="89"/>
      <c r="AM27" s="89"/>
      <c r="AN27" s="89"/>
      <c r="AO27" s="89"/>
      <c r="AP27" s="89" t="n">
        <f aca="false">1.25*N27</f>
        <v>1.25</v>
      </c>
      <c r="AQ27" s="89"/>
      <c r="AR27" s="89"/>
      <c r="AS27" s="89"/>
    </row>
    <row r="28" customFormat="false" ht="15" hidden="false" customHeight="false" outlineLevel="0" collapsed="false">
      <c r="A28" s="80" t="n">
        <v>96</v>
      </c>
      <c r="B28" s="81" t="s">
        <v>42</v>
      </c>
      <c r="C28" s="82" t="n">
        <v>250</v>
      </c>
      <c r="D28" s="83"/>
      <c r="E28" s="85"/>
      <c r="F28" s="84" t="n">
        <v>1</v>
      </c>
      <c r="G28" s="85"/>
      <c r="H28" s="86"/>
      <c r="I28" s="88" t="n">
        <v>1</v>
      </c>
      <c r="J28" s="85"/>
      <c r="K28" s="85"/>
      <c r="L28" s="85"/>
      <c r="M28" s="86"/>
      <c r="N28" s="75" t="n">
        <f aca="false">SUM(D28:M28)</f>
        <v>2</v>
      </c>
      <c r="P28" s="81" t="s">
        <v>42</v>
      </c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 t="n">
        <f aca="false">75*N28</f>
        <v>150</v>
      </c>
      <c r="AB28" s="89" t="n">
        <f aca="false">30*N28</f>
        <v>60</v>
      </c>
      <c r="AC28" s="89"/>
      <c r="AD28" s="89"/>
      <c r="AE28" s="89"/>
      <c r="AF28" s="89" t="n">
        <f aca="false">5*N28</f>
        <v>10</v>
      </c>
      <c r="AG28" s="89"/>
      <c r="AH28" s="89"/>
      <c r="AI28" s="89"/>
      <c r="AJ28" s="89"/>
      <c r="AK28" s="89" t="n">
        <f aca="false">5*N28</f>
        <v>10</v>
      </c>
      <c r="AL28" s="89"/>
      <c r="AM28" s="89"/>
      <c r="AN28" s="89"/>
      <c r="AO28" s="89"/>
      <c r="AP28" s="89" t="n">
        <f aca="false">1.25*N28</f>
        <v>2.5</v>
      </c>
      <c r="AQ28" s="89"/>
      <c r="AR28" s="89"/>
      <c r="AS28" s="89"/>
    </row>
    <row r="29" customFormat="false" ht="15" hidden="false" customHeight="false" outlineLevel="0" collapsed="false">
      <c r="A29" s="80" t="n">
        <v>103</v>
      </c>
      <c r="B29" s="81" t="s">
        <v>155</v>
      </c>
      <c r="C29" s="82" t="n">
        <v>250</v>
      </c>
      <c r="D29" s="83"/>
      <c r="E29" s="85"/>
      <c r="F29" s="85"/>
      <c r="G29" s="84" t="n">
        <v>1</v>
      </c>
      <c r="H29" s="86"/>
      <c r="I29" s="83"/>
      <c r="J29" s="85"/>
      <c r="K29" s="85"/>
      <c r="L29" s="85"/>
      <c r="M29" s="86"/>
      <c r="N29" s="75" t="n">
        <f aca="false">SUM(D29:M29)</f>
        <v>1</v>
      </c>
      <c r="P29" s="81" t="s">
        <v>155</v>
      </c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 t="n">
        <f aca="false">75*N29</f>
        <v>75</v>
      </c>
      <c r="AB29" s="89" t="n">
        <f aca="false">20*N29</f>
        <v>20</v>
      </c>
      <c r="AC29" s="89"/>
      <c r="AD29" s="89"/>
      <c r="AE29" s="89"/>
      <c r="AF29" s="89"/>
      <c r="AG29" s="89" t="n">
        <f aca="false">10*N29</f>
        <v>10</v>
      </c>
      <c r="AH29" s="89"/>
      <c r="AI29" s="89"/>
      <c r="AJ29" s="89"/>
      <c r="AK29" s="89" t="n">
        <f aca="false">2.5*N29</f>
        <v>2.5</v>
      </c>
      <c r="AL29" s="89"/>
      <c r="AM29" s="89"/>
      <c r="AN29" s="89"/>
      <c r="AO29" s="89"/>
      <c r="AP29" s="89" t="n">
        <f aca="false">1.25*N29</f>
        <v>1.25</v>
      </c>
      <c r="AQ29" s="89"/>
      <c r="AR29" s="89"/>
      <c r="AS29" s="89"/>
    </row>
    <row r="30" customFormat="false" ht="15" hidden="false" customHeight="false" outlineLevel="0" collapsed="false">
      <c r="A30" s="80" t="n">
        <v>143</v>
      </c>
      <c r="B30" s="93" t="s">
        <v>156</v>
      </c>
      <c r="C30" s="82" t="n">
        <v>200</v>
      </c>
      <c r="D30" s="83"/>
      <c r="E30" s="84" t="n">
        <v>1</v>
      </c>
      <c r="F30" s="85"/>
      <c r="G30" s="85"/>
      <c r="H30" s="86"/>
      <c r="I30" s="83"/>
      <c r="J30" s="85"/>
      <c r="K30" s="85"/>
      <c r="L30" s="85"/>
      <c r="M30" s="87" t="n">
        <v>1</v>
      </c>
      <c r="N30" s="75" t="n">
        <f aca="false">SUM(D30:M30)</f>
        <v>2</v>
      </c>
      <c r="P30" s="93" t="s">
        <v>156</v>
      </c>
      <c r="Q30" s="89"/>
      <c r="R30" s="89"/>
      <c r="S30" s="89" t="n">
        <f aca="false">15*N30</f>
        <v>30</v>
      </c>
      <c r="T30" s="89"/>
      <c r="U30" s="89"/>
      <c r="V30" s="89"/>
      <c r="W30" s="89"/>
      <c r="X30" s="89"/>
      <c r="Y30" s="89"/>
      <c r="Z30" s="89"/>
      <c r="AA30" s="89" t="n">
        <f aca="false">64*N30</f>
        <v>128</v>
      </c>
      <c r="AB30" s="89" t="n">
        <f aca="false">120*N30</f>
        <v>240</v>
      </c>
      <c r="AC30" s="89"/>
      <c r="AD30" s="89"/>
      <c r="AE30" s="89"/>
      <c r="AF30" s="89"/>
      <c r="AG30" s="89"/>
      <c r="AH30" s="89" t="n">
        <f aca="false">4.5*N30</f>
        <v>9</v>
      </c>
      <c r="AI30" s="89"/>
      <c r="AJ30" s="89"/>
      <c r="AK30" s="89" t="n">
        <f aca="false">8*N30</f>
        <v>16</v>
      </c>
      <c r="AL30" s="89"/>
      <c r="AM30" s="89"/>
      <c r="AN30" s="89"/>
      <c r="AO30" s="89"/>
      <c r="AP30" s="89" t="n">
        <f aca="false">1.6*N30</f>
        <v>3.2</v>
      </c>
      <c r="AQ30" s="89"/>
      <c r="AR30" s="89"/>
      <c r="AS30" s="89"/>
    </row>
    <row r="31" customFormat="false" ht="15" hidden="false" customHeight="false" outlineLevel="0" collapsed="false">
      <c r="A31" s="80" t="n">
        <v>304</v>
      </c>
      <c r="B31" s="81" t="s">
        <v>21</v>
      </c>
      <c r="C31" s="82" t="n">
        <v>200</v>
      </c>
      <c r="D31" s="88" t="n">
        <v>1</v>
      </c>
      <c r="E31" s="85"/>
      <c r="F31" s="85"/>
      <c r="G31" s="85"/>
      <c r="H31" s="86"/>
      <c r="I31" s="83"/>
      <c r="J31" s="85"/>
      <c r="K31" s="85"/>
      <c r="L31" s="84" t="n">
        <v>1</v>
      </c>
      <c r="M31" s="86"/>
      <c r="N31" s="75" t="n">
        <f aca="false">SUM(D31:M31)</f>
        <v>2</v>
      </c>
      <c r="P31" s="81" t="s">
        <v>21</v>
      </c>
      <c r="Q31" s="89"/>
      <c r="R31" s="89"/>
      <c r="S31" s="89"/>
      <c r="T31" s="89"/>
      <c r="U31" s="89" t="n">
        <f aca="false">9*N31</f>
        <v>18</v>
      </c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 t="n">
        <f aca="false">72*N31</f>
        <v>144</v>
      </c>
      <c r="AG31" s="89"/>
      <c r="AH31" s="89"/>
      <c r="AI31" s="89"/>
      <c r="AJ31" s="89"/>
      <c r="AK31" s="89"/>
      <c r="AL31" s="89"/>
      <c r="AM31" s="89"/>
      <c r="AN31" s="89"/>
      <c r="AO31" s="89"/>
      <c r="AP31" s="89" t="n">
        <f aca="false">2*N31</f>
        <v>4</v>
      </c>
      <c r="AQ31" s="89"/>
      <c r="AR31" s="89"/>
      <c r="AS31" s="89"/>
    </row>
    <row r="32" customFormat="false" ht="15" hidden="false" customHeight="false" outlineLevel="0" collapsed="false">
      <c r="A32" s="80" t="n">
        <v>310</v>
      </c>
      <c r="B32" s="81" t="s">
        <v>64</v>
      </c>
      <c r="C32" s="82" t="n">
        <v>200</v>
      </c>
      <c r="D32" s="83"/>
      <c r="E32" s="85"/>
      <c r="F32" s="85"/>
      <c r="G32" s="85"/>
      <c r="H32" s="86"/>
      <c r="I32" s="83"/>
      <c r="J32" s="85"/>
      <c r="K32" s="85"/>
      <c r="L32" s="85"/>
      <c r="M32" s="87" t="n">
        <v>1</v>
      </c>
      <c r="N32" s="75" t="n">
        <f aca="false">SUM(D32:M32)</f>
        <v>1</v>
      </c>
      <c r="P32" s="81" t="s">
        <v>64</v>
      </c>
      <c r="Q32" s="89"/>
      <c r="R32" s="89"/>
      <c r="S32" s="89"/>
      <c r="T32" s="89"/>
      <c r="U32" s="89" t="n">
        <f aca="false">7*N32</f>
        <v>7</v>
      </c>
      <c r="V32" s="89"/>
      <c r="W32" s="89"/>
      <c r="X32" s="89"/>
      <c r="Y32" s="89"/>
      <c r="Z32" s="89"/>
      <c r="AA32" s="89" t="n">
        <f aca="false">200*N32</f>
        <v>200</v>
      </c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 t="n">
        <f aca="false">2*N32</f>
        <v>2</v>
      </c>
      <c r="AQ32" s="89"/>
      <c r="AR32" s="89"/>
      <c r="AS32" s="89"/>
    </row>
    <row r="33" customFormat="false" ht="15" hidden="false" customHeight="false" outlineLevel="0" collapsed="false">
      <c r="A33" s="80" t="n">
        <v>312</v>
      </c>
      <c r="B33" s="81" t="s">
        <v>31</v>
      </c>
      <c r="C33" s="82" t="n">
        <v>200</v>
      </c>
      <c r="D33" s="83"/>
      <c r="E33" s="85"/>
      <c r="F33" s="85"/>
      <c r="G33" s="84" t="n">
        <v>1</v>
      </c>
      <c r="H33" s="87" t="n">
        <v>1</v>
      </c>
      <c r="I33" s="83"/>
      <c r="J33" s="85"/>
      <c r="K33" s="84" t="n">
        <v>1</v>
      </c>
      <c r="L33" s="85"/>
      <c r="M33" s="86"/>
      <c r="N33" s="75" t="n">
        <f aca="false">SUM(D33:M33)</f>
        <v>3</v>
      </c>
      <c r="P33" s="81" t="s">
        <v>31</v>
      </c>
      <c r="Q33" s="89" t="n">
        <f aca="false">30*N33</f>
        <v>90</v>
      </c>
      <c r="R33" s="89"/>
      <c r="S33" s="89"/>
      <c r="T33" s="89"/>
      <c r="U33" s="89" t="n">
        <f aca="false">9*N33</f>
        <v>27</v>
      </c>
      <c r="V33" s="89"/>
      <c r="W33" s="89"/>
      <c r="X33" s="89"/>
      <c r="Y33" s="89"/>
      <c r="Z33" s="89"/>
      <c r="AA33" s="89" t="n">
        <f aca="false">171*N33</f>
        <v>513</v>
      </c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 t="n">
        <f aca="false">2*N33</f>
        <v>6</v>
      </c>
      <c r="AQ33" s="89"/>
      <c r="AR33" s="89"/>
      <c r="AS33" s="89"/>
    </row>
    <row r="34" customFormat="false" ht="15" hidden="false" customHeight="false" outlineLevel="0" collapsed="false">
      <c r="A34" s="80" t="n">
        <v>218</v>
      </c>
      <c r="B34" s="94" t="s">
        <v>157</v>
      </c>
      <c r="C34" s="82" t="n">
        <v>100</v>
      </c>
      <c r="D34" s="83"/>
      <c r="E34" s="84" t="n">
        <v>1</v>
      </c>
      <c r="F34" s="85"/>
      <c r="G34" s="85"/>
      <c r="H34" s="86"/>
      <c r="I34" s="83"/>
      <c r="J34" s="84" t="n">
        <v>1</v>
      </c>
      <c r="K34" s="85"/>
      <c r="L34" s="85"/>
      <c r="M34" s="86"/>
      <c r="N34" s="75" t="n">
        <f aca="false">SUM(D34:M34)</f>
        <v>2</v>
      </c>
      <c r="P34" s="94" t="s">
        <v>157</v>
      </c>
      <c r="Q34" s="89"/>
      <c r="R34" s="89" t="n">
        <f aca="false">77.9*N34</f>
        <v>155.8</v>
      </c>
      <c r="S34" s="89"/>
      <c r="T34" s="89"/>
      <c r="U34" s="89"/>
      <c r="V34" s="89" t="n">
        <f aca="false">5.7*N34</f>
        <v>11.4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 t="n">
        <f aca="false">11*N34</f>
        <v>22</v>
      </c>
      <c r="AI34" s="89"/>
      <c r="AJ34" s="89"/>
      <c r="AK34" s="89"/>
      <c r="AL34" s="89"/>
      <c r="AM34" s="89"/>
      <c r="AN34" s="89"/>
      <c r="AO34" s="89" t="n">
        <f aca="false">15.7*N34</f>
        <v>31.4</v>
      </c>
      <c r="AP34" s="89" t="n">
        <f aca="false">1.8*N34</f>
        <v>3.6</v>
      </c>
      <c r="AQ34" s="89"/>
      <c r="AR34" s="89"/>
      <c r="AS34" s="89"/>
    </row>
    <row r="35" customFormat="false" ht="15" hidden="false" customHeight="false" outlineLevel="0" collapsed="false">
      <c r="A35" s="80" t="n">
        <v>289</v>
      </c>
      <c r="B35" s="93" t="s">
        <v>158</v>
      </c>
      <c r="C35" s="82" t="n">
        <v>200</v>
      </c>
      <c r="D35" s="88" t="n">
        <v>1</v>
      </c>
      <c r="E35" s="85"/>
      <c r="F35" s="85"/>
      <c r="G35" s="85"/>
      <c r="H35" s="86"/>
      <c r="I35" s="83"/>
      <c r="J35" s="85"/>
      <c r="K35" s="84" t="n">
        <v>1</v>
      </c>
      <c r="L35" s="85"/>
      <c r="M35" s="86"/>
      <c r="N35" s="75" t="n">
        <f aca="false">SUM(D35:M35)</f>
        <v>2</v>
      </c>
      <c r="P35" s="93" t="s">
        <v>158</v>
      </c>
      <c r="Q35" s="89"/>
      <c r="R35" s="89"/>
      <c r="S35" s="89"/>
      <c r="T35" s="89"/>
      <c r="U35" s="89"/>
      <c r="V35" s="89"/>
      <c r="W35" s="89"/>
      <c r="X35" s="89" t="n">
        <f aca="false">78*N35</f>
        <v>156</v>
      </c>
      <c r="Y35" s="89"/>
      <c r="Z35" s="89"/>
      <c r="AA35" s="89" t="n">
        <f aca="false">91*N35</f>
        <v>182</v>
      </c>
      <c r="AB35" s="89" t="n">
        <f aca="false">30*N35</f>
        <v>60</v>
      </c>
      <c r="AC35" s="89"/>
      <c r="AD35" s="89"/>
      <c r="AE35" s="89"/>
      <c r="AF35" s="89"/>
      <c r="AG35" s="89"/>
      <c r="AH35" s="89" t="n">
        <f aca="false">1*N35</f>
        <v>2</v>
      </c>
      <c r="AI35" s="89"/>
      <c r="AJ35" s="89"/>
      <c r="AK35" s="89" t="n">
        <f aca="false">7*N35</f>
        <v>14</v>
      </c>
      <c r="AL35" s="89"/>
      <c r="AM35" s="89"/>
      <c r="AN35" s="89"/>
      <c r="AO35" s="89"/>
      <c r="AP35" s="89" t="n">
        <f aca="false">1*N35</f>
        <v>2</v>
      </c>
      <c r="AQ35" s="89"/>
      <c r="AR35" s="89"/>
      <c r="AS35" s="89"/>
    </row>
    <row r="36" customFormat="false" ht="15" hidden="false" customHeight="false" outlineLevel="0" collapsed="false">
      <c r="A36" s="80" t="n">
        <v>291</v>
      </c>
      <c r="B36" s="95" t="s">
        <v>91</v>
      </c>
      <c r="C36" s="82" t="n">
        <v>250</v>
      </c>
      <c r="D36" s="83"/>
      <c r="E36" s="85"/>
      <c r="F36" s="85"/>
      <c r="G36" s="85"/>
      <c r="H36" s="86"/>
      <c r="I36" s="83"/>
      <c r="J36" s="84" t="n">
        <v>1</v>
      </c>
      <c r="K36" s="85"/>
      <c r="L36" s="85"/>
      <c r="M36" s="86"/>
      <c r="N36" s="75" t="n">
        <f aca="false">SUM(D36:M36)</f>
        <v>1</v>
      </c>
      <c r="P36" s="95" t="s">
        <v>91</v>
      </c>
      <c r="Q36" s="89"/>
      <c r="R36" s="89"/>
      <c r="S36" s="89"/>
      <c r="T36" s="89"/>
      <c r="U36" s="89"/>
      <c r="V36" s="89"/>
      <c r="W36" s="89"/>
      <c r="X36" s="89" t="n">
        <f aca="false">113*N36</f>
        <v>113</v>
      </c>
      <c r="Y36" s="89"/>
      <c r="Z36" s="89"/>
      <c r="AA36" s="89"/>
      <c r="AB36" s="89" t="n">
        <f aca="false">25*N36</f>
        <v>25</v>
      </c>
      <c r="AC36" s="89"/>
      <c r="AD36" s="89"/>
      <c r="AE36" s="89"/>
      <c r="AF36" s="89" t="n">
        <f aca="false">58*N36</f>
        <v>58</v>
      </c>
      <c r="AG36" s="89"/>
      <c r="AH36" s="89"/>
      <c r="AI36" s="89"/>
      <c r="AJ36" s="89"/>
      <c r="AK36" s="89" t="n">
        <f aca="false">12*N36</f>
        <v>12</v>
      </c>
      <c r="AL36" s="89"/>
      <c r="AM36" s="89"/>
      <c r="AN36" s="89"/>
      <c r="AO36" s="89"/>
      <c r="AP36" s="89" t="n">
        <f aca="false">1*N36</f>
        <v>1</v>
      </c>
      <c r="AQ36" s="89"/>
      <c r="AR36" s="89"/>
      <c r="AS36" s="89"/>
    </row>
    <row r="37" customFormat="false" ht="15" hidden="false" customHeight="false" outlineLevel="0" collapsed="false">
      <c r="A37" s="80" t="n">
        <v>284</v>
      </c>
      <c r="B37" s="95" t="s">
        <v>159</v>
      </c>
      <c r="C37" s="96" t="n">
        <v>100</v>
      </c>
      <c r="D37" s="97"/>
      <c r="E37" s="90"/>
      <c r="F37" s="90"/>
      <c r="G37" s="98" t="n">
        <v>1</v>
      </c>
      <c r="H37" s="99"/>
      <c r="I37" s="97"/>
      <c r="J37" s="90"/>
      <c r="K37" s="90"/>
      <c r="L37" s="90"/>
      <c r="M37" s="99"/>
      <c r="N37" s="75" t="n">
        <f aca="false">SUM(D37:M37)</f>
        <v>1</v>
      </c>
      <c r="P37" s="95" t="s">
        <v>159</v>
      </c>
      <c r="Q37" s="89"/>
      <c r="R37" s="89"/>
      <c r="S37" s="89" t="n">
        <f aca="false">11.5*N37</f>
        <v>11.5</v>
      </c>
      <c r="T37" s="89"/>
      <c r="U37" s="89" t="n">
        <f aca="false">1*N37</f>
        <v>1</v>
      </c>
      <c r="V37" s="89"/>
      <c r="W37" s="89"/>
      <c r="X37" s="89"/>
      <c r="Y37" s="89" t="n">
        <f aca="false">74*N37</f>
        <v>74</v>
      </c>
      <c r="Z37" s="89"/>
      <c r="AA37" s="89"/>
      <c r="AB37" s="89" t="n">
        <f aca="false">10*N37</f>
        <v>10</v>
      </c>
      <c r="AC37" s="89"/>
      <c r="AD37" s="89"/>
      <c r="AE37" s="89"/>
      <c r="AF37" s="89"/>
      <c r="AG37" s="89"/>
      <c r="AH37" s="89" t="n">
        <f aca="false">3.5*N37</f>
        <v>3.5</v>
      </c>
      <c r="AI37" s="89"/>
      <c r="AJ37" s="89"/>
      <c r="AK37" s="89" t="n">
        <f aca="false">6*N37</f>
        <v>6</v>
      </c>
      <c r="AL37" s="89"/>
      <c r="AM37" s="89"/>
      <c r="AN37" s="89"/>
      <c r="AO37" s="89"/>
      <c r="AP37" s="89" t="n">
        <f aca="false">0.5*N37</f>
        <v>0.5</v>
      </c>
      <c r="AQ37" s="89"/>
      <c r="AR37" s="89"/>
      <c r="AS37" s="89"/>
    </row>
    <row r="38" customFormat="false" ht="15" hidden="false" customHeight="false" outlineLevel="0" collapsed="false">
      <c r="A38" s="80" t="n">
        <v>284</v>
      </c>
      <c r="B38" s="95" t="s">
        <v>159</v>
      </c>
      <c r="C38" s="96" t="n">
        <v>150</v>
      </c>
      <c r="D38" s="97"/>
      <c r="E38" s="90"/>
      <c r="F38" s="90"/>
      <c r="G38" s="90"/>
      <c r="H38" s="99"/>
      <c r="I38" s="97"/>
      <c r="J38" s="90"/>
      <c r="K38" s="90"/>
      <c r="L38" s="90"/>
      <c r="M38" s="100" t="n">
        <v>1</v>
      </c>
      <c r="N38" s="75" t="n">
        <f aca="false">SUM(D38:M38)</f>
        <v>1</v>
      </c>
      <c r="P38" s="95" t="s">
        <v>159</v>
      </c>
      <c r="Q38" s="89"/>
      <c r="R38" s="89"/>
      <c r="S38" s="89" t="n">
        <f aca="false">17.3*N38</f>
        <v>17.3</v>
      </c>
      <c r="T38" s="89"/>
      <c r="U38" s="89" t="n">
        <f aca="false">1.5*N38</f>
        <v>1.5</v>
      </c>
      <c r="V38" s="89"/>
      <c r="W38" s="89"/>
      <c r="X38" s="89"/>
      <c r="Y38" s="89" t="n">
        <f aca="false">111*N38</f>
        <v>111</v>
      </c>
      <c r="Z38" s="89"/>
      <c r="AA38" s="89"/>
      <c r="AB38" s="89" t="n">
        <f aca="false">15*N38</f>
        <v>15</v>
      </c>
      <c r="AC38" s="89"/>
      <c r="AD38" s="89"/>
      <c r="AE38" s="89"/>
      <c r="AF38" s="89"/>
      <c r="AG38" s="89"/>
      <c r="AH38" s="89" t="n">
        <f aca="false">5.3*N38</f>
        <v>5.3</v>
      </c>
      <c r="AI38" s="89"/>
      <c r="AJ38" s="89"/>
      <c r="AK38" s="89" t="n">
        <f aca="false">9*N38</f>
        <v>9</v>
      </c>
      <c r="AL38" s="89"/>
      <c r="AM38" s="89"/>
      <c r="AN38" s="89"/>
      <c r="AO38" s="89"/>
      <c r="AP38" s="89" t="n">
        <f aca="false">0.5*N38</f>
        <v>0.5</v>
      </c>
      <c r="AQ38" s="89"/>
      <c r="AR38" s="89"/>
      <c r="AS38" s="89"/>
    </row>
    <row r="39" customFormat="false" ht="15" hidden="false" customHeight="false" outlineLevel="0" collapsed="false">
      <c r="A39" s="80" t="n">
        <v>263</v>
      </c>
      <c r="B39" s="81" t="s">
        <v>160</v>
      </c>
      <c r="C39" s="96" t="n">
        <v>250</v>
      </c>
      <c r="D39" s="97"/>
      <c r="E39" s="90"/>
      <c r="F39" s="90"/>
      <c r="G39" s="98" t="n">
        <v>1</v>
      </c>
      <c r="H39" s="99"/>
      <c r="I39" s="97"/>
      <c r="J39" s="90"/>
      <c r="K39" s="90"/>
      <c r="L39" s="90"/>
      <c r="M39" s="99"/>
      <c r="N39" s="75" t="n">
        <f aca="false">SUM(D39:M39)</f>
        <v>1</v>
      </c>
      <c r="P39" s="81" t="s">
        <v>160</v>
      </c>
      <c r="Q39" s="89"/>
      <c r="R39" s="89"/>
      <c r="S39" s="89"/>
      <c r="T39" s="89"/>
      <c r="U39" s="89"/>
      <c r="V39" s="89"/>
      <c r="W39" s="89" t="n">
        <f aca="false">100*N39</f>
        <v>100</v>
      </c>
      <c r="X39" s="89"/>
      <c r="Y39" s="89"/>
      <c r="Z39" s="89"/>
      <c r="AA39" s="89" t="n">
        <f aca="false">114*N39</f>
        <v>114</v>
      </c>
      <c r="AB39" s="89" t="n">
        <f aca="false">38*N39</f>
        <v>38</v>
      </c>
      <c r="AC39" s="89"/>
      <c r="AD39" s="89"/>
      <c r="AE39" s="89"/>
      <c r="AF39" s="89"/>
      <c r="AG39" s="89"/>
      <c r="AH39" s="89" t="n">
        <f aca="false">3*N39</f>
        <v>3</v>
      </c>
      <c r="AI39" s="89"/>
      <c r="AJ39" s="89"/>
      <c r="AK39" s="89" t="n">
        <f aca="false">11*N39</f>
        <v>11</v>
      </c>
      <c r="AL39" s="89"/>
      <c r="AM39" s="89"/>
      <c r="AN39" s="89"/>
      <c r="AO39" s="89"/>
      <c r="AP39" s="89" t="n">
        <f aca="false">1*N39</f>
        <v>1</v>
      </c>
      <c r="AQ39" s="89"/>
      <c r="AR39" s="89"/>
      <c r="AS39" s="89"/>
    </row>
    <row r="40" customFormat="false" ht="15" hidden="false" customHeight="false" outlineLevel="0" collapsed="false">
      <c r="A40" s="80" t="n">
        <v>229</v>
      </c>
      <c r="B40" s="81" t="s">
        <v>71</v>
      </c>
      <c r="C40" s="96" t="n">
        <v>140</v>
      </c>
      <c r="D40" s="101" t="n">
        <v>1</v>
      </c>
      <c r="E40" s="90"/>
      <c r="F40" s="90"/>
      <c r="G40" s="90"/>
      <c r="H40" s="99"/>
      <c r="I40" s="97"/>
      <c r="J40" s="90"/>
      <c r="K40" s="90"/>
      <c r="L40" s="98" t="n">
        <v>1</v>
      </c>
      <c r="M40" s="99"/>
      <c r="N40" s="75" t="n">
        <f aca="false">SUM(D40:M40)</f>
        <v>2</v>
      </c>
      <c r="P40" s="81" t="s">
        <v>71</v>
      </c>
      <c r="Q40" s="89"/>
      <c r="R40" s="89"/>
      <c r="S40" s="89"/>
      <c r="T40" s="89"/>
      <c r="U40" s="89"/>
      <c r="V40" s="89"/>
      <c r="W40" s="89"/>
      <c r="X40" s="89"/>
      <c r="Y40" s="89"/>
      <c r="Z40" s="89" t="n">
        <f aca="false">86.8*N40</f>
        <v>173.6</v>
      </c>
      <c r="AA40" s="89"/>
      <c r="AB40" s="89" t="n">
        <f aca="false">42*N40</f>
        <v>84</v>
      </c>
      <c r="AC40" s="89"/>
      <c r="AD40" s="89"/>
      <c r="AE40" s="89"/>
      <c r="AF40" s="89"/>
      <c r="AG40" s="89"/>
      <c r="AH40" s="89"/>
      <c r="AI40" s="89"/>
      <c r="AJ40" s="89"/>
      <c r="AK40" s="89" t="n">
        <f aca="false">7*N40</f>
        <v>14</v>
      </c>
      <c r="AL40" s="89"/>
      <c r="AM40" s="89"/>
      <c r="AN40" s="89"/>
      <c r="AO40" s="89" t="n">
        <f aca="false">2.8*N40</f>
        <v>5.6</v>
      </c>
      <c r="AP40" s="89" t="n">
        <f aca="false">1.4*N40</f>
        <v>2.8</v>
      </c>
      <c r="AQ40" s="89"/>
      <c r="AR40" s="89"/>
      <c r="AS40" s="89"/>
    </row>
    <row r="41" customFormat="false" ht="15" hidden="false" customHeight="false" outlineLevel="0" collapsed="false">
      <c r="A41" s="80" t="n">
        <v>234</v>
      </c>
      <c r="B41" s="81" t="s">
        <v>161</v>
      </c>
      <c r="C41" s="96" t="n">
        <v>100</v>
      </c>
      <c r="D41" s="97"/>
      <c r="E41" s="90"/>
      <c r="F41" s="98" t="n">
        <v>1</v>
      </c>
      <c r="G41" s="90"/>
      <c r="H41" s="100" t="n">
        <v>1</v>
      </c>
      <c r="I41" s="97"/>
      <c r="J41" s="90"/>
      <c r="K41" s="98" t="n">
        <v>1</v>
      </c>
      <c r="L41" s="90"/>
      <c r="M41" s="99"/>
      <c r="N41" s="75" t="n">
        <f aca="false">SUM(D41:M41)</f>
        <v>3</v>
      </c>
      <c r="P41" s="81" t="s">
        <v>161</v>
      </c>
      <c r="Q41" s="89"/>
      <c r="R41" s="89"/>
      <c r="S41" s="89"/>
      <c r="T41" s="89"/>
      <c r="U41" s="89"/>
      <c r="V41" s="89"/>
      <c r="W41" s="89"/>
      <c r="X41" s="89"/>
      <c r="Y41" s="89"/>
      <c r="Z41" s="89" t="n">
        <f aca="false">66*N41</f>
        <v>198</v>
      </c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 t="n">
        <f aca="false">10*N41</f>
        <v>30</v>
      </c>
      <c r="AL41" s="89"/>
      <c r="AM41" s="89"/>
      <c r="AN41" s="89"/>
      <c r="AO41" s="89"/>
      <c r="AP41" s="89" t="n">
        <f aca="false">1*N41</f>
        <v>3</v>
      </c>
      <c r="AQ41" s="89" t="n">
        <f aca="false">28*N41</f>
        <v>84</v>
      </c>
      <c r="AR41" s="89"/>
      <c r="AS41" s="89"/>
    </row>
    <row r="42" customFormat="false" ht="15" hidden="false" customHeight="false" outlineLevel="0" collapsed="false">
      <c r="A42" s="80" t="n">
        <v>210</v>
      </c>
      <c r="B42" s="81" t="s">
        <v>162</v>
      </c>
      <c r="C42" s="82" t="n">
        <v>75</v>
      </c>
      <c r="D42" s="83"/>
      <c r="E42" s="84" t="n">
        <v>1</v>
      </c>
      <c r="F42" s="85"/>
      <c r="G42" s="85"/>
      <c r="H42" s="86"/>
      <c r="I42" s="83"/>
      <c r="J42" s="84" t="n">
        <v>1</v>
      </c>
      <c r="K42" s="85"/>
      <c r="L42" s="85"/>
      <c r="M42" s="86"/>
      <c r="N42" s="75" t="n">
        <f aca="false">SUM(D42:M42)</f>
        <v>2</v>
      </c>
      <c r="P42" s="81" t="s">
        <v>162</v>
      </c>
      <c r="Q42" s="89" t="n">
        <f aca="false">21.2*N42</f>
        <v>42.4</v>
      </c>
      <c r="R42" s="89"/>
      <c r="S42" s="89"/>
      <c r="T42" s="89"/>
      <c r="U42" s="89" t="n">
        <f aca="false">2.9*N42</f>
        <v>5.8</v>
      </c>
      <c r="V42" s="89" t="n">
        <f aca="false">56.6*N42</f>
        <v>113.2</v>
      </c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 t="n">
        <f aca="false">0.75*N42</f>
        <v>1.5</v>
      </c>
      <c r="AQ42" s="89"/>
      <c r="AR42" s="89"/>
      <c r="AS42" s="89"/>
    </row>
    <row r="43" customFormat="false" ht="15" hidden="false" customHeight="false" outlineLevel="0" collapsed="false">
      <c r="A43" s="80"/>
      <c r="B43" s="81" t="s">
        <v>163</v>
      </c>
      <c r="C43" s="96" t="n">
        <v>40</v>
      </c>
      <c r="D43" s="97"/>
      <c r="E43" s="90"/>
      <c r="F43" s="98" t="n">
        <v>1</v>
      </c>
      <c r="G43" s="90"/>
      <c r="H43" s="99"/>
      <c r="I43" s="97"/>
      <c r="J43" s="90"/>
      <c r="K43" s="90"/>
      <c r="L43" s="90"/>
      <c r="M43" s="99"/>
      <c r="N43" s="75" t="n">
        <f aca="false">SUM(D43:M43)</f>
        <v>1</v>
      </c>
      <c r="P43" s="81" t="s">
        <v>163</v>
      </c>
      <c r="Q43" s="89" t="n">
        <f aca="false">160*N43</f>
        <v>160</v>
      </c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</row>
    <row r="44" customFormat="false" ht="15" hidden="false" customHeight="false" outlineLevel="0" collapsed="false">
      <c r="A44" s="80" t="n">
        <v>219</v>
      </c>
      <c r="B44" s="81" t="s">
        <v>164</v>
      </c>
      <c r="C44" s="82" t="n">
        <v>150</v>
      </c>
      <c r="D44" s="83"/>
      <c r="E44" s="85"/>
      <c r="F44" s="84" t="n">
        <v>1</v>
      </c>
      <c r="G44" s="85"/>
      <c r="H44" s="86"/>
      <c r="I44" s="83"/>
      <c r="J44" s="85"/>
      <c r="K44" s="85"/>
      <c r="L44" s="85"/>
      <c r="M44" s="86"/>
      <c r="N44" s="75" t="n">
        <f aca="false">SUM(D44:M44)</f>
        <v>1</v>
      </c>
      <c r="P44" s="81" t="s">
        <v>164</v>
      </c>
      <c r="Q44" s="89"/>
      <c r="R44" s="89" t="n">
        <f aca="false">150*N44</f>
        <v>150</v>
      </c>
      <c r="S44" s="89"/>
      <c r="T44" s="89"/>
      <c r="U44" s="89"/>
      <c r="V44" s="89" t="n">
        <f aca="false">6*N44</f>
        <v>6</v>
      </c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 t="n">
        <f aca="false">21*N44</f>
        <v>21</v>
      </c>
      <c r="AI44" s="89"/>
      <c r="AJ44" s="89"/>
      <c r="AK44" s="89" t="n">
        <f aca="false">9*N44</f>
        <v>9</v>
      </c>
      <c r="AL44" s="89"/>
      <c r="AM44" s="89"/>
      <c r="AN44" s="89"/>
      <c r="AO44" s="89" t="n">
        <f aca="false">12*N44</f>
        <v>12</v>
      </c>
      <c r="AP44" s="89" t="n">
        <f aca="false">0.75*N44</f>
        <v>0.75</v>
      </c>
      <c r="AQ44" s="89"/>
      <c r="AR44" s="89"/>
      <c r="AS44" s="89"/>
    </row>
    <row r="45" customFormat="false" ht="15" hidden="false" customHeight="false" outlineLevel="0" collapsed="false">
      <c r="A45" s="80" t="n">
        <v>268</v>
      </c>
      <c r="B45" s="81" t="s">
        <v>56</v>
      </c>
      <c r="C45" s="82" t="n">
        <v>100</v>
      </c>
      <c r="D45" s="83"/>
      <c r="E45" s="84" t="n">
        <v>1</v>
      </c>
      <c r="F45" s="85"/>
      <c r="G45" s="85"/>
      <c r="H45" s="87" t="n">
        <v>1</v>
      </c>
      <c r="I45" s="83"/>
      <c r="J45" s="85"/>
      <c r="K45" s="85"/>
      <c r="L45" s="85"/>
      <c r="M45" s="87" t="n">
        <v>1</v>
      </c>
      <c r="N45" s="75" t="n">
        <f aca="false">SUM(D45:M45)</f>
        <v>3</v>
      </c>
      <c r="P45" s="81" t="s">
        <v>56</v>
      </c>
      <c r="Q45" s="89"/>
      <c r="R45" s="89"/>
      <c r="S45" s="89"/>
      <c r="T45" s="89"/>
      <c r="U45" s="89"/>
      <c r="V45" s="89"/>
      <c r="W45" s="89" t="n">
        <f aca="false">74*N45</f>
        <v>222</v>
      </c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 t="n">
        <f aca="false">6*N45</f>
        <v>18</v>
      </c>
      <c r="AL45" s="89"/>
      <c r="AM45" s="89"/>
      <c r="AN45" s="89"/>
      <c r="AO45" s="89"/>
      <c r="AP45" s="89" t="n">
        <f aca="false">0.5*N45</f>
        <v>1.5</v>
      </c>
      <c r="AQ45" s="89" t="n">
        <f aca="false">28*N45</f>
        <v>84</v>
      </c>
      <c r="AR45" s="89"/>
      <c r="AS45" s="89"/>
    </row>
    <row r="46" customFormat="false" ht="15" hidden="false" customHeight="false" outlineLevel="0" collapsed="false">
      <c r="A46" s="80" t="n">
        <v>321</v>
      </c>
      <c r="B46" s="102" t="s">
        <v>165</v>
      </c>
      <c r="C46" s="103" t="n">
        <v>200</v>
      </c>
      <c r="D46" s="104"/>
      <c r="E46" s="105"/>
      <c r="F46" s="106" t="n">
        <v>1</v>
      </c>
      <c r="G46" s="105"/>
      <c r="H46" s="107"/>
      <c r="I46" s="108" t="n">
        <v>1</v>
      </c>
      <c r="J46" s="105"/>
      <c r="K46" s="105"/>
      <c r="L46" s="105"/>
      <c r="M46" s="107"/>
      <c r="N46" s="109" t="n">
        <f aca="false">SUM(D46:M46)</f>
        <v>2</v>
      </c>
      <c r="P46" s="102" t="s">
        <v>165</v>
      </c>
      <c r="Q46" s="89"/>
      <c r="R46" s="89"/>
      <c r="S46" s="89"/>
      <c r="T46" s="89"/>
      <c r="U46" s="89" t="n">
        <f aca="false">7*N46</f>
        <v>14</v>
      </c>
      <c r="V46" s="89"/>
      <c r="W46" s="89"/>
      <c r="X46" s="89"/>
      <c r="Y46" s="89"/>
      <c r="Z46" s="89"/>
      <c r="AA46" s="89"/>
      <c r="AB46" s="89" t="n">
        <f aca="false">241*N46</f>
        <v>482</v>
      </c>
      <c r="AC46" s="89"/>
      <c r="AD46" s="89"/>
      <c r="AE46" s="89"/>
      <c r="AF46" s="89"/>
      <c r="AG46" s="89"/>
      <c r="AH46" s="89" t="n">
        <f aca="false">2*N46</f>
        <v>4</v>
      </c>
      <c r="AI46" s="89"/>
      <c r="AJ46" s="89"/>
      <c r="AK46" s="89"/>
      <c r="AL46" s="89"/>
      <c r="AM46" s="89"/>
      <c r="AN46" s="89"/>
      <c r="AO46" s="89" t="n">
        <f aca="false">6*N46</f>
        <v>12</v>
      </c>
      <c r="AP46" s="89" t="n">
        <f aca="false">2*N46</f>
        <v>4</v>
      </c>
      <c r="AQ46" s="89"/>
      <c r="AR46" s="89"/>
      <c r="AS46" s="89"/>
    </row>
    <row r="47" customFormat="false" ht="15" hidden="false" customHeight="false" outlineLevel="0" collapsed="false">
      <c r="A47" s="80" t="n">
        <v>278</v>
      </c>
      <c r="B47" s="81" t="s">
        <v>166</v>
      </c>
      <c r="C47" s="82" t="n">
        <v>150</v>
      </c>
      <c r="D47" s="83"/>
      <c r="E47" s="85"/>
      <c r="F47" s="85"/>
      <c r="G47" s="85"/>
      <c r="H47" s="86"/>
      <c r="I47" s="88" t="n">
        <v>1</v>
      </c>
      <c r="J47" s="85"/>
      <c r="K47" s="85"/>
      <c r="L47" s="85"/>
      <c r="M47" s="86"/>
      <c r="N47" s="109" t="n">
        <f aca="false">SUM(D47:M47)</f>
        <v>1</v>
      </c>
      <c r="P47" s="81" t="s">
        <v>166</v>
      </c>
      <c r="Q47" s="89"/>
      <c r="R47" s="89"/>
      <c r="S47" s="89" t="n">
        <f aca="false">17*N47</f>
        <v>17</v>
      </c>
      <c r="T47" s="89"/>
      <c r="U47" s="89"/>
      <c r="V47" s="89"/>
      <c r="W47" s="89" t="n">
        <f aca="false">52*N47</f>
        <v>52</v>
      </c>
      <c r="X47" s="89"/>
      <c r="Y47" s="89"/>
      <c r="Z47" s="89"/>
      <c r="AA47" s="89"/>
      <c r="AB47" s="89" t="n">
        <f aca="false">27*N47</f>
        <v>27</v>
      </c>
      <c r="AC47" s="89"/>
      <c r="AD47" s="89"/>
      <c r="AE47" s="89"/>
      <c r="AF47" s="89"/>
      <c r="AG47" s="89"/>
      <c r="AH47" s="89" t="n">
        <f aca="false">10*N47</f>
        <v>10</v>
      </c>
      <c r="AI47" s="89"/>
      <c r="AJ47" s="89"/>
      <c r="AK47" s="89" t="n">
        <f aca="false">8*N47</f>
        <v>8</v>
      </c>
      <c r="AL47" s="89"/>
      <c r="AM47" s="89"/>
      <c r="AN47" s="89"/>
      <c r="AO47" s="89"/>
      <c r="AP47" s="89" t="n">
        <f aca="false">1*N47</f>
        <v>1</v>
      </c>
      <c r="AQ47" s="89" t="n">
        <f aca="false">11*N47</f>
        <v>11</v>
      </c>
      <c r="AR47" s="89"/>
      <c r="AS47" s="89"/>
    </row>
    <row r="48" customFormat="false" ht="15" hidden="false" customHeight="false" outlineLevel="0" collapsed="false">
      <c r="A48" s="80" t="n">
        <v>204</v>
      </c>
      <c r="B48" s="81" t="s">
        <v>167</v>
      </c>
      <c r="C48" s="82" t="n">
        <v>250</v>
      </c>
      <c r="D48" s="83"/>
      <c r="E48" s="85"/>
      <c r="F48" s="85"/>
      <c r="G48" s="85"/>
      <c r="H48" s="86"/>
      <c r="I48" s="83"/>
      <c r="J48" s="85"/>
      <c r="K48" s="85"/>
      <c r="L48" s="84" t="n">
        <v>1</v>
      </c>
      <c r="M48" s="86"/>
      <c r="N48" s="109" t="n">
        <f aca="false">SUM(D48:M48)</f>
        <v>1</v>
      </c>
      <c r="P48" s="81" t="s">
        <v>167</v>
      </c>
      <c r="Q48" s="89"/>
      <c r="R48" s="89"/>
      <c r="S48" s="89"/>
      <c r="T48" s="89" t="n">
        <f aca="false">40*N48</f>
        <v>40</v>
      </c>
      <c r="U48" s="89" t="n">
        <f aca="false">10*N48</f>
        <v>10</v>
      </c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 t="n">
        <f aca="false">68*N48</f>
        <v>68</v>
      </c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</row>
    <row r="49" customFormat="false" ht="15" hidden="false" customHeight="false" outlineLevel="0" collapsed="false">
      <c r="A49" s="80" t="n">
        <v>309</v>
      </c>
      <c r="B49" s="81" t="s">
        <v>168</v>
      </c>
      <c r="C49" s="82" t="n">
        <v>200</v>
      </c>
      <c r="D49" s="83"/>
      <c r="E49" s="85"/>
      <c r="F49" s="85"/>
      <c r="G49" s="85"/>
      <c r="H49" s="87" t="n">
        <v>1</v>
      </c>
      <c r="I49" s="83"/>
      <c r="J49" s="85"/>
      <c r="K49" s="85"/>
      <c r="L49" s="85"/>
      <c r="M49" s="86"/>
      <c r="N49" s="109" t="n">
        <f aca="false">SUM(D49:M49)</f>
        <v>1</v>
      </c>
      <c r="P49" s="81" t="s">
        <v>168</v>
      </c>
      <c r="Q49" s="89"/>
      <c r="R49" s="89"/>
      <c r="S49" s="89"/>
      <c r="T49" s="89"/>
      <c r="U49" s="89" t="n">
        <f aca="false">7*N49</f>
        <v>7</v>
      </c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 t="n">
        <f aca="false">68*N49</f>
        <v>68</v>
      </c>
      <c r="AH49" s="89"/>
      <c r="AI49" s="89"/>
      <c r="AJ49" s="89"/>
      <c r="AK49" s="89"/>
      <c r="AL49" s="89"/>
      <c r="AM49" s="89"/>
      <c r="AN49" s="89"/>
      <c r="AO49" s="89"/>
      <c r="AP49" s="89" t="n">
        <f aca="false">3*N49</f>
        <v>3</v>
      </c>
      <c r="AQ49" s="89"/>
      <c r="AR49" s="89"/>
      <c r="AS49" s="89"/>
    </row>
    <row r="50" customFormat="false" ht="15.75" hidden="false" customHeight="false" outlineLevel="0" collapsed="false">
      <c r="A50" s="80"/>
      <c r="B50" s="81"/>
      <c r="C50" s="82"/>
      <c r="D50" s="110"/>
      <c r="E50" s="111"/>
      <c r="F50" s="111"/>
      <c r="G50" s="111"/>
      <c r="H50" s="112"/>
      <c r="I50" s="110"/>
      <c r="J50" s="111"/>
      <c r="K50" s="111"/>
      <c r="L50" s="111"/>
      <c r="M50" s="112"/>
      <c r="N50" s="109"/>
      <c r="P50" s="81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</row>
    <row r="51" customFormat="false" ht="15" hidden="false" customHeight="false" outlineLevel="0" collapsed="false">
      <c r="P51" s="113" t="s">
        <v>169</v>
      </c>
      <c r="Q51" s="114" t="n">
        <f aca="false">SUM(Q2:Q50)</f>
        <v>1792.4</v>
      </c>
      <c r="R51" s="114" t="n">
        <f aca="false">SUM(R2:R50)</f>
        <v>305.8</v>
      </c>
      <c r="S51" s="114" t="n">
        <f aca="false">SUM(S2:S50)</f>
        <v>75.8</v>
      </c>
      <c r="T51" s="114" t="n">
        <f aca="false">SUM(T2:T50)</f>
        <v>70</v>
      </c>
      <c r="U51" s="114" t="n">
        <f aca="false">SUM(U2:U50)</f>
        <v>171.3</v>
      </c>
      <c r="V51" s="114" t="n">
        <f aca="false">SUM(V2:V50)</f>
        <v>173.6</v>
      </c>
      <c r="W51" s="114" t="n">
        <f aca="false">SUM(W2:W50)</f>
        <v>414</v>
      </c>
      <c r="X51" s="114" t="n">
        <f aca="false">SUM(X2:X50)</f>
        <v>269</v>
      </c>
      <c r="Y51" s="114" t="n">
        <f aca="false">SUM(Y2:Y50)</f>
        <v>185</v>
      </c>
      <c r="Z51" s="114" t="n">
        <f aca="false">SUM(Z2:Z50)</f>
        <v>371.6</v>
      </c>
      <c r="AA51" s="114" t="n">
        <f aca="false">SUM(AA2:AA50)</f>
        <v>1512</v>
      </c>
      <c r="AB51" s="114" t="n">
        <f aca="false">SUM(AB2:AB50)</f>
        <v>2729</v>
      </c>
      <c r="AC51" s="114" t="n">
        <f aca="false">SUM(AC2:AC50)</f>
        <v>930</v>
      </c>
      <c r="AD51" s="114" t="n">
        <f aca="false">SUM(AD2:AD50)</f>
        <v>50</v>
      </c>
      <c r="AE51" s="114" t="n">
        <f aca="false">SUM(AE2:AE50)</f>
        <v>920</v>
      </c>
      <c r="AF51" s="114" t="n">
        <f aca="false">SUM(AF2:AF50)</f>
        <v>282</v>
      </c>
      <c r="AG51" s="114" t="n">
        <f aca="false">SUM(AG2:AG50)</f>
        <v>146</v>
      </c>
      <c r="AH51" s="114" t="n">
        <f aca="false">SUM(AH2:AH50)</f>
        <v>84.8</v>
      </c>
      <c r="AI51" s="114" t="n">
        <f aca="false">SUM(AI2:AI50)</f>
        <v>0</v>
      </c>
      <c r="AJ51" s="114" t="n">
        <f aca="false">SUM(AJ2:AJ50)</f>
        <v>20</v>
      </c>
      <c r="AK51" s="114" t="n">
        <f aca="false">SUM(AK2:AK50)</f>
        <v>207.5</v>
      </c>
      <c r="AL51" s="114" t="n">
        <f aca="false">SUM(AL2:AL50)</f>
        <v>1.5</v>
      </c>
      <c r="AM51" s="114" t="n">
        <f aca="false">SUM(AM2:AM50)</f>
        <v>20</v>
      </c>
      <c r="AN51" s="114" t="n">
        <f aca="false">SUM(AN2:AN50)</f>
        <v>25</v>
      </c>
      <c r="AO51" s="114" t="n">
        <f aca="false">SUM(AO2:AO50)</f>
        <v>462.5</v>
      </c>
      <c r="AP51" s="114" t="n">
        <f aca="false">SUM(AP2:AP50)</f>
        <v>58.7</v>
      </c>
      <c r="AQ51" s="114" t="n">
        <f aca="false">SUM(AQ2:AQ50)</f>
        <v>779</v>
      </c>
      <c r="AR51" s="114" t="n">
        <f aca="false">SUM(AR2:AR50)</f>
        <v>360</v>
      </c>
      <c r="AS51" s="114" t="n">
        <f aca="false">SUM(AS2:AS50)</f>
        <v>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5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11.43"/>
    <col collapsed="false" customWidth="true" hidden="false" outlineLevel="0" max="12" min="4" style="0" width="8.71"/>
    <col collapsed="false" customWidth="true" hidden="false" outlineLevel="0" max="13" min="13" style="0" width="7.57"/>
    <col collapsed="false" customWidth="true" hidden="false" outlineLevel="0" max="14" min="14" style="0" width="6.85"/>
    <col collapsed="false" customWidth="true" hidden="false" outlineLevel="0" max="15" min="15" style="0" width="34.42"/>
  </cols>
  <sheetData>
    <row r="1" customFormat="false" ht="15.75" hidden="false" customHeight="false" outlineLevel="0" collapsed="false">
      <c r="A1" s="115" t="s">
        <v>170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customFormat="false" ht="15" hidden="false" customHeight="true" outlineLevel="0" collapsed="false">
      <c r="A2" s="116" t="s">
        <v>171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customFormat="false" ht="15" hidden="false" customHeight="false" outlineLevel="0" collapsed="false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customFormat="false" ht="15.75" hidden="false" customHeight="false" outlineLevel="0" collapsed="false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customFormat="false" ht="15.75" hidden="false" customHeight="true" outlineLevel="0" collapsed="false">
      <c r="A5" s="117"/>
      <c r="B5" s="119" t="s">
        <v>172</v>
      </c>
      <c r="C5" s="37" t="s">
        <v>173</v>
      </c>
      <c r="D5" s="37"/>
      <c r="E5" s="37"/>
      <c r="F5" s="120" t="s">
        <v>7</v>
      </c>
      <c r="G5" s="121" t="s">
        <v>8</v>
      </c>
      <c r="H5" s="121"/>
      <c r="I5" s="121"/>
      <c r="J5" s="36" t="s">
        <v>9</v>
      </c>
      <c r="K5" s="36"/>
      <c r="L5" s="36"/>
    </row>
    <row r="6" customFormat="false" ht="17.25" hidden="false" customHeight="false" outlineLevel="0" collapsed="false">
      <c r="A6" s="117"/>
      <c r="B6" s="119"/>
      <c r="C6" s="36" t="s">
        <v>11</v>
      </c>
      <c r="D6" s="36" t="s">
        <v>12</v>
      </c>
      <c r="E6" s="36" t="s">
        <v>13</v>
      </c>
      <c r="F6" s="120"/>
      <c r="G6" s="36" t="s">
        <v>14</v>
      </c>
      <c r="H6" s="36" t="s">
        <v>38</v>
      </c>
      <c r="I6" s="36" t="s">
        <v>16</v>
      </c>
      <c r="J6" s="121" t="s">
        <v>17</v>
      </c>
      <c r="K6" s="36" t="s">
        <v>18</v>
      </c>
      <c r="L6" s="36" t="s">
        <v>19</v>
      </c>
    </row>
    <row r="7" customFormat="false" ht="15" hidden="false" customHeight="false" outlineLevel="0" collapsed="false">
      <c r="A7" s="117"/>
      <c r="B7" s="122" t="s">
        <v>174</v>
      </c>
      <c r="C7" s="123" t="n">
        <v>49.5</v>
      </c>
      <c r="D7" s="123" t="n">
        <v>50.6</v>
      </c>
      <c r="E7" s="123" t="n">
        <v>210.7</v>
      </c>
      <c r="F7" s="123" t="n">
        <v>1496</v>
      </c>
      <c r="G7" s="123" t="n">
        <v>495</v>
      </c>
      <c r="H7" s="123" t="n">
        <v>0.8</v>
      </c>
      <c r="I7" s="123" t="n">
        <v>38.5</v>
      </c>
      <c r="J7" s="123" t="n">
        <v>660</v>
      </c>
      <c r="K7" s="123" t="n">
        <v>660</v>
      </c>
      <c r="L7" s="123" t="n">
        <v>9.9</v>
      </c>
    </row>
    <row r="8" customFormat="false" ht="15" hidden="false" customHeight="false" outlineLevel="0" collapsed="false">
      <c r="A8" s="117"/>
      <c r="B8" s="124" t="s">
        <v>102</v>
      </c>
      <c r="C8" s="125" t="n">
        <f aca="false">'Цикличное меню 12-18 лет'!D26</f>
        <v>73.871</v>
      </c>
      <c r="D8" s="125" t="n">
        <f aca="false">'Цикличное меню 12-18 лет'!E26</f>
        <v>99.984</v>
      </c>
      <c r="E8" s="125" t="n">
        <f aca="false">'Цикличное меню 12-18 лет'!F26</f>
        <v>217.112</v>
      </c>
      <c r="F8" s="125" t="n">
        <f aca="false">'Цикличное меню 12-18 лет'!G26</f>
        <v>2108.19</v>
      </c>
      <c r="G8" s="125" t="n">
        <f aca="false">'Цикличное меню 12-18 лет'!H26</f>
        <v>397.32</v>
      </c>
      <c r="H8" s="125" t="n">
        <f aca="false">'Цикличное меню 12-18 лет'!I26</f>
        <v>1.062</v>
      </c>
      <c r="I8" s="125" t="n">
        <f aca="false">'Цикличное меню 12-18 лет'!J26</f>
        <v>54.582</v>
      </c>
      <c r="J8" s="125" t="n">
        <f aca="false">'Цикличное меню 12-18 лет'!K26</f>
        <v>1288.648</v>
      </c>
      <c r="K8" s="125" t="n">
        <f aca="false">'Цикличное меню 12-18 лет'!L26</f>
        <v>1225.778</v>
      </c>
      <c r="L8" s="125" t="n">
        <f aca="false">'Цикличное меню 12-18 лет'!M26</f>
        <v>12.268</v>
      </c>
    </row>
    <row r="9" customFormat="false" ht="15" hidden="false" customHeight="false" outlineLevel="0" collapsed="false">
      <c r="A9" s="117"/>
      <c r="B9" s="124" t="s">
        <v>103</v>
      </c>
      <c r="C9" s="125" t="n">
        <f aca="false">'Цикличное меню 12-18 лет'!D61</f>
        <v>51.1955</v>
      </c>
      <c r="D9" s="125" t="n">
        <f aca="false">'Цикличное меню 12-18 лет'!E61</f>
        <v>46.895</v>
      </c>
      <c r="E9" s="125" t="n">
        <f aca="false">'Цикличное меню 12-18 лет'!F61</f>
        <v>217.781</v>
      </c>
      <c r="F9" s="125" t="n">
        <f aca="false">'Цикличное меню 12-18 лет'!G61</f>
        <v>1580.1</v>
      </c>
      <c r="G9" s="125" t="n">
        <f aca="false">'Цикличное меню 12-18 лет'!H61</f>
        <v>162.5</v>
      </c>
      <c r="H9" s="125" t="n">
        <f aca="false">'Цикличное меню 12-18 лет'!I61</f>
        <v>1.191</v>
      </c>
      <c r="I9" s="125" t="n">
        <f aca="false">'Цикличное меню 12-18 лет'!J61</f>
        <v>49.445</v>
      </c>
      <c r="J9" s="125" t="n">
        <f aca="false">'Цикличное меню 12-18 лет'!K61</f>
        <v>859.821</v>
      </c>
      <c r="K9" s="125" t="n">
        <f aca="false">'Цикличное меню 12-18 лет'!L61</f>
        <v>994.578</v>
      </c>
      <c r="L9" s="125" t="n">
        <f aca="false">'Цикличное меню 12-18 лет'!M61</f>
        <v>12.244</v>
      </c>
    </row>
    <row r="10" customFormat="false" ht="15" hidden="false" customHeight="false" outlineLevel="0" collapsed="false">
      <c r="A10" s="117"/>
      <c r="B10" s="124" t="s">
        <v>104</v>
      </c>
      <c r="C10" s="125" t="n">
        <f aca="false">'Цикличное меню 12-18 лет'!D98</f>
        <v>81.0509</v>
      </c>
      <c r="D10" s="125" t="n">
        <f aca="false">'Цикличное меню 12-18 лет'!E98</f>
        <v>82.9406</v>
      </c>
      <c r="E10" s="125" t="n">
        <f aca="false">'Цикличное меню 12-18 лет'!F98</f>
        <v>249.725</v>
      </c>
      <c r="F10" s="125" t="n">
        <f aca="false">'Цикличное меню 12-18 лет'!G98</f>
        <v>2110.35</v>
      </c>
      <c r="G10" s="125" t="n">
        <f aca="false">'Цикличное меню 12-18 лет'!H98</f>
        <v>205.82</v>
      </c>
      <c r="H10" s="125" t="n">
        <f aca="false">'Цикличное меню 12-18 лет'!I98</f>
        <v>1.559</v>
      </c>
      <c r="I10" s="125" t="n">
        <f aca="false">'Цикличное меню 12-18 лет'!J98</f>
        <v>45.095</v>
      </c>
      <c r="J10" s="125" t="n">
        <f aca="false">'Цикличное меню 12-18 лет'!K98</f>
        <v>767.537</v>
      </c>
      <c r="K10" s="125" t="n">
        <f aca="false">'Цикличное меню 12-18 лет'!L98</f>
        <v>1237.52</v>
      </c>
      <c r="L10" s="125" t="n">
        <f aca="false">'Цикличное меню 12-18 лет'!M98</f>
        <v>23.349</v>
      </c>
    </row>
    <row r="11" customFormat="false" ht="15" hidden="false" customHeight="false" outlineLevel="0" collapsed="false">
      <c r="A11" s="117"/>
      <c r="B11" s="124" t="s">
        <v>105</v>
      </c>
      <c r="C11" s="125" t="n">
        <f aca="false">'Цикличное меню 12-18 лет'!D134</f>
        <v>93.4465</v>
      </c>
      <c r="D11" s="125" t="n">
        <f aca="false">'Цикличное меню 12-18 лет'!E134</f>
        <v>173.9065</v>
      </c>
      <c r="E11" s="125" t="n">
        <f aca="false">'Цикличное меню 12-18 лет'!F134</f>
        <v>200.0705</v>
      </c>
      <c r="F11" s="125" t="n">
        <f aca="false">'Цикличное меню 12-18 лет'!G134</f>
        <v>2783.99</v>
      </c>
      <c r="G11" s="125" t="n">
        <f aca="false">'Цикличное меню 12-18 лет'!H134</f>
        <v>950.22</v>
      </c>
      <c r="H11" s="125" t="n">
        <f aca="false">'Цикличное меню 12-18 лет'!I134</f>
        <v>1.332</v>
      </c>
      <c r="I11" s="125" t="n">
        <f aca="false">'Цикличное меню 12-18 лет'!J134</f>
        <v>23.56</v>
      </c>
      <c r="J11" s="125" t="n">
        <f aca="false">'Цикличное меню 12-18 лет'!K134</f>
        <v>2265.188</v>
      </c>
      <c r="K11" s="125" t="n">
        <f aca="false">'Цикличное меню 12-18 лет'!L134</f>
        <v>1822.599</v>
      </c>
      <c r="L11" s="125" t="n">
        <f aca="false">'Цикличное меню 12-18 лет'!M134</f>
        <v>13.583</v>
      </c>
    </row>
    <row r="12" customFormat="false" ht="15" hidden="false" customHeight="false" outlineLevel="0" collapsed="false">
      <c r="A12" s="117"/>
      <c r="B12" s="124" t="s">
        <v>106</v>
      </c>
      <c r="C12" s="125" t="n">
        <f aca="false">'Цикличное меню 12-18 лет'!D170</f>
        <v>49.2225</v>
      </c>
      <c r="D12" s="125" t="n">
        <f aca="false">'Цикличное меню 12-18 лет'!E170</f>
        <v>32.9625</v>
      </c>
      <c r="E12" s="125" t="n">
        <f aca="false">'Цикличное меню 12-18 лет'!F170</f>
        <v>217.0425</v>
      </c>
      <c r="F12" s="125" t="n">
        <f aca="false">'Цикличное меню 12-18 лет'!G170</f>
        <v>1474.65</v>
      </c>
      <c r="G12" s="125" t="n">
        <f aca="false">'Цикличное меню 12-18 лет'!H170</f>
        <v>98</v>
      </c>
      <c r="H12" s="125" t="n">
        <f aca="false">'Цикличное меню 12-18 лет'!I170</f>
        <v>1.88</v>
      </c>
      <c r="I12" s="125" t="n">
        <f aca="false">'Цикличное меню 12-18 лет'!J170</f>
        <v>35.52</v>
      </c>
      <c r="J12" s="125" t="n">
        <f aca="false">'Цикличное меню 12-18 лет'!K170</f>
        <v>809.86</v>
      </c>
      <c r="K12" s="125" t="n">
        <f aca="false">'Цикличное меню 12-18 лет'!L170</f>
        <v>897.745</v>
      </c>
      <c r="L12" s="125" t="n">
        <f aca="false">'Цикличное меню 12-18 лет'!M170</f>
        <v>14.244</v>
      </c>
    </row>
    <row r="13" customFormat="false" ht="15.75" hidden="false" customHeight="false" outlineLevel="0" collapsed="false">
      <c r="A13" s="117"/>
      <c r="B13" s="126" t="s">
        <v>175</v>
      </c>
      <c r="C13" s="127" t="n">
        <f aca="false">SUM(C8:C12)/5</f>
        <v>69.75728</v>
      </c>
      <c r="D13" s="127" t="n">
        <f aca="false">SUM(D8:D12)/5</f>
        <v>87.33772</v>
      </c>
      <c r="E13" s="127" t="n">
        <f aca="false">SUM(E8:E12)/5</f>
        <v>220.3462</v>
      </c>
      <c r="F13" s="127" t="n">
        <f aca="false">SUM(F8:F12)/5</f>
        <v>2011.456</v>
      </c>
      <c r="G13" s="127" t="n">
        <f aca="false">SUM(G8:G12)/5</f>
        <v>362.772</v>
      </c>
      <c r="H13" s="127" t="n">
        <f aca="false">SUM(H8:H12)/5</f>
        <v>1.4048</v>
      </c>
      <c r="I13" s="127" t="n">
        <f aca="false">SUM(I8:I12)/5</f>
        <v>41.6404</v>
      </c>
      <c r="J13" s="127" t="n">
        <f aca="false">SUM(J8:J12)/5</f>
        <v>1198.2108</v>
      </c>
      <c r="K13" s="127" t="n">
        <f aca="false">SUM(K8:K12)/5</f>
        <v>1235.644</v>
      </c>
      <c r="L13" s="127" t="n">
        <f aca="false">SUM(L8:L12)/5</f>
        <v>15.1376</v>
      </c>
    </row>
    <row r="14" customFormat="false" ht="15" hidden="false" customHeight="false" outlineLevel="0" collapsed="false">
      <c r="A14" s="117"/>
      <c r="B14" s="128" t="s">
        <v>176</v>
      </c>
      <c r="C14" s="129" t="n">
        <f aca="false">C13/C7-1</f>
        <v>0.40923797979798</v>
      </c>
      <c r="D14" s="129" t="n">
        <f aca="false">D13/D7-1</f>
        <v>0.726041897233202</v>
      </c>
      <c r="E14" s="129" t="n">
        <f aca="false">E13/E7-1</f>
        <v>0.0457816801139062</v>
      </c>
      <c r="F14" s="129" t="n">
        <f aca="false">F13/F7-1</f>
        <v>0.34455614973262</v>
      </c>
      <c r="G14" s="130" t="n">
        <f aca="false">G13/G7-1</f>
        <v>-0.267127272727273</v>
      </c>
      <c r="H14" s="129" t="n">
        <f aca="false">H13/H7-1</f>
        <v>0.756</v>
      </c>
      <c r="I14" s="129" t="n">
        <f aca="false">I13/I7-1</f>
        <v>0.0815688311688312</v>
      </c>
      <c r="J14" s="129" t="n">
        <f aca="false">J13/J7-1</f>
        <v>0.815470909090909</v>
      </c>
      <c r="K14" s="129" t="n">
        <f aca="false">K13/K7-1</f>
        <v>0.872187878787879</v>
      </c>
      <c r="L14" s="129" t="n">
        <f aca="false">L13/L7-1</f>
        <v>0.529050505050505</v>
      </c>
    </row>
    <row r="15" customFormat="false" ht="15" hidden="false" customHeight="false" outlineLevel="0" collapsed="false">
      <c r="A15" s="117"/>
      <c r="B15" s="124" t="s">
        <v>102</v>
      </c>
      <c r="C15" s="125" t="n">
        <f aca="false">'Цикличное меню 12-18 лет'!D209</f>
        <v>46.379</v>
      </c>
      <c r="D15" s="125" t="n">
        <f aca="false">'Цикличное меню 12-18 лет'!E209</f>
        <v>49.088</v>
      </c>
      <c r="E15" s="125" t="n">
        <f aca="false">'Цикличное меню 12-18 лет'!F209</f>
        <v>216.449</v>
      </c>
      <c r="F15" s="125" t="n">
        <f aca="false">'Цикличное меню 12-18 лет'!G209</f>
        <v>1540.99</v>
      </c>
      <c r="G15" s="125" t="n">
        <f aca="false">'Цикличное меню 12-18 лет'!H209</f>
        <v>226.7</v>
      </c>
      <c r="H15" s="125" t="n">
        <f aca="false">'Цикличное меню 12-18 лет'!I209</f>
        <v>1.464</v>
      </c>
      <c r="I15" s="125" t="n">
        <f aca="false">'Цикличное меню 12-18 лет'!J209</f>
        <v>50.305</v>
      </c>
      <c r="J15" s="125" t="n">
        <f aca="false">'Цикличное меню 12-18 лет'!K209</f>
        <v>521.142</v>
      </c>
      <c r="K15" s="125" t="n">
        <f aca="false">'Цикличное меню 12-18 лет'!L209</f>
        <v>704.439</v>
      </c>
      <c r="L15" s="125" t="n">
        <f aca="false">'Цикличное меню 12-18 лет'!M209</f>
        <v>16.115</v>
      </c>
    </row>
    <row r="16" customFormat="false" ht="15" hidden="false" customHeight="false" outlineLevel="0" collapsed="false">
      <c r="A16" s="117"/>
      <c r="B16" s="124" t="s">
        <v>103</v>
      </c>
      <c r="C16" s="125" t="n">
        <f aca="false">'Цикличное меню 12-18 лет'!D242</f>
        <v>56.6845</v>
      </c>
      <c r="D16" s="125" t="n">
        <f aca="false">'Цикличное меню 12-18 лет'!E242</f>
        <v>51.079</v>
      </c>
      <c r="E16" s="125" t="n">
        <f aca="false">'Цикличное меню 12-18 лет'!F242</f>
        <v>162.275</v>
      </c>
      <c r="F16" s="125" t="n">
        <f aca="false">'Цикличное меню 12-18 лет'!G242</f>
        <v>1381.804</v>
      </c>
      <c r="G16" s="125" t="n">
        <f aca="false">'Цикличное меню 12-18 лет'!H242</f>
        <v>401.808</v>
      </c>
      <c r="H16" s="125" t="n">
        <f aca="false">'Цикличное меню 12-18 лет'!I242</f>
        <v>1.14</v>
      </c>
      <c r="I16" s="125" t="n">
        <f aca="false">'Цикличное меню 12-18 лет'!J242</f>
        <v>23.343</v>
      </c>
      <c r="J16" s="125" t="n">
        <f aca="false">'Цикличное меню 12-18 лет'!K242</f>
        <v>605.977</v>
      </c>
      <c r="K16" s="125" t="n">
        <f aca="false">'Цикличное меню 12-18 лет'!L242</f>
        <v>873.398</v>
      </c>
      <c r="L16" s="125" t="n">
        <f aca="false">'Цикличное меню 12-18 лет'!M242</f>
        <v>13.293</v>
      </c>
    </row>
    <row r="17" customFormat="false" ht="15" hidden="false" customHeight="false" outlineLevel="0" collapsed="false">
      <c r="A17" s="117"/>
      <c r="B17" s="124" t="s">
        <v>104</v>
      </c>
      <c r="C17" s="125" t="n">
        <f aca="false">'Цикличное меню 12-18 лет'!D281</f>
        <v>66.293</v>
      </c>
      <c r="D17" s="125" t="n">
        <f aca="false">'Цикличное меню 12-18 лет'!E281</f>
        <v>83.8816</v>
      </c>
      <c r="E17" s="125" t="n">
        <f aca="false">'Цикличное меню 12-18 лет'!F281</f>
        <v>273.963</v>
      </c>
      <c r="F17" s="125" t="n">
        <f aca="false">'Цикличное меню 12-18 лет'!G281</f>
        <v>2170.501</v>
      </c>
      <c r="G17" s="125" t="n">
        <f aca="false">'Цикличное меню 12-18 лет'!H281</f>
        <v>144.492</v>
      </c>
      <c r="H17" s="125" t="n">
        <f aca="false">'Цикличное меню 12-18 лет'!I281</f>
        <v>1.994</v>
      </c>
      <c r="I17" s="125" t="n">
        <f aca="false">'Цикличное меню 12-18 лет'!J281</f>
        <v>66.328</v>
      </c>
      <c r="J17" s="125" t="n">
        <f aca="false">'Цикличное меню 12-18 лет'!K281</f>
        <v>568.192</v>
      </c>
      <c r="K17" s="125" t="n">
        <f aca="false">'Цикличное меню 12-18 лет'!L281</f>
        <v>1117.536</v>
      </c>
      <c r="L17" s="125" t="n">
        <f aca="false">'Цикличное меню 12-18 лет'!M281</f>
        <v>23.755</v>
      </c>
    </row>
    <row r="18" customFormat="false" ht="15" hidden="false" customHeight="false" outlineLevel="0" collapsed="false">
      <c r="A18" s="117"/>
      <c r="B18" s="124" t="s">
        <v>105</v>
      </c>
      <c r="C18" s="125" t="n">
        <f aca="false">'Цикличное меню 12-18 лет'!D315</f>
        <v>86.6</v>
      </c>
      <c r="D18" s="125" t="n">
        <f aca="false">'Цикличное меню 12-18 лет'!E315</f>
        <v>107.715</v>
      </c>
      <c r="E18" s="125" t="n">
        <f aca="false">'Цикличное меню 12-18 лет'!F315</f>
        <v>235.525</v>
      </c>
      <c r="F18" s="125" t="n">
        <f aca="false">'Цикличное меню 12-18 лет'!G315</f>
        <v>2265.15</v>
      </c>
      <c r="G18" s="125" t="n">
        <f aca="false">'Цикличное меню 12-18 лет'!H315</f>
        <v>273.2</v>
      </c>
      <c r="H18" s="125" t="n">
        <f aca="false">'Цикличное меню 12-18 лет'!I315</f>
        <v>2.295</v>
      </c>
      <c r="I18" s="125" t="n">
        <f aca="false">'Цикличное меню 12-18 лет'!J315</f>
        <v>33.82</v>
      </c>
      <c r="J18" s="125" t="n">
        <f aca="false">'Цикличное меню 12-18 лет'!K315</f>
        <v>1192.8</v>
      </c>
      <c r="K18" s="125" t="n">
        <f aca="false">'Цикличное меню 12-18 лет'!L315</f>
        <v>1417.375</v>
      </c>
      <c r="L18" s="125" t="n">
        <f aca="false">'Цикличное меню 12-18 лет'!M315</f>
        <v>21.924</v>
      </c>
    </row>
    <row r="19" customFormat="false" ht="15" hidden="false" customHeight="false" outlineLevel="0" collapsed="false">
      <c r="A19" s="117"/>
      <c r="B19" s="124" t="s">
        <v>106</v>
      </c>
      <c r="C19" s="125" t="n">
        <f aca="false">'Цикличное меню 12-18 лет'!D348</f>
        <v>51.4775</v>
      </c>
      <c r="D19" s="125" t="n">
        <f aca="false">'Цикличное меню 12-18 лет'!E348</f>
        <v>213.5125</v>
      </c>
      <c r="E19" s="125" t="n">
        <f aca="false">'Цикличное меню 12-18 лет'!F348</f>
        <v>196.6175</v>
      </c>
      <c r="F19" s="125" t="n">
        <f aca="false">'Цикличное меню 12-18 лет'!G348</f>
        <v>1683.95</v>
      </c>
      <c r="G19" s="125" t="n">
        <f aca="false">'Цикличное меню 12-18 лет'!H348</f>
        <v>75.3</v>
      </c>
      <c r="H19" s="125" t="n">
        <f aca="false">'Цикличное меню 12-18 лет'!I348</f>
        <v>1.88</v>
      </c>
      <c r="I19" s="125" t="n">
        <f aca="false">'Цикличное меню 12-18 лет'!J348</f>
        <v>36.44</v>
      </c>
      <c r="J19" s="125" t="n">
        <f aca="false">'Цикличное меню 12-18 лет'!K348</f>
        <v>543.98</v>
      </c>
      <c r="K19" s="125" t="n">
        <f aca="false">'Цикличное меню 12-18 лет'!L348</f>
        <v>888.725</v>
      </c>
      <c r="L19" s="125" t="n">
        <f aca="false">'Цикличное меню 12-18 лет'!M348</f>
        <v>17.119</v>
      </c>
    </row>
    <row r="20" customFormat="false" ht="15.75" hidden="false" customHeight="false" outlineLevel="0" collapsed="false">
      <c r="A20" s="117"/>
      <c r="B20" s="126" t="s">
        <v>177</v>
      </c>
      <c r="C20" s="131" t="n">
        <f aca="false">SUM(C15:C19)/5</f>
        <v>61.4868</v>
      </c>
      <c r="D20" s="131" t="n">
        <f aca="false">SUM(D15:D19)/5</f>
        <v>101.05522</v>
      </c>
      <c r="E20" s="131" t="n">
        <f aca="false">SUM(E15:E19)/5</f>
        <v>216.9659</v>
      </c>
      <c r="F20" s="131" t="n">
        <f aca="false">SUM(F15:F19)/5</f>
        <v>1808.479</v>
      </c>
      <c r="G20" s="131" t="n">
        <f aca="false">SUM(G15:G19)/5</f>
        <v>224.3</v>
      </c>
      <c r="H20" s="131" t="n">
        <f aca="false">SUM(H15:H19)/5</f>
        <v>1.7546</v>
      </c>
      <c r="I20" s="131" t="n">
        <f aca="false">SUM(I15:I19)/5</f>
        <v>42.0472</v>
      </c>
      <c r="J20" s="131" t="n">
        <f aca="false">SUM(J15:J19)/5</f>
        <v>686.4182</v>
      </c>
      <c r="K20" s="131" t="n">
        <f aca="false">SUM(K15:K19)/5</f>
        <v>1000.2946</v>
      </c>
      <c r="L20" s="131" t="n">
        <f aca="false">SUM(L15:L19)/5</f>
        <v>18.4412</v>
      </c>
    </row>
    <row r="21" customFormat="false" ht="15" hidden="false" customHeight="false" outlineLevel="0" collapsed="false">
      <c r="A21" s="117"/>
      <c r="B21" s="128" t="s">
        <v>176</v>
      </c>
      <c r="C21" s="129" t="n">
        <f aca="false">C20/C7-1</f>
        <v>0.242157575757576</v>
      </c>
      <c r="D21" s="129" t="n">
        <f aca="false">D20/D7-1</f>
        <v>0.997138735177866</v>
      </c>
      <c r="E21" s="129" t="n">
        <f aca="false">E20/E7-1</f>
        <v>0.0297384907451352</v>
      </c>
      <c r="F21" s="129" t="n">
        <f aca="false">F20/F7-1</f>
        <v>0.208876336898396</v>
      </c>
      <c r="G21" s="130" t="n">
        <f aca="false">G20/G7-1</f>
        <v>-0.546868686868687</v>
      </c>
      <c r="H21" s="129" t="n">
        <f aca="false">H20/H7-1</f>
        <v>1.19325</v>
      </c>
      <c r="I21" s="129" t="n">
        <f aca="false">I20/I7-1</f>
        <v>0.0921350649350647</v>
      </c>
      <c r="J21" s="129" t="n">
        <f aca="false">J20/J7-1</f>
        <v>0.0400275757575757</v>
      </c>
      <c r="K21" s="129" t="n">
        <f aca="false">K20/K7-1</f>
        <v>0.515597878787879</v>
      </c>
      <c r="L21" s="129" t="n">
        <f aca="false">L20/L7-1</f>
        <v>0.862747474747475</v>
      </c>
    </row>
    <row r="22" customFormat="false" ht="15" hidden="false" customHeight="false" outlineLevel="0" collapsed="false">
      <c r="A22" s="117"/>
      <c r="B22" s="132" t="s">
        <v>178</v>
      </c>
      <c r="C22" s="133" t="n">
        <f aca="false">(C8+C9+C10+C11+C12+C15+C16+C17+C18+C19)/10</f>
        <v>65.62204</v>
      </c>
      <c r="D22" s="133" t="n">
        <f aca="false">(D8+D9+D10+D11+D12+D15+D16+D17+D18+D19)/10</f>
        <v>94.19647</v>
      </c>
      <c r="E22" s="133" t="n">
        <f aca="false">(E8+E9+E10+E11+E12+E15+E16+E17+E18+E19)/10</f>
        <v>218.65605</v>
      </c>
      <c r="F22" s="133" t="n">
        <f aca="false">(F8+F9+F10+F11+F12+F15+F16+F17+F18+F19)/10</f>
        <v>1909.9675</v>
      </c>
      <c r="G22" s="133" t="n">
        <f aca="false">(G8+G9+G10+G11+G12+G15+G16+G17+G18+G19)/10</f>
        <v>293.536</v>
      </c>
      <c r="H22" s="133" t="n">
        <f aca="false">(H8+H9+H10+H11+H12+H15+H16+H17+H18+H19)/10</f>
        <v>1.5797</v>
      </c>
      <c r="I22" s="133" t="n">
        <f aca="false">(I8+I9+I10+I11+I12+I15+I16+I17+I18+I19)/10</f>
        <v>41.8438</v>
      </c>
      <c r="J22" s="133" t="n">
        <f aca="false">(J8+J9+J10+J11+J12+J15+J16+J17+J18+J19)/10</f>
        <v>942.3145</v>
      </c>
      <c r="K22" s="133" t="n">
        <f aca="false">(K8+K9+K10+K11+K12+K15+K16+K17+K18+K19)/10</f>
        <v>1117.9693</v>
      </c>
      <c r="L22" s="133" t="n">
        <f aca="false">(L8+L9+L10+L11+L12+L15+L16+L17+L18+L19)/10</f>
        <v>16.7894</v>
      </c>
    </row>
    <row r="23" customFormat="false" ht="16.5" hidden="false" customHeight="false" outlineLevel="0" collapsed="false">
      <c r="A23" s="117"/>
      <c r="B23" s="134" t="s">
        <v>179</v>
      </c>
      <c r="C23" s="135" t="n">
        <f aca="false">C22/C7-1</f>
        <v>0.325697777777778</v>
      </c>
      <c r="D23" s="135" t="n">
        <f aca="false">D22/D7-1</f>
        <v>0.861590316205534</v>
      </c>
      <c r="E23" s="135" t="n">
        <f aca="false">E22/E7-1</f>
        <v>0.0377600854295206</v>
      </c>
      <c r="F23" s="135" t="n">
        <f aca="false">F22/F7-1</f>
        <v>0.276716243315508</v>
      </c>
      <c r="G23" s="136" t="n">
        <f aca="false">G22/G7-1</f>
        <v>-0.40699797979798</v>
      </c>
      <c r="H23" s="135" t="n">
        <f aca="false">H22/H7-1</f>
        <v>0.974625</v>
      </c>
      <c r="I23" s="135" t="n">
        <f aca="false">I22/I7-1</f>
        <v>0.0868519480519481</v>
      </c>
      <c r="J23" s="135" t="n">
        <f aca="false">J22/J7-1</f>
        <v>0.427749242424242</v>
      </c>
      <c r="K23" s="135" t="n">
        <f aca="false">K22/K7-1</f>
        <v>0.693892878787879</v>
      </c>
      <c r="L23" s="135" t="n">
        <f aca="false">L22/L7-1</f>
        <v>0.69589898989899</v>
      </c>
    </row>
    <row r="24" customFormat="false" ht="15" hidden="false" customHeight="false" outlineLevel="0" collapsed="false">
      <c r="A24" s="117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</row>
    <row r="25" customFormat="false" ht="15" hidden="false" customHeight="false" outlineLevel="0" collapsed="false">
      <c r="A25" s="117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</row>
    <row r="26" customFormat="false" ht="15" hidden="false" customHeight="false" outlineLevel="0" collapsed="false">
      <c r="A26" s="117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</row>
    <row r="27" customFormat="false" ht="15" hidden="false" customHeight="false" outlineLevel="0" collapsed="false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  <row r="28" customFormat="false" ht="1.5" hidden="false" customHeight="true" outlineLevel="0" collapsed="false">
      <c r="A28" s="117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</row>
    <row r="29" customFormat="false" ht="15" hidden="true" customHeight="false" outlineLevel="0" collapsed="false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customFormat="false" ht="24.75" hidden="false" customHeight="true" outlineLevel="0" collapsed="false">
      <c r="A30" s="137" t="s">
        <v>180</v>
      </c>
      <c r="B30" s="138" t="s">
        <v>181</v>
      </c>
      <c r="C30" s="139" t="s">
        <v>182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40" t="s">
        <v>178</v>
      </c>
      <c r="N30" s="141" t="s">
        <v>183</v>
      </c>
      <c r="O30" s="142" t="s">
        <v>184</v>
      </c>
    </row>
    <row r="31" customFormat="false" ht="45" hidden="false" customHeight="true" outlineLevel="0" collapsed="false">
      <c r="A31" s="137"/>
      <c r="B31" s="138"/>
      <c r="C31" s="143" t="n">
        <v>1</v>
      </c>
      <c r="D31" s="137" t="n">
        <v>2</v>
      </c>
      <c r="E31" s="137" t="n">
        <v>3</v>
      </c>
      <c r="F31" s="137" t="n">
        <v>4</v>
      </c>
      <c r="G31" s="137" t="n">
        <v>5</v>
      </c>
      <c r="H31" s="137" t="n">
        <v>6</v>
      </c>
      <c r="I31" s="137" t="n">
        <v>7</v>
      </c>
      <c r="J31" s="137" t="n">
        <v>8</v>
      </c>
      <c r="K31" s="137" t="n">
        <v>9</v>
      </c>
      <c r="L31" s="144" t="n">
        <v>10</v>
      </c>
      <c r="M31" s="140"/>
      <c r="N31" s="141"/>
      <c r="O31" s="142"/>
    </row>
    <row r="32" customFormat="false" ht="15" hidden="false" customHeight="true" outlineLevel="0" collapsed="false">
      <c r="A32" s="137" t="n">
        <v>1</v>
      </c>
      <c r="B32" s="145" t="s">
        <v>185</v>
      </c>
      <c r="C32" s="146"/>
      <c r="D32" s="147"/>
      <c r="E32" s="147"/>
      <c r="F32" s="147"/>
      <c r="G32" s="147"/>
      <c r="H32" s="147"/>
      <c r="I32" s="147"/>
      <c r="J32" s="147"/>
      <c r="K32" s="147"/>
      <c r="L32" s="148"/>
      <c r="M32" s="149" t="n">
        <f aca="false">SUM(C32:L32)/10</f>
        <v>0</v>
      </c>
      <c r="N32" s="150"/>
      <c r="O32" s="151" t="e">
        <f aca="false">(M32/N32-1)*100</f>
        <v>#DIV/0!</v>
      </c>
    </row>
    <row r="33" customFormat="false" ht="15" hidden="false" customHeight="true" outlineLevel="0" collapsed="false">
      <c r="A33" s="137" t="n">
        <v>2</v>
      </c>
      <c r="B33" s="145" t="s">
        <v>186</v>
      </c>
      <c r="C33" s="146"/>
      <c r="D33" s="147"/>
      <c r="E33" s="147"/>
      <c r="F33" s="147"/>
      <c r="G33" s="147"/>
      <c r="H33" s="147"/>
      <c r="I33" s="147"/>
      <c r="J33" s="147"/>
      <c r="K33" s="147"/>
      <c r="L33" s="148"/>
      <c r="M33" s="149" t="n">
        <f aca="false">SUM(C33:L33)/10</f>
        <v>0</v>
      </c>
      <c r="N33" s="150"/>
      <c r="O33" s="151" t="e">
        <f aca="false">(M33/N33-1)*100</f>
        <v>#DIV/0!</v>
      </c>
    </row>
    <row r="34" customFormat="false" ht="15" hidden="false" customHeight="true" outlineLevel="0" collapsed="false">
      <c r="A34" s="137" t="n">
        <v>3</v>
      </c>
      <c r="B34" s="145" t="s">
        <v>187</v>
      </c>
      <c r="C34" s="146"/>
      <c r="D34" s="147"/>
      <c r="E34" s="147"/>
      <c r="F34" s="147"/>
      <c r="G34" s="147"/>
      <c r="H34" s="147"/>
      <c r="I34" s="147"/>
      <c r="J34" s="147"/>
      <c r="K34" s="147"/>
      <c r="L34" s="148"/>
      <c r="M34" s="149" t="n">
        <f aca="false">SUM(C34:L34)/10</f>
        <v>0</v>
      </c>
      <c r="N34" s="150"/>
      <c r="O34" s="151" t="e">
        <f aca="false">(M34/N34-1)*100</f>
        <v>#DIV/0!</v>
      </c>
    </row>
    <row r="35" customFormat="false" ht="15" hidden="false" customHeight="true" outlineLevel="0" collapsed="false">
      <c r="A35" s="137" t="n">
        <v>4</v>
      </c>
      <c r="B35" s="145" t="s">
        <v>110</v>
      </c>
      <c r="C35" s="146"/>
      <c r="D35" s="147"/>
      <c r="E35" s="147"/>
      <c r="F35" s="147"/>
      <c r="G35" s="147"/>
      <c r="H35" s="147"/>
      <c r="I35" s="147"/>
      <c r="J35" s="147"/>
      <c r="K35" s="147"/>
      <c r="L35" s="148"/>
      <c r="M35" s="149" t="n">
        <f aca="false">SUM(C35:L35)/10</f>
        <v>0</v>
      </c>
      <c r="N35" s="150"/>
      <c r="O35" s="151" t="e">
        <f aca="false">(M35/N35-1)*100</f>
        <v>#DIV/0!</v>
      </c>
    </row>
    <row r="36" customFormat="false" ht="15" hidden="false" customHeight="true" outlineLevel="0" collapsed="false">
      <c r="A36" s="137" t="n">
        <v>5</v>
      </c>
      <c r="B36" s="145" t="s">
        <v>111</v>
      </c>
      <c r="C36" s="146"/>
      <c r="D36" s="147"/>
      <c r="E36" s="147"/>
      <c r="F36" s="147"/>
      <c r="G36" s="147"/>
      <c r="H36" s="147"/>
      <c r="I36" s="147"/>
      <c r="J36" s="147"/>
      <c r="K36" s="147"/>
      <c r="L36" s="148"/>
      <c r="M36" s="149" t="n">
        <f aca="false">SUM(C36:L36)/10</f>
        <v>0</v>
      </c>
      <c r="N36" s="150"/>
      <c r="O36" s="151" t="e">
        <f aca="false">(M36/N36-1)*100</f>
        <v>#DIV/0!</v>
      </c>
    </row>
    <row r="37" customFormat="false" ht="15" hidden="false" customHeight="true" outlineLevel="0" collapsed="false">
      <c r="A37" s="137" t="n">
        <v>6</v>
      </c>
      <c r="B37" s="145" t="s">
        <v>112</v>
      </c>
      <c r="C37" s="146"/>
      <c r="D37" s="147"/>
      <c r="E37" s="147"/>
      <c r="F37" s="147"/>
      <c r="G37" s="147"/>
      <c r="H37" s="147"/>
      <c r="I37" s="147"/>
      <c r="J37" s="147"/>
      <c r="K37" s="147"/>
      <c r="L37" s="148"/>
      <c r="M37" s="149" t="n">
        <f aca="false">SUM(C37:L37)/10</f>
        <v>0</v>
      </c>
      <c r="N37" s="150"/>
      <c r="O37" s="151" t="e">
        <f aca="false">(M37/N37-1)*100</f>
        <v>#DIV/0!</v>
      </c>
    </row>
    <row r="38" customFormat="false" ht="15" hidden="false" customHeight="true" outlineLevel="0" collapsed="false">
      <c r="A38" s="137" t="n">
        <v>7</v>
      </c>
      <c r="B38" s="145" t="s">
        <v>113</v>
      </c>
      <c r="C38" s="146"/>
      <c r="D38" s="147"/>
      <c r="E38" s="147"/>
      <c r="F38" s="147"/>
      <c r="G38" s="147"/>
      <c r="H38" s="147"/>
      <c r="I38" s="147"/>
      <c r="J38" s="147"/>
      <c r="K38" s="147"/>
      <c r="L38" s="148"/>
      <c r="M38" s="149" t="n">
        <f aca="false">SUM(C38:L38)/10</f>
        <v>0</v>
      </c>
      <c r="N38" s="150"/>
      <c r="O38" s="151"/>
    </row>
    <row r="39" customFormat="false" ht="15" hidden="false" customHeight="true" outlineLevel="0" collapsed="false">
      <c r="A39" s="137" t="n">
        <v>8</v>
      </c>
      <c r="B39" s="145" t="s">
        <v>188</v>
      </c>
      <c r="C39" s="146"/>
      <c r="D39" s="147"/>
      <c r="E39" s="147"/>
      <c r="F39" s="147"/>
      <c r="G39" s="147"/>
      <c r="H39" s="147"/>
      <c r="I39" s="147"/>
      <c r="J39" s="147"/>
      <c r="K39" s="147"/>
      <c r="L39" s="148"/>
      <c r="M39" s="149" t="n">
        <f aca="false">SUM(C39:L39)/10</f>
        <v>0</v>
      </c>
      <c r="N39" s="150"/>
      <c r="O39" s="151" t="e">
        <f aca="false">(M39/N39-1)*100</f>
        <v>#DIV/0!</v>
      </c>
    </row>
    <row r="40" customFormat="false" ht="15" hidden="false" customHeight="true" outlineLevel="0" collapsed="false">
      <c r="A40" s="137" t="n">
        <v>9</v>
      </c>
      <c r="B40" s="145" t="s">
        <v>115</v>
      </c>
      <c r="C40" s="146"/>
      <c r="D40" s="147"/>
      <c r="E40" s="147"/>
      <c r="F40" s="147"/>
      <c r="G40" s="147"/>
      <c r="H40" s="147"/>
      <c r="I40" s="147"/>
      <c r="J40" s="147"/>
      <c r="K40" s="147"/>
      <c r="L40" s="148"/>
      <c r="M40" s="149" t="n">
        <f aca="false">SUM(C40:L40)/10</f>
        <v>0</v>
      </c>
      <c r="N40" s="150"/>
      <c r="O40" s="151" t="e">
        <f aca="false">(M40/N40-1)*100</f>
        <v>#DIV/0!</v>
      </c>
    </row>
    <row r="41" customFormat="false" ht="15" hidden="false" customHeight="true" outlineLevel="0" collapsed="false">
      <c r="A41" s="137" t="n">
        <v>10</v>
      </c>
      <c r="B41" s="145" t="s">
        <v>116</v>
      </c>
      <c r="C41" s="146"/>
      <c r="D41" s="147"/>
      <c r="E41" s="147"/>
      <c r="F41" s="147"/>
      <c r="G41" s="147"/>
      <c r="H41" s="147"/>
      <c r="I41" s="147"/>
      <c r="J41" s="147"/>
      <c r="K41" s="147"/>
      <c r="L41" s="148"/>
      <c r="M41" s="149" t="n">
        <f aca="false">SUM(C41:L41)/10</f>
        <v>0</v>
      </c>
      <c r="N41" s="150"/>
      <c r="O41" s="151" t="e">
        <f aca="false">(M41/N41-1)*100</f>
        <v>#DIV/0!</v>
      </c>
    </row>
    <row r="42" customFormat="false" ht="15" hidden="false" customHeight="true" outlineLevel="0" collapsed="false">
      <c r="A42" s="137" t="n">
        <v>11</v>
      </c>
      <c r="B42" s="145" t="s">
        <v>117</v>
      </c>
      <c r="C42" s="146"/>
      <c r="D42" s="147"/>
      <c r="E42" s="147"/>
      <c r="F42" s="147"/>
      <c r="G42" s="147"/>
      <c r="H42" s="147"/>
      <c r="I42" s="147"/>
      <c r="J42" s="147"/>
      <c r="K42" s="147"/>
      <c r="L42" s="148"/>
      <c r="M42" s="149" t="n">
        <f aca="false">SUM(C42:L42)/10</f>
        <v>0</v>
      </c>
      <c r="N42" s="150"/>
      <c r="O42" s="151" t="e">
        <f aca="false">(M42/N42-1)*100</f>
        <v>#DIV/0!</v>
      </c>
    </row>
    <row r="43" customFormat="false" ht="15" hidden="false" customHeight="true" outlineLevel="0" collapsed="false">
      <c r="A43" s="137" t="n">
        <v>12</v>
      </c>
      <c r="B43" s="145" t="s">
        <v>118</v>
      </c>
      <c r="C43" s="146"/>
      <c r="D43" s="147"/>
      <c r="E43" s="147"/>
      <c r="F43" s="147"/>
      <c r="G43" s="147"/>
      <c r="H43" s="147"/>
      <c r="I43" s="147"/>
      <c r="J43" s="147"/>
      <c r="K43" s="147"/>
      <c r="L43" s="148"/>
      <c r="M43" s="149" t="n">
        <f aca="false">SUM(C43:L43)/10</f>
        <v>0</v>
      </c>
      <c r="N43" s="150"/>
      <c r="O43" s="151" t="e">
        <f aca="false">(M43/N43-1)*100</f>
        <v>#DIV/0!</v>
      </c>
    </row>
    <row r="44" customFormat="false" ht="15" hidden="false" customHeight="true" outlineLevel="0" collapsed="false">
      <c r="A44" s="137" t="n">
        <v>13</v>
      </c>
      <c r="B44" s="145" t="s">
        <v>119</v>
      </c>
      <c r="C44" s="146"/>
      <c r="D44" s="147"/>
      <c r="E44" s="147"/>
      <c r="F44" s="147"/>
      <c r="G44" s="147"/>
      <c r="H44" s="147"/>
      <c r="I44" s="147"/>
      <c r="J44" s="147"/>
      <c r="K44" s="147"/>
      <c r="L44" s="148"/>
      <c r="M44" s="149" t="n">
        <f aca="false">SUM(C44:L44)/10</f>
        <v>0</v>
      </c>
      <c r="N44" s="150"/>
      <c r="O44" s="151" t="e">
        <f aca="false">(M44/N44-1)*100</f>
        <v>#DIV/0!</v>
      </c>
    </row>
    <row r="45" customFormat="false" ht="15" hidden="false" customHeight="true" outlineLevel="0" collapsed="false">
      <c r="A45" s="137" t="n">
        <v>14</v>
      </c>
      <c r="B45" s="145" t="s">
        <v>120</v>
      </c>
      <c r="C45" s="146"/>
      <c r="D45" s="147"/>
      <c r="E45" s="147"/>
      <c r="F45" s="147"/>
      <c r="G45" s="147"/>
      <c r="H45" s="147"/>
      <c r="I45" s="147"/>
      <c r="J45" s="147"/>
      <c r="K45" s="147"/>
      <c r="L45" s="148"/>
      <c r="M45" s="149" t="n">
        <f aca="false">SUM(C45:L45)/10</f>
        <v>0</v>
      </c>
      <c r="N45" s="150"/>
      <c r="O45" s="151" t="e">
        <f aca="false">(M45/N45-1)*100</f>
        <v>#DIV/0!</v>
      </c>
    </row>
    <row r="46" customFormat="false" ht="15" hidden="false" customHeight="true" outlineLevel="0" collapsed="false">
      <c r="A46" s="137" t="n">
        <v>15</v>
      </c>
      <c r="B46" s="145" t="s">
        <v>121</v>
      </c>
      <c r="C46" s="146"/>
      <c r="D46" s="147"/>
      <c r="E46" s="147"/>
      <c r="F46" s="147"/>
      <c r="G46" s="147"/>
      <c r="H46" s="147"/>
      <c r="I46" s="147"/>
      <c r="J46" s="147"/>
      <c r="K46" s="147"/>
      <c r="L46" s="148"/>
      <c r="M46" s="149" t="n">
        <f aca="false">SUM(C46:L46)/10</f>
        <v>0</v>
      </c>
      <c r="N46" s="150"/>
      <c r="O46" s="151" t="e">
        <f aca="false">(M46/N46-1)*100</f>
        <v>#DIV/0!</v>
      </c>
    </row>
    <row r="47" customFormat="false" ht="15" hidden="false" customHeight="true" outlineLevel="0" collapsed="false">
      <c r="A47" s="137" t="n">
        <v>16</v>
      </c>
      <c r="B47" s="145" t="s">
        <v>189</v>
      </c>
      <c r="C47" s="146"/>
      <c r="D47" s="147"/>
      <c r="E47" s="147"/>
      <c r="F47" s="147"/>
      <c r="G47" s="147"/>
      <c r="H47" s="147"/>
      <c r="I47" s="147"/>
      <c r="J47" s="147"/>
      <c r="K47" s="147"/>
      <c r="L47" s="148"/>
      <c r="M47" s="149" t="n">
        <f aca="false">SUM(C47:L47)/10</f>
        <v>0</v>
      </c>
      <c r="N47" s="150"/>
      <c r="O47" s="151" t="e">
        <f aca="false">(M47/N47-1)*100</f>
        <v>#DIV/0!</v>
      </c>
    </row>
    <row r="48" customFormat="false" ht="15" hidden="false" customHeight="true" outlineLevel="0" collapsed="false">
      <c r="A48" s="137" t="n">
        <v>17</v>
      </c>
      <c r="B48" s="145" t="s">
        <v>123</v>
      </c>
      <c r="C48" s="146"/>
      <c r="D48" s="147"/>
      <c r="E48" s="147"/>
      <c r="F48" s="147"/>
      <c r="G48" s="147"/>
      <c r="H48" s="147"/>
      <c r="I48" s="147"/>
      <c r="J48" s="147"/>
      <c r="K48" s="147"/>
      <c r="L48" s="148"/>
      <c r="M48" s="149" t="n">
        <f aca="false">SUM(C48:L48)/10</f>
        <v>0</v>
      </c>
      <c r="N48" s="150"/>
      <c r="O48" s="151" t="e">
        <f aca="false">(M48/N48-1)*100</f>
        <v>#DIV/0!</v>
      </c>
    </row>
    <row r="49" customFormat="false" ht="15" hidden="false" customHeight="true" outlineLevel="0" collapsed="false">
      <c r="A49" s="137" t="n">
        <v>18</v>
      </c>
      <c r="B49" s="145" t="s">
        <v>124</v>
      </c>
      <c r="C49" s="146"/>
      <c r="D49" s="147"/>
      <c r="E49" s="147"/>
      <c r="F49" s="147"/>
      <c r="G49" s="147"/>
      <c r="H49" s="147"/>
      <c r="I49" s="147"/>
      <c r="J49" s="147"/>
      <c r="K49" s="147"/>
      <c r="L49" s="148"/>
      <c r="M49" s="149" t="n">
        <f aca="false">SUM(C49:L49)/10</f>
        <v>0</v>
      </c>
      <c r="N49" s="150"/>
      <c r="O49" s="151" t="e">
        <f aca="false">(M49/N49-1)*100</f>
        <v>#DIV/0!</v>
      </c>
    </row>
    <row r="50" customFormat="false" ht="15" hidden="false" customHeight="true" outlineLevel="0" collapsed="false">
      <c r="A50" s="137" t="n">
        <v>19</v>
      </c>
      <c r="B50" s="145" t="s">
        <v>125</v>
      </c>
      <c r="C50" s="146"/>
      <c r="D50" s="147"/>
      <c r="E50" s="147"/>
      <c r="F50" s="147"/>
      <c r="G50" s="147"/>
      <c r="H50" s="147"/>
      <c r="I50" s="147"/>
      <c r="J50" s="147"/>
      <c r="K50" s="147"/>
      <c r="L50" s="148"/>
      <c r="M50" s="149" t="n">
        <f aca="false">SUM(C50:L50)/10</f>
        <v>0</v>
      </c>
      <c r="N50" s="150"/>
      <c r="O50" s="151" t="e">
        <f aca="false">(M50/N50-1)*100</f>
        <v>#DIV/0!</v>
      </c>
    </row>
    <row r="51" customFormat="false" ht="15" hidden="false" customHeight="true" outlineLevel="0" collapsed="false">
      <c r="A51" s="137" t="n">
        <v>20</v>
      </c>
      <c r="B51" s="145" t="s">
        <v>126</v>
      </c>
      <c r="C51" s="146"/>
      <c r="D51" s="147"/>
      <c r="E51" s="147"/>
      <c r="F51" s="147"/>
      <c r="G51" s="147"/>
      <c r="H51" s="147"/>
      <c r="I51" s="147"/>
      <c r="J51" s="147"/>
      <c r="K51" s="147"/>
      <c r="L51" s="148"/>
      <c r="M51" s="149" t="n">
        <f aca="false">SUM(C51:L51)/10</f>
        <v>0</v>
      </c>
      <c r="N51" s="150"/>
      <c r="O51" s="151" t="e">
        <f aca="false">(M51/N51-1)*100</f>
        <v>#DIV/0!</v>
      </c>
    </row>
    <row r="52" customFormat="false" ht="15" hidden="false" customHeight="true" outlineLevel="0" collapsed="false">
      <c r="A52" s="137" t="n">
        <v>21</v>
      </c>
      <c r="B52" s="145" t="s">
        <v>127</v>
      </c>
      <c r="C52" s="146"/>
      <c r="D52" s="147"/>
      <c r="E52" s="147"/>
      <c r="F52" s="147"/>
      <c r="G52" s="147"/>
      <c r="H52" s="147"/>
      <c r="I52" s="147"/>
      <c r="J52" s="147"/>
      <c r="K52" s="147"/>
      <c r="L52" s="148"/>
      <c r="M52" s="149" t="n">
        <f aca="false">SUM(C52:L52)/10</f>
        <v>0</v>
      </c>
      <c r="N52" s="150"/>
      <c r="O52" s="151" t="e">
        <f aca="false">(M52/N52-1)*100</f>
        <v>#DIV/0!</v>
      </c>
    </row>
    <row r="53" customFormat="false" ht="15" hidden="false" customHeight="true" outlineLevel="0" collapsed="false">
      <c r="A53" s="137" t="n">
        <v>22</v>
      </c>
      <c r="B53" s="145" t="s">
        <v>128</v>
      </c>
      <c r="C53" s="146"/>
      <c r="D53" s="147"/>
      <c r="E53" s="147"/>
      <c r="F53" s="147"/>
      <c r="G53" s="147"/>
      <c r="H53" s="147"/>
      <c r="I53" s="147"/>
      <c r="J53" s="147"/>
      <c r="K53" s="147"/>
      <c r="L53" s="148"/>
      <c r="M53" s="149" t="n">
        <f aca="false">SUM(C53:L53)/10</f>
        <v>0</v>
      </c>
      <c r="N53" s="150"/>
      <c r="O53" s="151" t="e">
        <f aca="false">(M53/N53-1)*100</f>
        <v>#DIV/0!</v>
      </c>
    </row>
    <row r="54" customFormat="false" ht="15" hidden="false" customHeight="true" outlineLevel="0" collapsed="false">
      <c r="A54" s="137" t="n">
        <v>23</v>
      </c>
      <c r="B54" s="145" t="s">
        <v>129</v>
      </c>
      <c r="C54" s="146"/>
      <c r="D54" s="147"/>
      <c r="E54" s="147"/>
      <c r="F54" s="147"/>
      <c r="G54" s="147"/>
      <c r="H54" s="147"/>
      <c r="I54" s="147"/>
      <c r="J54" s="147"/>
      <c r="K54" s="147"/>
      <c r="L54" s="148"/>
      <c r="M54" s="149" t="n">
        <f aca="false">SUM(C54:L54)/10</f>
        <v>0</v>
      </c>
      <c r="N54" s="150"/>
      <c r="O54" s="151" t="e">
        <f aca="false">(M54/N54-1)*100</f>
        <v>#DIV/0!</v>
      </c>
    </row>
    <row r="55" customFormat="false" ht="15" hidden="false" customHeight="true" outlineLevel="0" collapsed="false">
      <c r="A55" s="137" t="n">
        <v>24</v>
      </c>
      <c r="B55" s="145" t="s">
        <v>130</v>
      </c>
      <c r="C55" s="146"/>
      <c r="D55" s="147"/>
      <c r="E55" s="147"/>
      <c r="F55" s="147"/>
      <c r="G55" s="147"/>
      <c r="H55" s="147"/>
      <c r="I55" s="147"/>
      <c r="J55" s="147"/>
      <c r="K55" s="147"/>
      <c r="L55" s="148"/>
      <c r="M55" s="149" t="n">
        <f aca="false">SUM(C55:L55)/10</f>
        <v>0</v>
      </c>
      <c r="N55" s="150"/>
      <c r="O55" s="151" t="e">
        <f aca="false">(M55/N55-1)*100</f>
        <v>#DIV/0!</v>
      </c>
    </row>
    <row r="56" customFormat="false" ht="15" hidden="false" customHeight="true" outlineLevel="0" collapsed="false">
      <c r="A56" s="137" t="n">
        <v>25</v>
      </c>
      <c r="B56" s="145" t="s">
        <v>131</v>
      </c>
      <c r="C56" s="146"/>
      <c r="D56" s="147"/>
      <c r="E56" s="147"/>
      <c r="F56" s="147"/>
      <c r="G56" s="147"/>
      <c r="H56" s="147"/>
      <c r="I56" s="147"/>
      <c r="J56" s="147"/>
      <c r="K56" s="147"/>
      <c r="L56" s="148"/>
      <c r="M56" s="149" t="n">
        <f aca="false">SUM(C56:L56)/10</f>
        <v>0</v>
      </c>
      <c r="N56" s="150"/>
      <c r="O56" s="151" t="e">
        <f aca="false">(M56/N56-1)*100</f>
        <v>#DIV/0!</v>
      </c>
    </row>
    <row r="57" customFormat="false" ht="15" hidden="false" customHeight="true" outlineLevel="0" collapsed="false">
      <c r="A57" s="137" t="n">
        <v>26</v>
      </c>
      <c r="B57" s="145" t="s">
        <v>132</v>
      </c>
      <c r="C57" s="146"/>
      <c r="D57" s="147"/>
      <c r="E57" s="147"/>
      <c r="F57" s="147"/>
      <c r="G57" s="147"/>
      <c r="H57" s="147"/>
      <c r="I57" s="147"/>
      <c r="J57" s="147"/>
      <c r="K57" s="147"/>
      <c r="L57" s="148"/>
      <c r="M57" s="149" t="n">
        <f aca="false">SUM(C57:L57)/10</f>
        <v>0</v>
      </c>
      <c r="N57" s="150"/>
      <c r="O57" s="151" t="e">
        <f aca="false">(M57/N57-1)*100</f>
        <v>#DIV/0!</v>
      </c>
    </row>
    <row r="58" customFormat="false" ht="15" hidden="false" customHeight="true" outlineLevel="0" collapsed="false">
      <c r="A58" s="137" t="n">
        <v>27</v>
      </c>
      <c r="B58" s="145" t="s">
        <v>133</v>
      </c>
      <c r="C58" s="146"/>
      <c r="D58" s="147"/>
      <c r="E58" s="147"/>
      <c r="F58" s="147"/>
      <c r="G58" s="147"/>
      <c r="H58" s="147"/>
      <c r="I58" s="147"/>
      <c r="J58" s="147"/>
      <c r="K58" s="147"/>
      <c r="L58" s="148"/>
      <c r="M58" s="149" t="n">
        <f aca="false">SUM(C58:L58)/10</f>
        <v>0</v>
      </c>
      <c r="N58" s="150"/>
      <c r="O58" s="151" t="e">
        <f aca="false">(M58/N58-1)*100</f>
        <v>#DIV/0!</v>
      </c>
    </row>
    <row r="59" customFormat="false" ht="15" hidden="false" customHeight="true" outlineLevel="0" collapsed="false">
      <c r="A59" s="137" t="n">
        <v>28</v>
      </c>
      <c r="B59" s="145" t="s">
        <v>134</v>
      </c>
      <c r="C59" s="146"/>
      <c r="D59" s="147"/>
      <c r="E59" s="147"/>
      <c r="F59" s="147"/>
      <c r="G59" s="147"/>
      <c r="H59" s="147"/>
      <c r="I59" s="147"/>
      <c r="J59" s="147"/>
      <c r="K59" s="147"/>
      <c r="L59" s="148"/>
      <c r="M59" s="149" t="n">
        <f aca="false">SUM(C59:L59)/10</f>
        <v>0</v>
      </c>
      <c r="N59" s="150"/>
      <c r="O59" s="151" t="e">
        <f aca="false">(M59/N59-1)*100</f>
        <v>#DIV/0!</v>
      </c>
    </row>
    <row r="60" customFormat="false" ht="15" hidden="false" customHeight="true" outlineLevel="0" collapsed="false">
      <c r="A60" s="137" t="n">
        <v>29</v>
      </c>
      <c r="B60" s="145" t="s">
        <v>26</v>
      </c>
      <c r="C60" s="146"/>
      <c r="D60" s="147"/>
      <c r="E60" s="147"/>
      <c r="F60" s="147"/>
      <c r="G60" s="147"/>
      <c r="H60" s="147"/>
      <c r="I60" s="147"/>
      <c r="J60" s="147"/>
      <c r="K60" s="147"/>
      <c r="L60" s="148"/>
      <c r="M60" s="149" t="n">
        <f aca="false">SUM(C60:L60)/10</f>
        <v>0</v>
      </c>
      <c r="N60" s="150"/>
      <c r="O60" s="151" t="e">
        <f aca="false">(M60/N60-1)*100</f>
        <v>#DIV/0!</v>
      </c>
    </row>
    <row r="61" customFormat="false" ht="15" hidden="false" customHeight="true" outlineLevel="0" collapsed="false">
      <c r="A61" s="137" t="n">
        <v>30</v>
      </c>
      <c r="B61" s="145" t="s">
        <v>135</v>
      </c>
      <c r="C61" s="146"/>
      <c r="D61" s="147"/>
      <c r="E61" s="147"/>
      <c r="F61" s="147"/>
      <c r="G61" s="147"/>
      <c r="H61" s="147"/>
      <c r="I61" s="147"/>
      <c r="J61" s="147"/>
      <c r="K61" s="147"/>
      <c r="L61" s="148"/>
      <c r="M61" s="152" t="n">
        <f aca="false">SUM(C61:L61)/10</f>
        <v>0</v>
      </c>
      <c r="N61" s="150"/>
      <c r="O61" s="151" t="e">
        <f aca="false">(M61/N61-1)*100</f>
        <v>#DIV/0!</v>
      </c>
    </row>
    <row r="62" customFormat="false" ht="15" hidden="false" customHeight="true" outlineLevel="0" collapsed="false">
      <c r="A62" s="137" t="n">
        <v>31</v>
      </c>
      <c r="B62" s="145" t="s">
        <v>190</v>
      </c>
      <c r="C62" s="153"/>
      <c r="D62" s="154"/>
      <c r="E62" s="154"/>
      <c r="F62" s="154"/>
      <c r="G62" s="154"/>
      <c r="H62" s="154"/>
      <c r="I62" s="154"/>
      <c r="J62" s="154"/>
      <c r="K62" s="154"/>
      <c r="L62" s="155"/>
      <c r="M62" s="152" t="n">
        <f aca="false">SUM(C62:L62)/10</f>
        <v>0</v>
      </c>
      <c r="N62" s="150"/>
      <c r="O62" s="156" t="e">
        <f aca="false">(M62/N62-1)*100</f>
        <v>#DIV/0!</v>
      </c>
    </row>
    <row r="65" customFormat="false" ht="15" hidden="false" customHeight="false" outlineLevel="0" collapsed="false">
      <c r="C65" s="157"/>
    </row>
  </sheetData>
  <mergeCells count="13">
    <mergeCell ref="A1:L1"/>
    <mergeCell ref="A2:L2"/>
    <mergeCell ref="B5:B6"/>
    <mergeCell ref="C5:E5"/>
    <mergeCell ref="F5:F6"/>
    <mergeCell ref="G5:I5"/>
    <mergeCell ref="J5:L5"/>
    <mergeCell ref="A30:A31"/>
    <mergeCell ref="B30:B31"/>
    <mergeCell ref="C30:L30"/>
    <mergeCell ref="M30:M31"/>
    <mergeCell ref="N30:N31"/>
    <mergeCell ref="O30:O31"/>
  </mergeCells>
  <printOptions headings="false" gridLines="false" gridLinesSet="true" horizontalCentered="false" verticalCentered="false"/>
  <pageMargins left="0" right="0" top="0.551388888888889" bottom="0.551388888888889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2026-10-23T21:16:07Z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