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350" windowHeight="6920"/>
  </bookViews>
  <sheets>
    <sheet name="Цикличное меню 7-11 лет" sheetId="10" r:id="rId1"/>
    <sheet name="Распределение по нормам" sheetId="12" r:id="rId2"/>
    <sheet name="Ведомость 7-11 лет" sheetId="11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2" i="11" l="1"/>
  <c r="M62" i="11"/>
  <c r="O61" i="11"/>
  <c r="M61" i="11"/>
  <c r="O60" i="11"/>
  <c r="M60" i="11"/>
  <c r="O59" i="11"/>
  <c r="M59" i="11"/>
  <c r="O58" i="11"/>
  <c r="M58" i="11"/>
  <c r="O57" i="11"/>
  <c r="M57" i="11"/>
  <c r="O56" i="11"/>
  <c r="M56" i="11"/>
  <c r="O55" i="11"/>
  <c r="M55" i="11"/>
  <c r="O54" i="11"/>
  <c r="M54" i="11"/>
  <c r="O53" i="11"/>
  <c r="M53" i="11"/>
  <c r="O52" i="11"/>
  <c r="M52" i="11"/>
  <c r="O51" i="11"/>
  <c r="M51" i="11"/>
  <c r="O50" i="11"/>
  <c r="M50" i="11"/>
  <c r="O49" i="11"/>
  <c r="M49" i="11"/>
  <c r="O48" i="11"/>
  <c r="M48" i="11"/>
  <c r="O47" i="11"/>
  <c r="M47" i="11"/>
  <c r="O46" i="11"/>
  <c r="M46" i="11"/>
  <c r="O45" i="11"/>
  <c r="M45" i="11"/>
  <c r="O44" i="11"/>
  <c r="M44" i="11"/>
  <c r="O43" i="11"/>
  <c r="M43" i="11"/>
  <c r="O42" i="11"/>
  <c r="M42" i="11"/>
  <c r="O41" i="11"/>
  <c r="M41" i="11"/>
  <c r="O40" i="11"/>
  <c r="M40" i="11"/>
  <c r="O39" i="11"/>
  <c r="M39" i="11"/>
  <c r="O38" i="11"/>
  <c r="M38" i="11"/>
  <c r="O37" i="11"/>
  <c r="M37" i="11"/>
  <c r="O36" i="11"/>
  <c r="M36" i="11"/>
  <c r="O35" i="11"/>
  <c r="M35" i="11"/>
  <c r="O34" i="11"/>
  <c r="M34" i="11"/>
  <c r="O33" i="11"/>
  <c r="M33" i="11"/>
  <c r="O32" i="11"/>
  <c r="M32" i="11"/>
  <c r="L23" i="11"/>
  <c r="K23" i="11"/>
  <c r="J23" i="11"/>
  <c r="I23" i="11"/>
  <c r="H23" i="11"/>
  <c r="G23" i="11"/>
  <c r="F23" i="11"/>
  <c r="E23" i="11"/>
  <c r="D23" i="11"/>
  <c r="C23" i="11"/>
  <c r="L22" i="11"/>
  <c r="K22" i="11"/>
  <c r="J22" i="11"/>
  <c r="I22" i="11"/>
  <c r="H22" i="11"/>
  <c r="G22" i="11"/>
  <c r="F22" i="11"/>
  <c r="E22" i="11"/>
  <c r="D22" i="11"/>
  <c r="C22" i="11"/>
  <c r="L21" i="11"/>
  <c r="K21" i="11"/>
  <c r="J21" i="11"/>
  <c r="I21" i="11"/>
  <c r="H21" i="11"/>
  <c r="G21" i="11"/>
  <c r="F21" i="11"/>
  <c r="E21" i="11"/>
  <c r="D21" i="11"/>
  <c r="C21" i="11"/>
  <c r="L20" i="11"/>
  <c r="K20" i="11"/>
  <c r="J20" i="11"/>
  <c r="I20" i="11"/>
  <c r="H20" i="11"/>
  <c r="G20" i="11"/>
  <c r="F20" i="11"/>
  <c r="E20" i="11"/>
  <c r="D20" i="11"/>
  <c r="C20" i="11"/>
  <c r="L19" i="11"/>
  <c r="K19" i="11"/>
  <c r="J19" i="11"/>
  <c r="I19" i="11"/>
  <c r="H19" i="11"/>
  <c r="G19" i="11"/>
  <c r="F19" i="11"/>
  <c r="E19" i="11"/>
  <c r="D19" i="11"/>
  <c r="C19" i="11"/>
  <c r="L18" i="11"/>
  <c r="K18" i="11"/>
  <c r="J18" i="11"/>
  <c r="I18" i="11"/>
  <c r="H18" i="11"/>
  <c r="G18" i="11"/>
  <c r="F18" i="11"/>
  <c r="E18" i="11"/>
  <c r="D18" i="11"/>
  <c r="C18" i="11"/>
  <c r="L17" i="11"/>
  <c r="K17" i="11"/>
  <c r="J17" i="11"/>
  <c r="I17" i="11"/>
  <c r="H17" i="11"/>
  <c r="G17" i="11"/>
  <c r="F17" i="11"/>
  <c r="E17" i="11"/>
  <c r="D17" i="11"/>
  <c r="C17" i="11"/>
  <c r="L16" i="11"/>
  <c r="K16" i="11"/>
  <c r="J16" i="11"/>
  <c r="I16" i="11"/>
  <c r="H16" i="11"/>
  <c r="G16" i="11"/>
  <c r="F16" i="11"/>
  <c r="E16" i="11"/>
  <c r="D16" i="11"/>
  <c r="C16" i="11"/>
  <c r="L15" i="11"/>
  <c r="K15" i="11"/>
  <c r="J15" i="11"/>
  <c r="I15" i="11"/>
  <c r="H15" i="11"/>
  <c r="G15" i="11"/>
  <c r="F15" i="11"/>
  <c r="E15" i="11"/>
  <c r="D15" i="11"/>
  <c r="C15" i="11"/>
  <c r="L14" i="11"/>
  <c r="K14" i="11"/>
  <c r="J14" i="11"/>
  <c r="I14" i="11"/>
  <c r="H14" i="11"/>
  <c r="G14" i="11"/>
  <c r="F14" i="11"/>
  <c r="E14" i="11"/>
  <c r="D14" i="11"/>
  <c r="C14" i="11"/>
  <c r="L13" i="11"/>
  <c r="K13" i="11"/>
  <c r="J13" i="11"/>
  <c r="I13" i="11"/>
  <c r="H13" i="11"/>
  <c r="G13" i="11"/>
  <c r="F13" i="11"/>
  <c r="E13" i="11"/>
  <c r="D13" i="11"/>
  <c r="C13" i="11"/>
  <c r="L12" i="11"/>
  <c r="K12" i="11"/>
  <c r="J12" i="11"/>
  <c r="I12" i="11"/>
  <c r="H12" i="11"/>
  <c r="G12" i="11"/>
  <c r="F12" i="11"/>
  <c r="E12" i="11"/>
  <c r="D12" i="11"/>
  <c r="C12" i="11"/>
  <c r="L11" i="11"/>
  <c r="K11" i="11"/>
  <c r="J11" i="11"/>
  <c r="I11" i="11"/>
  <c r="H11" i="11"/>
  <c r="G11" i="11"/>
  <c r="F11" i="11"/>
  <c r="E11" i="11"/>
  <c r="D11" i="11"/>
  <c r="C11" i="11"/>
  <c r="L10" i="11"/>
  <c r="K10" i="11"/>
  <c r="J10" i="11"/>
  <c r="I10" i="11"/>
  <c r="H10" i="11"/>
  <c r="G10" i="11"/>
  <c r="F10" i="11"/>
  <c r="E10" i="11"/>
  <c r="D10" i="11"/>
  <c r="C10" i="11"/>
  <c r="L9" i="11"/>
  <c r="K9" i="11"/>
  <c r="J9" i="11"/>
  <c r="I9" i="11"/>
  <c r="H9" i="11"/>
  <c r="G9" i="11"/>
  <c r="F9" i="11"/>
  <c r="E9" i="11"/>
  <c r="D9" i="11"/>
  <c r="C9" i="11"/>
  <c r="L8" i="11"/>
  <c r="K8" i="11"/>
  <c r="J8" i="11"/>
  <c r="I8" i="11"/>
  <c r="H8" i="11"/>
  <c r="G8" i="11"/>
  <c r="F8" i="11"/>
  <c r="E8" i="11"/>
  <c r="D8" i="11"/>
  <c r="C8" i="11"/>
  <c r="AS51" i="12"/>
  <c r="AR51" i="12"/>
  <c r="AQ51" i="12"/>
  <c r="AP51" i="12"/>
  <c r="AO51" i="12"/>
  <c r="AN51" i="12"/>
  <c r="AM51" i="12"/>
  <c r="AL51" i="12"/>
  <c r="AK51" i="12"/>
  <c r="AJ51" i="12"/>
  <c r="AI51" i="12"/>
  <c r="AH51" i="12"/>
  <c r="AG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AP49" i="12"/>
  <c r="AG49" i="12"/>
  <c r="U49" i="12"/>
  <c r="N49" i="12"/>
  <c r="AG48" i="12"/>
  <c r="U48" i="12"/>
  <c r="T48" i="12"/>
  <c r="N48" i="12"/>
  <c r="AQ47" i="12"/>
  <c r="AP47" i="12"/>
  <c r="AK47" i="12"/>
  <c r="AH47" i="12"/>
  <c r="AB47" i="12"/>
  <c r="W47" i="12"/>
  <c r="S47" i="12"/>
  <c r="N47" i="12"/>
  <c r="AP46" i="12"/>
  <c r="AO46" i="12"/>
  <c r="AH46" i="12"/>
  <c r="AB46" i="12"/>
  <c r="U46" i="12"/>
  <c r="N46" i="12"/>
  <c r="AQ45" i="12"/>
  <c r="AP45" i="12"/>
  <c r="AK45" i="12"/>
  <c r="W45" i="12"/>
  <c r="N45" i="12"/>
  <c r="AP44" i="12"/>
  <c r="AO44" i="12"/>
  <c r="AK44" i="12"/>
  <c r="AH44" i="12"/>
  <c r="V44" i="12"/>
  <c r="R44" i="12"/>
  <c r="N44" i="12"/>
  <c r="Q43" i="12"/>
  <c r="N43" i="12"/>
  <c r="AP42" i="12"/>
  <c r="V42" i="12"/>
  <c r="U42" i="12"/>
  <c r="Q42" i="12"/>
  <c r="N42" i="12"/>
  <c r="AQ41" i="12"/>
  <c r="AP41" i="12"/>
  <c r="AK41" i="12"/>
  <c r="Z41" i="12"/>
  <c r="N41" i="12"/>
  <c r="AP40" i="12"/>
  <c r="AO40" i="12"/>
  <c r="AK40" i="12"/>
  <c r="AB40" i="12"/>
  <c r="Z40" i="12"/>
  <c r="N40" i="12"/>
  <c r="AP39" i="12"/>
  <c r="AK39" i="12"/>
  <c r="AH39" i="12"/>
  <c r="AB39" i="12"/>
  <c r="AA39" i="12"/>
  <c r="W39" i="12"/>
  <c r="N39" i="12"/>
  <c r="AP38" i="12"/>
  <c r="AK38" i="12"/>
  <c r="AH38" i="12"/>
  <c r="AB38" i="12"/>
  <c r="Y38" i="12"/>
  <c r="U38" i="12"/>
  <c r="S38" i="12"/>
  <c r="N38" i="12"/>
  <c r="AP37" i="12"/>
  <c r="AK37" i="12"/>
  <c r="AH37" i="12"/>
  <c r="AB37" i="12"/>
  <c r="Y37" i="12"/>
  <c r="U37" i="12"/>
  <c r="S37" i="12"/>
  <c r="N37" i="12"/>
  <c r="AP36" i="12"/>
  <c r="AK36" i="12"/>
  <c r="AF36" i="12"/>
  <c r="AB36" i="12"/>
  <c r="X36" i="12"/>
  <c r="N36" i="12"/>
  <c r="AP35" i="12"/>
  <c r="AK35" i="12"/>
  <c r="AH35" i="12"/>
  <c r="AB35" i="12"/>
  <c r="AA35" i="12"/>
  <c r="X35" i="12"/>
  <c r="N35" i="12"/>
  <c r="AP34" i="12"/>
  <c r="AO34" i="12"/>
  <c r="AH34" i="12"/>
  <c r="V34" i="12"/>
  <c r="R34" i="12"/>
  <c r="N34" i="12"/>
  <c r="AP33" i="12"/>
  <c r="AA33" i="12"/>
  <c r="U33" i="12"/>
  <c r="Q33" i="12"/>
  <c r="N33" i="12"/>
  <c r="AP32" i="12"/>
  <c r="AA32" i="12"/>
  <c r="U32" i="12"/>
  <c r="N32" i="12"/>
  <c r="AP31" i="12"/>
  <c r="AF31" i="12"/>
  <c r="U31" i="12"/>
  <c r="N31" i="12"/>
  <c r="AP30" i="12"/>
  <c r="AK30" i="12"/>
  <c r="AH30" i="12"/>
  <c r="AB30" i="12"/>
  <c r="AA30" i="12"/>
  <c r="S30" i="12"/>
  <c r="N30" i="12"/>
  <c r="AP29" i="12"/>
  <c r="AK29" i="12"/>
  <c r="AG29" i="12"/>
  <c r="AB29" i="12"/>
  <c r="AA29" i="12"/>
  <c r="N29" i="12"/>
  <c r="AP28" i="12"/>
  <c r="AK28" i="12"/>
  <c r="AF28" i="12"/>
  <c r="AB28" i="12"/>
  <c r="AA28" i="12"/>
  <c r="N28" i="12"/>
  <c r="AP27" i="12"/>
  <c r="AK27" i="12"/>
  <c r="AF27" i="12"/>
  <c r="AB27" i="12"/>
  <c r="AA27" i="12"/>
  <c r="N27" i="12"/>
  <c r="AP26" i="12"/>
  <c r="AK26" i="12"/>
  <c r="AB26" i="12"/>
  <c r="AA26" i="12"/>
  <c r="W26" i="12"/>
  <c r="V26" i="12"/>
  <c r="N26" i="12"/>
  <c r="AP25" i="12"/>
  <c r="AO25" i="12"/>
  <c r="AK25" i="12"/>
  <c r="AB25" i="12"/>
  <c r="N25" i="12"/>
  <c r="AP24" i="12"/>
  <c r="AK24" i="12"/>
  <c r="AH24" i="12"/>
  <c r="AB24" i="12"/>
  <c r="N24" i="12"/>
  <c r="AO23" i="12"/>
  <c r="AB23" i="12"/>
  <c r="N23" i="12"/>
  <c r="AP22" i="12"/>
  <c r="AO22" i="12"/>
  <c r="AK22" i="12"/>
  <c r="AB22" i="12"/>
  <c r="N22" i="12"/>
  <c r="AB21" i="12"/>
  <c r="N21" i="12"/>
  <c r="AB20" i="12"/>
  <c r="N20" i="12"/>
  <c r="AS19" i="12"/>
  <c r="N19" i="12"/>
  <c r="AC18" i="12"/>
  <c r="N18" i="12"/>
  <c r="AC17" i="12"/>
  <c r="N17" i="12"/>
  <c r="V16" i="12"/>
  <c r="N16" i="12"/>
  <c r="T15" i="12"/>
  <c r="N15" i="12"/>
  <c r="U14" i="12"/>
  <c r="N14" i="12"/>
  <c r="U13" i="12"/>
  <c r="N13" i="12"/>
  <c r="AR12" i="12"/>
  <c r="N12" i="12"/>
  <c r="AQ11" i="12"/>
  <c r="N11" i="12"/>
  <c r="AO10" i="12"/>
  <c r="AJ10" i="12"/>
  <c r="AE10" i="12"/>
  <c r="N10" i="12"/>
  <c r="AO9" i="12"/>
  <c r="AC9" i="12"/>
  <c r="N9" i="12"/>
  <c r="AO8" i="12"/>
  <c r="AD8" i="12"/>
  <c r="N8" i="12"/>
  <c r="AE7" i="12"/>
  <c r="N7" i="12"/>
  <c r="Q6" i="12"/>
  <c r="N6" i="12"/>
  <c r="AO5" i="12"/>
  <c r="AN5" i="12"/>
  <c r="Q5" i="12"/>
  <c r="N5" i="12"/>
  <c r="AO4" i="12"/>
  <c r="AM4" i="12"/>
  <c r="Q4" i="12"/>
  <c r="N4" i="12"/>
  <c r="AO3" i="12"/>
  <c r="AL3" i="12"/>
  <c r="N3" i="12"/>
  <c r="AP2" i="12"/>
  <c r="AO2" i="12"/>
  <c r="AF2" i="12"/>
  <c r="Q2" i="12"/>
  <c r="N2" i="12"/>
  <c r="M345" i="10"/>
  <c r="L345" i="10"/>
  <c r="K345" i="10"/>
  <c r="J345" i="10"/>
  <c r="I345" i="10"/>
  <c r="H345" i="10"/>
  <c r="G345" i="10"/>
  <c r="F345" i="10"/>
  <c r="E345" i="10"/>
  <c r="D345" i="10"/>
  <c r="C345" i="10"/>
  <c r="M344" i="10"/>
  <c r="L344" i="10"/>
  <c r="K344" i="10"/>
  <c r="J344" i="10"/>
  <c r="I344" i="10"/>
  <c r="H344" i="10"/>
  <c r="G344" i="10"/>
  <c r="F344" i="10"/>
  <c r="E344" i="10"/>
  <c r="D344" i="10"/>
  <c r="C344" i="10"/>
  <c r="M343" i="10"/>
  <c r="L343" i="10"/>
  <c r="K343" i="10"/>
  <c r="J343" i="10"/>
  <c r="I343" i="10"/>
  <c r="H343" i="10"/>
  <c r="G343" i="10"/>
  <c r="F343" i="10"/>
  <c r="E343" i="10"/>
  <c r="D343" i="10"/>
  <c r="M342" i="10"/>
  <c r="L342" i="10"/>
  <c r="K342" i="10"/>
  <c r="J342" i="10"/>
  <c r="I342" i="10"/>
  <c r="H342" i="10"/>
  <c r="G342" i="10"/>
  <c r="F342" i="10"/>
  <c r="E342" i="10"/>
  <c r="D342" i="10"/>
  <c r="M341" i="10"/>
  <c r="L341" i="10"/>
  <c r="K341" i="10"/>
  <c r="J341" i="10"/>
  <c r="I341" i="10"/>
  <c r="H341" i="10"/>
  <c r="G341" i="10"/>
  <c r="F341" i="10"/>
  <c r="E341" i="10"/>
  <c r="D341" i="10"/>
  <c r="M340" i="10"/>
  <c r="L340" i="10"/>
  <c r="K340" i="10"/>
  <c r="J340" i="10"/>
  <c r="I340" i="10"/>
  <c r="H340" i="10"/>
  <c r="G340" i="10"/>
  <c r="F340" i="10"/>
  <c r="E340" i="10"/>
  <c r="D340" i="10"/>
  <c r="M339" i="10"/>
  <c r="L339" i="10"/>
  <c r="K339" i="10"/>
  <c r="J339" i="10"/>
  <c r="I339" i="10"/>
  <c r="H339" i="10"/>
  <c r="G339" i="10"/>
  <c r="F339" i="10"/>
  <c r="E339" i="10"/>
  <c r="D339" i="10"/>
  <c r="M338" i="10"/>
  <c r="L338" i="10"/>
  <c r="K338" i="10"/>
  <c r="J338" i="10"/>
  <c r="I338" i="10"/>
  <c r="H338" i="10"/>
  <c r="G338" i="10"/>
  <c r="F338" i="10"/>
  <c r="E338" i="10"/>
  <c r="D338" i="10"/>
  <c r="M337" i="10"/>
  <c r="L337" i="10"/>
  <c r="K337" i="10"/>
  <c r="J337" i="10"/>
  <c r="I337" i="10"/>
  <c r="H337" i="10"/>
  <c r="G337" i="10"/>
  <c r="F337" i="10"/>
  <c r="E337" i="10"/>
  <c r="D337" i="10"/>
  <c r="M336" i="10"/>
  <c r="L336" i="10"/>
  <c r="K336" i="10"/>
  <c r="J336" i="10"/>
  <c r="I336" i="10"/>
  <c r="H336" i="10"/>
  <c r="G336" i="10"/>
  <c r="F336" i="10"/>
  <c r="E336" i="10"/>
  <c r="D336" i="10"/>
  <c r="M334" i="10"/>
  <c r="L334" i="10"/>
  <c r="K334" i="10"/>
  <c r="J334" i="10"/>
  <c r="I334" i="10"/>
  <c r="H334" i="10"/>
  <c r="G334" i="10"/>
  <c r="F334" i="10"/>
  <c r="E334" i="10"/>
  <c r="D334" i="10"/>
  <c r="C334" i="10"/>
  <c r="M333" i="10"/>
  <c r="L333" i="10"/>
  <c r="K333" i="10"/>
  <c r="J333" i="10"/>
  <c r="I333" i="10"/>
  <c r="H333" i="10"/>
  <c r="G333" i="10"/>
  <c r="F333" i="10"/>
  <c r="E333" i="10"/>
  <c r="D333" i="10"/>
  <c r="M332" i="10"/>
  <c r="L332" i="10"/>
  <c r="K332" i="10"/>
  <c r="J332" i="10"/>
  <c r="I332" i="10"/>
  <c r="H332" i="10"/>
  <c r="G332" i="10"/>
  <c r="F332" i="10"/>
  <c r="E332" i="10"/>
  <c r="D332" i="10"/>
  <c r="M331" i="10"/>
  <c r="L331" i="10"/>
  <c r="K331" i="10"/>
  <c r="J331" i="10"/>
  <c r="I331" i="10"/>
  <c r="H331" i="10"/>
  <c r="G331" i="10"/>
  <c r="F331" i="10"/>
  <c r="E331" i="10"/>
  <c r="D331" i="10"/>
  <c r="M330" i="10"/>
  <c r="L330" i="10"/>
  <c r="K330" i="10"/>
  <c r="J330" i="10"/>
  <c r="I330" i="10"/>
  <c r="H330" i="10"/>
  <c r="G330" i="10"/>
  <c r="F330" i="10"/>
  <c r="E330" i="10"/>
  <c r="D330" i="10"/>
  <c r="M329" i="10"/>
  <c r="L329" i="10"/>
  <c r="K329" i="10"/>
  <c r="J329" i="10"/>
  <c r="I329" i="10"/>
  <c r="H329" i="10"/>
  <c r="G329" i="10"/>
  <c r="F329" i="10"/>
  <c r="E329" i="10"/>
  <c r="D329" i="10"/>
  <c r="M312" i="10"/>
  <c r="L312" i="10"/>
  <c r="K312" i="10"/>
  <c r="J312" i="10"/>
  <c r="I312" i="10"/>
  <c r="H312" i="10"/>
  <c r="G312" i="10"/>
  <c r="F312" i="10"/>
  <c r="E312" i="10"/>
  <c r="D312" i="10"/>
  <c r="C312" i="10"/>
  <c r="M311" i="10"/>
  <c r="L311" i="10"/>
  <c r="K311" i="10"/>
  <c r="J311" i="10"/>
  <c r="I311" i="10"/>
  <c r="H311" i="10"/>
  <c r="G311" i="10"/>
  <c r="F311" i="10"/>
  <c r="E311" i="10"/>
  <c r="D311" i="10"/>
  <c r="C311" i="10"/>
  <c r="M310" i="10"/>
  <c r="L310" i="10"/>
  <c r="K310" i="10"/>
  <c r="J310" i="10"/>
  <c r="I310" i="10"/>
  <c r="H310" i="10"/>
  <c r="G310" i="10"/>
  <c r="F310" i="10"/>
  <c r="E310" i="10"/>
  <c r="D310" i="10"/>
  <c r="M309" i="10"/>
  <c r="L309" i="10"/>
  <c r="K309" i="10"/>
  <c r="J309" i="10"/>
  <c r="I309" i="10"/>
  <c r="H309" i="10"/>
  <c r="G309" i="10"/>
  <c r="F309" i="10"/>
  <c r="E309" i="10"/>
  <c r="D309" i="10"/>
  <c r="M308" i="10"/>
  <c r="L308" i="10"/>
  <c r="K308" i="10"/>
  <c r="J308" i="10"/>
  <c r="I308" i="10"/>
  <c r="H308" i="10"/>
  <c r="G308" i="10"/>
  <c r="F308" i="10"/>
  <c r="E308" i="10"/>
  <c r="D308" i="10"/>
  <c r="M307" i="10"/>
  <c r="L307" i="10"/>
  <c r="K307" i="10"/>
  <c r="J307" i="10"/>
  <c r="I307" i="10"/>
  <c r="H307" i="10"/>
  <c r="G307" i="10"/>
  <c r="F307" i="10"/>
  <c r="E307" i="10"/>
  <c r="D307" i="10"/>
  <c r="M306" i="10"/>
  <c r="L306" i="10"/>
  <c r="K306" i="10"/>
  <c r="J306" i="10"/>
  <c r="I306" i="10"/>
  <c r="H306" i="10"/>
  <c r="G306" i="10"/>
  <c r="F306" i="10"/>
  <c r="E306" i="10"/>
  <c r="D306" i="10"/>
  <c r="M305" i="10"/>
  <c r="L305" i="10"/>
  <c r="K305" i="10"/>
  <c r="J305" i="10"/>
  <c r="I305" i="10"/>
  <c r="H305" i="10"/>
  <c r="G305" i="10"/>
  <c r="F305" i="10"/>
  <c r="E305" i="10"/>
  <c r="D305" i="10"/>
  <c r="M304" i="10"/>
  <c r="L304" i="10"/>
  <c r="K304" i="10"/>
  <c r="J304" i="10"/>
  <c r="I304" i="10"/>
  <c r="H304" i="10"/>
  <c r="G304" i="10"/>
  <c r="F304" i="10"/>
  <c r="E304" i="10"/>
  <c r="D304" i="10"/>
  <c r="M303" i="10"/>
  <c r="L303" i="10"/>
  <c r="K303" i="10"/>
  <c r="J303" i="10"/>
  <c r="I303" i="10"/>
  <c r="H303" i="10"/>
  <c r="G303" i="10"/>
  <c r="F303" i="10"/>
  <c r="E303" i="10"/>
  <c r="D303" i="10"/>
  <c r="M301" i="10"/>
  <c r="L301" i="10"/>
  <c r="K301" i="10"/>
  <c r="J301" i="10"/>
  <c r="I301" i="10"/>
  <c r="H301" i="10"/>
  <c r="G301" i="10"/>
  <c r="F301" i="10"/>
  <c r="E301" i="10"/>
  <c r="D301" i="10"/>
  <c r="C301" i="10"/>
  <c r="M299" i="10"/>
  <c r="L299" i="10"/>
  <c r="K299" i="10"/>
  <c r="J299" i="10"/>
  <c r="I299" i="10"/>
  <c r="H299" i="10"/>
  <c r="G299" i="10"/>
  <c r="F299" i="10"/>
  <c r="E299" i="10"/>
  <c r="D299" i="10"/>
  <c r="M298" i="10"/>
  <c r="L298" i="10"/>
  <c r="K298" i="10"/>
  <c r="J298" i="10"/>
  <c r="I298" i="10"/>
  <c r="H298" i="10"/>
  <c r="G298" i="10"/>
  <c r="F298" i="10"/>
  <c r="E298" i="10"/>
  <c r="D298" i="10"/>
  <c r="M297" i="10"/>
  <c r="L297" i="10"/>
  <c r="K297" i="10"/>
  <c r="J297" i="10"/>
  <c r="I297" i="10"/>
  <c r="H297" i="10"/>
  <c r="G297" i="10"/>
  <c r="F297" i="10"/>
  <c r="E297" i="10"/>
  <c r="D297" i="10"/>
  <c r="M296" i="10"/>
  <c r="L296" i="10"/>
  <c r="K296" i="10"/>
  <c r="J296" i="10"/>
  <c r="I296" i="10"/>
  <c r="H296" i="10"/>
  <c r="G296" i="10"/>
  <c r="F296" i="10"/>
  <c r="E296" i="10"/>
  <c r="D296" i="10"/>
  <c r="M295" i="10"/>
  <c r="L295" i="10"/>
  <c r="K295" i="10"/>
  <c r="J295" i="10"/>
  <c r="I295" i="10"/>
  <c r="H295" i="10"/>
  <c r="G295" i="10"/>
  <c r="F295" i="10"/>
  <c r="E295" i="10"/>
  <c r="D295" i="10"/>
  <c r="M279" i="10"/>
  <c r="L279" i="10"/>
  <c r="K279" i="10"/>
  <c r="J279" i="10"/>
  <c r="I279" i="10"/>
  <c r="H279" i="10"/>
  <c r="G279" i="10"/>
  <c r="F279" i="10"/>
  <c r="E279" i="10"/>
  <c r="D279" i="10"/>
  <c r="C279" i="10"/>
  <c r="M278" i="10"/>
  <c r="L278" i="10"/>
  <c r="K278" i="10"/>
  <c r="J278" i="10"/>
  <c r="I278" i="10"/>
  <c r="H278" i="10"/>
  <c r="G278" i="10"/>
  <c r="F278" i="10"/>
  <c r="E278" i="10"/>
  <c r="D278" i="10"/>
  <c r="C278" i="10"/>
  <c r="M277" i="10"/>
  <c r="L277" i="10"/>
  <c r="K277" i="10"/>
  <c r="J277" i="10"/>
  <c r="I277" i="10"/>
  <c r="H277" i="10"/>
  <c r="G277" i="10"/>
  <c r="F277" i="10"/>
  <c r="E277" i="10"/>
  <c r="D277" i="10"/>
  <c r="M276" i="10"/>
  <c r="L276" i="10"/>
  <c r="K276" i="10"/>
  <c r="J276" i="10"/>
  <c r="I276" i="10"/>
  <c r="H276" i="10"/>
  <c r="G276" i="10"/>
  <c r="F276" i="10"/>
  <c r="E276" i="10"/>
  <c r="D276" i="10"/>
  <c r="M275" i="10"/>
  <c r="L275" i="10"/>
  <c r="K275" i="10"/>
  <c r="J275" i="10"/>
  <c r="I275" i="10"/>
  <c r="H275" i="10"/>
  <c r="G275" i="10"/>
  <c r="F275" i="10"/>
  <c r="E275" i="10"/>
  <c r="D275" i="10"/>
  <c r="M274" i="10"/>
  <c r="L274" i="10"/>
  <c r="K274" i="10"/>
  <c r="J274" i="10"/>
  <c r="I274" i="10"/>
  <c r="H274" i="10"/>
  <c r="G274" i="10"/>
  <c r="F274" i="10"/>
  <c r="E274" i="10"/>
  <c r="D274" i="10"/>
  <c r="M273" i="10"/>
  <c r="L273" i="10"/>
  <c r="K273" i="10"/>
  <c r="J273" i="10"/>
  <c r="I273" i="10"/>
  <c r="H273" i="10"/>
  <c r="G273" i="10"/>
  <c r="F273" i="10"/>
  <c r="E273" i="10"/>
  <c r="D273" i="10"/>
  <c r="M272" i="10"/>
  <c r="L272" i="10"/>
  <c r="K272" i="10"/>
  <c r="J272" i="10"/>
  <c r="I272" i="10"/>
  <c r="H272" i="10"/>
  <c r="G272" i="10"/>
  <c r="F272" i="10"/>
  <c r="E272" i="10"/>
  <c r="D272" i="10"/>
  <c r="M271" i="10"/>
  <c r="L271" i="10"/>
  <c r="K271" i="10"/>
  <c r="J271" i="10"/>
  <c r="I271" i="10"/>
  <c r="H271" i="10"/>
  <c r="G271" i="10"/>
  <c r="F271" i="10"/>
  <c r="E271" i="10"/>
  <c r="D271" i="10"/>
  <c r="M270" i="10"/>
  <c r="L270" i="10"/>
  <c r="K270" i="10"/>
  <c r="J270" i="10"/>
  <c r="I270" i="10"/>
  <c r="H270" i="10"/>
  <c r="G270" i="10"/>
  <c r="F270" i="10"/>
  <c r="E270" i="10"/>
  <c r="D270" i="10"/>
  <c r="M268" i="10"/>
  <c r="L268" i="10"/>
  <c r="K268" i="10"/>
  <c r="J268" i="10"/>
  <c r="I268" i="10"/>
  <c r="H268" i="10"/>
  <c r="G268" i="10"/>
  <c r="F268" i="10"/>
  <c r="E268" i="10"/>
  <c r="D268" i="10"/>
  <c r="C268" i="10"/>
  <c r="M266" i="10"/>
  <c r="L266" i="10"/>
  <c r="K266" i="10"/>
  <c r="J266" i="10"/>
  <c r="I266" i="10"/>
  <c r="H266" i="10"/>
  <c r="G266" i="10"/>
  <c r="F266" i="10"/>
  <c r="E266" i="10"/>
  <c r="D266" i="10"/>
  <c r="M265" i="10"/>
  <c r="L265" i="10"/>
  <c r="K265" i="10"/>
  <c r="J265" i="10"/>
  <c r="I265" i="10"/>
  <c r="H265" i="10"/>
  <c r="G265" i="10"/>
  <c r="F265" i="10"/>
  <c r="E265" i="10"/>
  <c r="D265" i="10"/>
  <c r="M264" i="10"/>
  <c r="L264" i="10"/>
  <c r="K264" i="10"/>
  <c r="J264" i="10"/>
  <c r="I264" i="10"/>
  <c r="H264" i="10"/>
  <c r="G264" i="10"/>
  <c r="F264" i="10"/>
  <c r="E264" i="10"/>
  <c r="D264" i="10"/>
  <c r="M262" i="10"/>
  <c r="L262" i="10"/>
  <c r="K262" i="10"/>
  <c r="J262" i="10"/>
  <c r="I262" i="10"/>
  <c r="H262" i="10"/>
  <c r="G262" i="10"/>
  <c r="F262" i="10"/>
  <c r="E262" i="10"/>
  <c r="D262" i="10"/>
  <c r="M261" i="10"/>
  <c r="L261" i="10"/>
  <c r="K261" i="10"/>
  <c r="J261" i="10"/>
  <c r="I261" i="10"/>
  <c r="H261" i="10"/>
  <c r="G261" i="10"/>
  <c r="F261" i="10"/>
  <c r="E261" i="10"/>
  <c r="D261" i="10"/>
  <c r="M245" i="10"/>
  <c r="L245" i="10"/>
  <c r="K245" i="10"/>
  <c r="J245" i="10"/>
  <c r="I245" i="10"/>
  <c r="H245" i="10"/>
  <c r="G245" i="10"/>
  <c r="F245" i="10"/>
  <c r="E245" i="10"/>
  <c r="D245" i="10"/>
  <c r="C245" i="10"/>
  <c r="M244" i="10"/>
  <c r="L244" i="10"/>
  <c r="K244" i="10"/>
  <c r="J244" i="10"/>
  <c r="I244" i="10"/>
  <c r="H244" i="10"/>
  <c r="G244" i="10"/>
  <c r="F244" i="10"/>
  <c r="E244" i="10"/>
  <c r="D244" i="10"/>
  <c r="C244" i="10"/>
  <c r="M243" i="10"/>
  <c r="L243" i="10"/>
  <c r="K243" i="10"/>
  <c r="J243" i="10"/>
  <c r="I243" i="10"/>
  <c r="H243" i="10"/>
  <c r="G243" i="10"/>
  <c r="F243" i="10"/>
  <c r="E243" i="10"/>
  <c r="D243" i="10"/>
  <c r="M242" i="10"/>
  <c r="L242" i="10"/>
  <c r="K242" i="10"/>
  <c r="J242" i="10"/>
  <c r="I242" i="10"/>
  <c r="H242" i="10"/>
  <c r="G242" i="10"/>
  <c r="F242" i="10"/>
  <c r="E242" i="10"/>
  <c r="D242" i="10"/>
  <c r="M241" i="10"/>
  <c r="L241" i="10"/>
  <c r="K241" i="10"/>
  <c r="J241" i="10"/>
  <c r="I241" i="10"/>
  <c r="H241" i="10"/>
  <c r="G241" i="10"/>
  <c r="F241" i="10"/>
  <c r="E241" i="10"/>
  <c r="D241" i="10"/>
  <c r="M240" i="10"/>
  <c r="L240" i="10"/>
  <c r="K240" i="10"/>
  <c r="J240" i="10"/>
  <c r="I240" i="10"/>
  <c r="H240" i="10"/>
  <c r="G240" i="10"/>
  <c r="F240" i="10"/>
  <c r="E240" i="10"/>
  <c r="D240" i="10"/>
  <c r="M239" i="10"/>
  <c r="L239" i="10"/>
  <c r="K239" i="10"/>
  <c r="J239" i="10"/>
  <c r="I239" i="10"/>
  <c r="H239" i="10"/>
  <c r="G239" i="10"/>
  <c r="F239" i="10"/>
  <c r="E239" i="10"/>
  <c r="D239" i="10"/>
  <c r="M238" i="10"/>
  <c r="L238" i="10"/>
  <c r="K238" i="10"/>
  <c r="J238" i="10"/>
  <c r="I238" i="10"/>
  <c r="H238" i="10"/>
  <c r="G238" i="10"/>
  <c r="F238" i="10"/>
  <c r="E238" i="10"/>
  <c r="D238" i="10"/>
  <c r="M237" i="10"/>
  <c r="L237" i="10"/>
  <c r="K237" i="10"/>
  <c r="J237" i="10"/>
  <c r="I237" i="10"/>
  <c r="H237" i="10"/>
  <c r="G237" i="10"/>
  <c r="F237" i="10"/>
  <c r="E237" i="10"/>
  <c r="D237" i="10"/>
  <c r="M235" i="10"/>
  <c r="L235" i="10"/>
  <c r="K235" i="10"/>
  <c r="J235" i="10"/>
  <c r="I235" i="10"/>
  <c r="H235" i="10"/>
  <c r="G235" i="10"/>
  <c r="F235" i="10"/>
  <c r="E235" i="10"/>
  <c r="D235" i="10"/>
  <c r="C235" i="10"/>
  <c r="M233" i="10"/>
  <c r="L233" i="10"/>
  <c r="K233" i="10"/>
  <c r="J233" i="10"/>
  <c r="I233" i="10"/>
  <c r="H233" i="10"/>
  <c r="G233" i="10"/>
  <c r="F233" i="10"/>
  <c r="E233" i="10"/>
  <c r="D233" i="10"/>
  <c r="M232" i="10"/>
  <c r="L232" i="10"/>
  <c r="K232" i="10"/>
  <c r="J232" i="10"/>
  <c r="I232" i="10"/>
  <c r="H232" i="10"/>
  <c r="G232" i="10"/>
  <c r="F232" i="10"/>
  <c r="E232" i="10"/>
  <c r="D232" i="10"/>
  <c r="M231" i="10"/>
  <c r="L231" i="10"/>
  <c r="K231" i="10"/>
  <c r="J231" i="10"/>
  <c r="I231" i="10"/>
  <c r="H231" i="10"/>
  <c r="G231" i="10"/>
  <c r="F231" i="10"/>
  <c r="E231" i="10"/>
  <c r="D231" i="10"/>
  <c r="M230" i="10"/>
  <c r="L230" i="10"/>
  <c r="K230" i="10"/>
  <c r="J230" i="10"/>
  <c r="I230" i="10"/>
  <c r="H230" i="10"/>
  <c r="G230" i="10"/>
  <c r="F230" i="10"/>
  <c r="E230" i="10"/>
  <c r="D230" i="10"/>
  <c r="M229" i="10"/>
  <c r="L229" i="10"/>
  <c r="K229" i="10"/>
  <c r="J229" i="10"/>
  <c r="I229" i="10"/>
  <c r="H229" i="10"/>
  <c r="G229" i="10"/>
  <c r="F229" i="10"/>
  <c r="E229" i="10"/>
  <c r="D229" i="10"/>
  <c r="M210" i="10"/>
  <c r="L210" i="10"/>
  <c r="K210" i="10"/>
  <c r="J210" i="10"/>
  <c r="I210" i="10"/>
  <c r="H210" i="10"/>
  <c r="G210" i="10"/>
  <c r="F210" i="10"/>
  <c r="E210" i="10"/>
  <c r="D210" i="10"/>
  <c r="C210" i="10"/>
  <c r="M209" i="10"/>
  <c r="L209" i="10"/>
  <c r="K209" i="10"/>
  <c r="J209" i="10"/>
  <c r="I209" i="10"/>
  <c r="H209" i="10"/>
  <c r="G209" i="10"/>
  <c r="F209" i="10"/>
  <c r="E209" i="10"/>
  <c r="D209" i="10"/>
  <c r="C209" i="10"/>
  <c r="M208" i="10"/>
  <c r="L208" i="10"/>
  <c r="K208" i="10"/>
  <c r="J208" i="10"/>
  <c r="I208" i="10"/>
  <c r="H208" i="10"/>
  <c r="G208" i="10"/>
  <c r="F208" i="10"/>
  <c r="E208" i="10"/>
  <c r="D208" i="10"/>
  <c r="M207" i="10"/>
  <c r="L207" i="10"/>
  <c r="K207" i="10"/>
  <c r="J207" i="10"/>
  <c r="I207" i="10"/>
  <c r="H207" i="10"/>
  <c r="G207" i="10"/>
  <c r="F207" i="10"/>
  <c r="E207" i="10"/>
  <c r="D207" i="10"/>
  <c r="M206" i="10"/>
  <c r="L206" i="10"/>
  <c r="K206" i="10"/>
  <c r="J206" i="10"/>
  <c r="I206" i="10"/>
  <c r="H206" i="10"/>
  <c r="G206" i="10"/>
  <c r="F206" i="10"/>
  <c r="E206" i="10"/>
  <c r="D206" i="10"/>
  <c r="M204" i="10"/>
  <c r="L204" i="10"/>
  <c r="K204" i="10"/>
  <c r="J204" i="10"/>
  <c r="I204" i="10"/>
  <c r="H204" i="10"/>
  <c r="G204" i="10"/>
  <c r="F204" i="10"/>
  <c r="E204" i="10"/>
  <c r="D204" i="10"/>
  <c r="M203" i="10"/>
  <c r="L203" i="10"/>
  <c r="K203" i="10"/>
  <c r="J203" i="10"/>
  <c r="I203" i="10"/>
  <c r="H203" i="10"/>
  <c r="G203" i="10"/>
  <c r="F203" i="10"/>
  <c r="E203" i="10"/>
  <c r="D203" i="10"/>
  <c r="M202" i="10"/>
  <c r="L202" i="10"/>
  <c r="K202" i="10"/>
  <c r="J202" i="10"/>
  <c r="I202" i="10"/>
  <c r="H202" i="10"/>
  <c r="G202" i="10"/>
  <c r="F202" i="10"/>
  <c r="E202" i="10"/>
  <c r="D202" i="10"/>
  <c r="M201" i="10"/>
  <c r="L201" i="10"/>
  <c r="K201" i="10"/>
  <c r="J201" i="10"/>
  <c r="I201" i="10"/>
  <c r="H201" i="10"/>
  <c r="G201" i="10"/>
  <c r="F201" i="10"/>
  <c r="E201" i="10"/>
  <c r="D201" i="10"/>
  <c r="M199" i="10"/>
  <c r="L199" i="10"/>
  <c r="K199" i="10"/>
  <c r="J199" i="10"/>
  <c r="I199" i="10"/>
  <c r="H199" i="10"/>
  <c r="G199" i="10"/>
  <c r="F199" i="10"/>
  <c r="E199" i="10"/>
  <c r="D199" i="10"/>
  <c r="C199" i="10"/>
  <c r="M198" i="10"/>
  <c r="L198" i="10"/>
  <c r="K198" i="10"/>
  <c r="J198" i="10"/>
  <c r="I198" i="10"/>
  <c r="H198" i="10"/>
  <c r="G198" i="10"/>
  <c r="F198" i="10"/>
  <c r="E198" i="10"/>
  <c r="D198" i="10"/>
  <c r="M197" i="10"/>
  <c r="L197" i="10"/>
  <c r="K197" i="10"/>
  <c r="J197" i="10"/>
  <c r="I197" i="10"/>
  <c r="H197" i="10"/>
  <c r="G197" i="10"/>
  <c r="F197" i="10"/>
  <c r="E197" i="10"/>
  <c r="D197" i="10"/>
  <c r="M196" i="10"/>
  <c r="L196" i="10"/>
  <c r="K196" i="10"/>
  <c r="J196" i="10"/>
  <c r="I196" i="10"/>
  <c r="H196" i="10"/>
  <c r="G196" i="10"/>
  <c r="F196" i="10"/>
  <c r="E196" i="10"/>
  <c r="D196" i="10"/>
  <c r="M195" i="10"/>
  <c r="L195" i="10"/>
  <c r="K195" i="10"/>
  <c r="J195" i="10"/>
  <c r="I195" i="10"/>
  <c r="H195" i="10"/>
  <c r="G195" i="10"/>
  <c r="F195" i="10"/>
  <c r="E195" i="10"/>
  <c r="D195" i="10"/>
  <c r="M194" i="10"/>
  <c r="L194" i="10"/>
  <c r="K194" i="10"/>
  <c r="J194" i="10"/>
  <c r="I194" i="10"/>
  <c r="H194" i="10"/>
  <c r="G194" i="10"/>
  <c r="F194" i="10"/>
  <c r="E194" i="10"/>
  <c r="D194" i="10"/>
  <c r="M193" i="10"/>
  <c r="L193" i="10"/>
  <c r="K193" i="10"/>
  <c r="J193" i="10"/>
  <c r="I193" i="10"/>
  <c r="H193" i="10"/>
  <c r="G193" i="10"/>
  <c r="F193" i="10"/>
  <c r="E193" i="10"/>
  <c r="D193" i="10"/>
  <c r="M192" i="10"/>
  <c r="L192" i="10"/>
  <c r="K192" i="10"/>
  <c r="J192" i="10"/>
  <c r="I192" i="10"/>
  <c r="H192" i="10"/>
  <c r="G192" i="10"/>
  <c r="F192" i="10"/>
  <c r="E192" i="10"/>
  <c r="D192" i="10"/>
  <c r="M171" i="10"/>
  <c r="L171" i="10"/>
  <c r="K171" i="10"/>
  <c r="J171" i="10"/>
  <c r="I171" i="10"/>
  <c r="H171" i="10"/>
  <c r="G171" i="10"/>
  <c r="F171" i="10"/>
  <c r="E171" i="10"/>
  <c r="D171" i="10"/>
  <c r="C171" i="10"/>
  <c r="M170" i="10"/>
  <c r="L170" i="10"/>
  <c r="K170" i="10"/>
  <c r="J170" i="10"/>
  <c r="I170" i="10"/>
  <c r="H170" i="10"/>
  <c r="G170" i="10"/>
  <c r="F170" i="10"/>
  <c r="E170" i="10"/>
  <c r="D170" i="10"/>
  <c r="C170" i="10"/>
  <c r="M169" i="10"/>
  <c r="L169" i="10"/>
  <c r="K169" i="10"/>
  <c r="J169" i="10"/>
  <c r="I169" i="10"/>
  <c r="H169" i="10"/>
  <c r="G169" i="10"/>
  <c r="F169" i="10"/>
  <c r="E169" i="10"/>
  <c r="D169" i="10"/>
  <c r="M168" i="10"/>
  <c r="L168" i="10"/>
  <c r="K168" i="10"/>
  <c r="J168" i="10"/>
  <c r="I168" i="10"/>
  <c r="H168" i="10"/>
  <c r="G168" i="10"/>
  <c r="F168" i="10"/>
  <c r="E168" i="10"/>
  <c r="D168" i="10"/>
  <c r="M167" i="10"/>
  <c r="L167" i="10"/>
  <c r="K167" i="10"/>
  <c r="J167" i="10"/>
  <c r="I167" i="10"/>
  <c r="H167" i="10"/>
  <c r="G167" i="10"/>
  <c r="F167" i="10"/>
  <c r="E167" i="10"/>
  <c r="D167" i="10"/>
  <c r="M166" i="10"/>
  <c r="L166" i="10"/>
  <c r="K166" i="10"/>
  <c r="J166" i="10"/>
  <c r="I166" i="10"/>
  <c r="H166" i="10"/>
  <c r="G166" i="10"/>
  <c r="F166" i="10"/>
  <c r="E166" i="10"/>
  <c r="D166" i="10"/>
  <c r="M165" i="10"/>
  <c r="L165" i="10"/>
  <c r="K165" i="10"/>
  <c r="J165" i="10"/>
  <c r="I165" i="10"/>
  <c r="H165" i="10"/>
  <c r="G165" i="10"/>
  <c r="F165" i="10"/>
  <c r="E165" i="10"/>
  <c r="D165" i="10"/>
  <c r="M164" i="10"/>
  <c r="L164" i="10"/>
  <c r="K164" i="10"/>
  <c r="J164" i="10"/>
  <c r="I164" i="10"/>
  <c r="H164" i="10"/>
  <c r="G164" i="10"/>
  <c r="F164" i="10"/>
  <c r="E164" i="10"/>
  <c r="D164" i="10"/>
  <c r="M163" i="10"/>
  <c r="L163" i="10"/>
  <c r="K163" i="10"/>
  <c r="J163" i="10"/>
  <c r="I163" i="10"/>
  <c r="H163" i="10"/>
  <c r="G163" i="10"/>
  <c r="F163" i="10"/>
  <c r="E163" i="10"/>
  <c r="D163" i="10"/>
  <c r="M162" i="10"/>
  <c r="L162" i="10"/>
  <c r="K162" i="10"/>
  <c r="J162" i="10"/>
  <c r="I162" i="10"/>
  <c r="H162" i="10"/>
  <c r="G162" i="10"/>
  <c r="F162" i="10"/>
  <c r="E162" i="10"/>
  <c r="D162" i="10"/>
  <c r="M160" i="10"/>
  <c r="L160" i="10"/>
  <c r="K160" i="10"/>
  <c r="J160" i="10"/>
  <c r="I160" i="10"/>
  <c r="H160" i="10"/>
  <c r="G160" i="10"/>
  <c r="F160" i="10"/>
  <c r="E160" i="10"/>
  <c r="D160" i="10"/>
  <c r="M159" i="10"/>
  <c r="L159" i="10"/>
  <c r="K159" i="10"/>
  <c r="J159" i="10"/>
  <c r="I159" i="10"/>
  <c r="H159" i="10"/>
  <c r="G159" i="10"/>
  <c r="F159" i="10"/>
  <c r="E159" i="10"/>
  <c r="D159" i="10"/>
  <c r="M158" i="10"/>
  <c r="L158" i="10"/>
  <c r="K158" i="10"/>
  <c r="J158" i="10"/>
  <c r="I158" i="10"/>
  <c r="H158" i="10"/>
  <c r="G158" i="10"/>
  <c r="F158" i="10"/>
  <c r="E158" i="10"/>
  <c r="D158" i="10"/>
  <c r="M157" i="10"/>
  <c r="L157" i="10"/>
  <c r="K157" i="10"/>
  <c r="J157" i="10"/>
  <c r="I157" i="10"/>
  <c r="H157" i="10"/>
  <c r="G157" i="10"/>
  <c r="F157" i="10"/>
  <c r="E157" i="10"/>
  <c r="D157" i="10"/>
  <c r="M156" i="10"/>
  <c r="L156" i="10"/>
  <c r="K156" i="10"/>
  <c r="J156" i="10"/>
  <c r="I156" i="10"/>
  <c r="H156" i="10"/>
  <c r="G156" i="10"/>
  <c r="F156" i="10"/>
  <c r="E156" i="10"/>
  <c r="D156" i="10"/>
  <c r="M155" i="10"/>
  <c r="L155" i="10"/>
  <c r="K155" i="10"/>
  <c r="J155" i="10"/>
  <c r="I155" i="10"/>
  <c r="H155" i="10"/>
  <c r="G155" i="10"/>
  <c r="F155" i="10"/>
  <c r="E155" i="10"/>
  <c r="D155" i="10"/>
  <c r="M134" i="10"/>
  <c r="L134" i="10"/>
  <c r="K134" i="10"/>
  <c r="J134" i="10"/>
  <c r="I134" i="10"/>
  <c r="H134" i="10"/>
  <c r="G134" i="10"/>
  <c r="F134" i="10"/>
  <c r="E134" i="10"/>
  <c r="D134" i="10"/>
  <c r="C134" i="10"/>
  <c r="M133" i="10"/>
  <c r="L133" i="10"/>
  <c r="K133" i="10"/>
  <c r="J133" i="10"/>
  <c r="I133" i="10"/>
  <c r="H133" i="10"/>
  <c r="G133" i="10"/>
  <c r="F133" i="10"/>
  <c r="E133" i="10"/>
  <c r="D133" i="10"/>
  <c r="C133" i="10"/>
  <c r="M132" i="10"/>
  <c r="L132" i="10"/>
  <c r="K132" i="10"/>
  <c r="J132" i="10"/>
  <c r="I132" i="10"/>
  <c r="H132" i="10"/>
  <c r="G132" i="10"/>
  <c r="F132" i="10"/>
  <c r="E132" i="10"/>
  <c r="D132" i="10"/>
  <c r="M131" i="10"/>
  <c r="L131" i="10"/>
  <c r="K131" i="10"/>
  <c r="J131" i="10"/>
  <c r="I131" i="10"/>
  <c r="H131" i="10"/>
  <c r="G131" i="10"/>
  <c r="F131" i="10"/>
  <c r="E131" i="10"/>
  <c r="D131" i="10"/>
  <c r="M130" i="10"/>
  <c r="L130" i="10"/>
  <c r="K130" i="10"/>
  <c r="J130" i="10"/>
  <c r="I130" i="10"/>
  <c r="H130" i="10"/>
  <c r="G130" i="10"/>
  <c r="F130" i="10"/>
  <c r="E130" i="10"/>
  <c r="D130" i="10"/>
  <c r="M129" i="10"/>
  <c r="L129" i="10"/>
  <c r="K129" i="10"/>
  <c r="J129" i="10"/>
  <c r="I129" i="10"/>
  <c r="H129" i="10"/>
  <c r="G129" i="10"/>
  <c r="F129" i="10"/>
  <c r="E129" i="10"/>
  <c r="D129" i="10"/>
  <c r="M128" i="10"/>
  <c r="L128" i="10"/>
  <c r="K128" i="10"/>
  <c r="J128" i="10"/>
  <c r="I128" i="10"/>
  <c r="H128" i="10"/>
  <c r="G128" i="10"/>
  <c r="F128" i="10"/>
  <c r="E128" i="10"/>
  <c r="D128" i="10"/>
  <c r="M127" i="10"/>
  <c r="L127" i="10"/>
  <c r="K127" i="10"/>
  <c r="J127" i="10"/>
  <c r="I127" i="10"/>
  <c r="H127" i="10"/>
  <c r="G127" i="10"/>
  <c r="F127" i="10"/>
  <c r="E127" i="10"/>
  <c r="D127" i="10"/>
  <c r="M126" i="10"/>
  <c r="L126" i="10"/>
  <c r="K126" i="10"/>
  <c r="J126" i="10"/>
  <c r="I126" i="10"/>
  <c r="H126" i="10"/>
  <c r="G126" i="10"/>
  <c r="F126" i="10"/>
  <c r="E126" i="10"/>
  <c r="D126" i="10"/>
  <c r="M125" i="10"/>
  <c r="L125" i="10"/>
  <c r="K125" i="10"/>
  <c r="J125" i="10"/>
  <c r="I125" i="10"/>
  <c r="H125" i="10"/>
  <c r="G125" i="10"/>
  <c r="F125" i="10"/>
  <c r="E125" i="10"/>
  <c r="D125" i="10"/>
  <c r="M124" i="10"/>
  <c r="L124" i="10"/>
  <c r="K124" i="10"/>
  <c r="J124" i="10"/>
  <c r="I124" i="10"/>
  <c r="H124" i="10"/>
  <c r="G124" i="10"/>
  <c r="F124" i="10"/>
  <c r="E124" i="10"/>
  <c r="D124" i="10"/>
  <c r="C124" i="10"/>
  <c r="M123" i="10"/>
  <c r="L123" i="10"/>
  <c r="K123" i="10"/>
  <c r="J123" i="10"/>
  <c r="I123" i="10"/>
  <c r="H123" i="10"/>
  <c r="G123" i="10"/>
  <c r="F123" i="10"/>
  <c r="E123" i="10"/>
  <c r="D123" i="10"/>
  <c r="M122" i="10"/>
  <c r="L122" i="10"/>
  <c r="K122" i="10"/>
  <c r="J122" i="10"/>
  <c r="I122" i="10"/>
  <c r="H122" i="10"/>
  <c r="G122" i="10"/>
  <c r="F122" i="10"/>
  <c r="E122" i="10"/>
  <c r="D122" i="10"/>
  <c r="M121" i="10"/>
  <c r="L121" i="10"/>
  <c r="K121" i="10"/>
  <c r="J121" i="10"/>
  <c r="I121" i="10"/>
  <c r="H121" i="10"/>
  <c r="G121" i="10"/>
  <c r="F121" i="10"/>
  <c r="E121" i="10"/>
  <c r="D121" i="10"/>
  <c r="M120" i="10"/>
  <c r="L120" i="10"/>
  <c r="K120" i="10"/>
  <c r="J120" i="10"/>
  <c r="I120" i="10"/>
  <c r="H120" i="10"/>
  <c r="G120" i="10"/>
  <c r="F120" i="10"/>
  <c r="E120" i="10"/>
  <c r="D120" i="10"/>
  <c r="M119" i="10"/>
  <c r="L119" i="10"/>
  <c r="K119" i="10"/>
  <c r="J119" i="10"/>
  <c r="I119" i="10"/>
  <c r="H119" i="10"/>
  <c r="G119" i="10"/>
  <c r="F119" i="10"/>
  <c r="E119" i="10"/>
  <c r="D119" i="10"/>
  <c r="M118" i="10"/>
  <c r="L118" i="10"/>
  <c r="K118" i="10"/>
  <c r="J118" i="10"/>
  <c r="I118" i="10"/>
  <c r="H118" i="10"/>
  <c r="G118" i="10"/>
  <c r="F118" i="10"/>
  <c r="E118" i="10"/>
  <c r="D118" i="10"/>
  <c r="M98" i="10"/>
  <c r="L98" i="10"/>
  <c r="K98" i="10"/>
  <c r="J98" i="10"/>
  <c r="I98" i="10"/>
  <c r="H98" i="10"/>
  <c r="G98" i="10"/>
  <c r="F98" i="10"/>
  <c r="E98" i="10"/>
  <c r="D98" i="10"/>
  <c r="C98" i="10"/>
  <c r="M97" i="10"/>
  <c r="L97" i="10"/>
  <c r="K97" i="10"/>
  <c r="J97" i="10"/>
  <c r="I97" i="10"/>
  <c r="H97" i="10"/>
  <c r="G97" i="10"/>
  <c r="F97" i="10"/>
  <c r="E97" i="10"/>
  <c r="D97" i="10"/>
  <c r="C97" i="10"/>
  <c r="M95" i="10"/>
  <c r="L95" i="10"/>
  <c r="K95" i="10"/>
  <c r="J95" i="10"/>
  <c r="I95" i="10"/>
  <c r="H95" i="10"/>
  <c r="G95" i="10"/>
  <c r="F95" i="10"/>
  <c r="E95" i="10"/>
  <c r="D95" i="10"/>
  <c r="M94" i="10"/>
  <c r="L94" i="10"/>
  <c r="K94" i="10"/>
  <c r="J94" i="10"/>
  <c r="I94" i="10"/>
  <c r="H94" i="10"/>
  <c r="G94" i="10"/>
  <c r="F94" i="10"/>
  <c r="E94" i="10"/>
  <c r="D94" i="10"/>
  <c r="M93" i="10"/>
  <c r="L93" i="10"/>
  <c r="K93" i="10"/>
  <c r="J93" i="10"/>
  <c r="I93" i="10"/>
  <c r="H93" i="10"/>
  <c r="G93" i="10"/>
  <c r="F93" i="10"/>
  <c r="E93" i="10"/>
  <c r="D93" i="10"/>
  <c r="M91" i="10"/>
  <c r="L91" i="10"/>
  <c r="K91" i="10"/>
  <c r="J91" i="10"/>
  <c r="I91" i="10"/>
  <c r="H91" i="10"/>
  <c r="G91" i="10"/>
  <c r="F91" i="10"/>
  <c r="E91" i="10"/>
  <c r="D91" i="10"/>
  <c r="M90" i="10"/>
  <c r="L90" i="10"/>
  <c r="K90" i="10"/>
  <c r="J90" i="10"/>
  <c r="I90" i="10"/>
  <c r="H90" i="10"/>
  <c r="G90" i="10"/>
  <c r="F90" i="10"/>
  <c r="E90" i="10"/>
  <c r="D90" i="10"/>
  <c r="M89" i="10"/>
  <c r="L89" i="10"/>
  <c r="K89" i="10"/>
  <c r="J89" i="10"/>
  <c r="I89" i="10"/>
  <c r="H89" i="10"/>
  <c r="G89" i="10"/>
  <c r="F89" i="10"/>
  <c r="E89" i="10"/>
  <c r="D89" i="10"/>
  <c r="K88" i="10"/>
  <c r="I88" i="10"/>
  <c r="H88" i="10"/>
  <c r="D88" i="10"/>
  <c r="M86" i="10"/>
  <c r="L86" i="10"/>
  <c r="K86" i="10"/>
  <c r="J86" i="10"/>
  <c r="I86" i="10"/>
  <c r="H86" i="10"/>
  <c r="G86" i="10"/>
  <c r="F86" i="10"/>
  <c r="E86" i="10"/>
  <c r="D86" i="10"/>
  <c r="C86" i="10"/>
  <c r="M85" i="10"/>
  <c r="L85" i="10"/>
  <c r="K85" i="10"/>
  <c r="J85" i="10"/>
  <c r="I85" i="10"/>
  <c r="H85" i="10"/>
  <c r="G85" i="10"/>
  <c r="F85" i="10"/>
  <c r="E85" i="10"/>
  <c r="D85" i="10"/>
  <c r="M84" i="10"/>
  <c r="L84" i="10"/>
  <c r="K84" i="10"/>
  <c r="J84" i="10"/>
  <c r="I84" i="10"/>
  <c r="H84" i="10"/>
  <c r="G84" i="10"/>
  <c r="F84" i="10"/>
  <c r="E84" i="10"/>
  <c r="D84" i="10"/>
  <c r="M83" i="10"/>
  <c r="L83" i="10"/>
  <c r="K83" i="10"/>
  <c r="J83" i="10"/>
  <c r="I83" i="10"/>
  <c r="H83" i="10"/>
  <c r="G83" i="10"/>
  <c r="F83" i="10"/>
  <c r="E83" i="10"/>
  <c r="D83" i="10"/>
  <c r="M82" i="10"/>
  <c r="L82" i="10"/>
  <c r="K82" i="10"/>
  <c r="J82" i="10"/>
  <c r="I82" i="10"/>
  <c r="H82" i="10"/>
  <c r="G82" i="10"/>
  <c r="F82" i="10"/>
  <c r="E82" i="10"/>
  <c r="D82" i="10"/>
  <c r="M81" i="10"/>
  <c r="L81" i="10"/>
  <c r="K81" i="10"/>
  <c r="J81" i="10"/>
  <c r="I81" i="10"/>
  <c r="H81" i="10"/>
  <c r="G81" i="10"/>
  <c r="F81" i="10"/>
  <c r="E81" i="10"/>
  <c r="D81" i="10"/>
  <c r="M61" i="10"/>
  <c r="L61" i="10"/>
  <c r="K61" i="10"/>
  <c r="J61" i="10"/>
  <c r="I61" i="10"/>
  <c r="H61" i="10"/>
  <c r="G61" i="10"/>
  <c r="F61" i="10"/>
  <c r="E61" i="10"/>
  <c r="D61" i="10"/>
  <c r="C61" i="10"/>
  <c r="M59" i="10"/>
  <c r="L59" i="10"/>
  <c r="K59" i="10"/>
  <c r="J59" i="10"/>
  <c r="I59" i="10"/>
  <c r="H59" i="10"/>
  <c r="G59" i="10"/>
  <c r="F59" i="10"/>
  <c r="E59" i="10"/>
  <c r="D59" i="10"/>
  <c r="C59" i="10"/>
  <c r="M58" i="10"/>
  <c r="L58" i="10"/>
  <c r="K58" i="10"/>
  <c r="J58" i="10"/>
  <c r="I58" i="10"/>
  <c r="H58" i="10"/>
  <c r="G58" i="10"/>
  <c r="F58" i="10"/>
  <c r="E58" i="10"/>
  <c r="D58" i="10"/>
  <c r="M57" i="10"/>
  <c r="L57" i="10"/>
  <c r="K57" i="10"/>
  <c r="J57" i="10"/>
  <c r="I57" i="10"/>
  <c r="H57" i="10"/>
  <c r="G57" i="10"/>
  <c r="F57" i="10"/>
  <c r="E57" i="10"/>
  <c r="D57" i="10"/>
  <c r="M56" i="10"/>
  <c r="L56" i="10"/>
  <c r="K56" i="10"/>
  <c r="J56" i="10"/>
  <c r="I56" i="10"/>
  <c r="H56" i="10"/>
  <c r="G56" i="10"/>
  <c r="F56" i="10"/>
  <c r="E56" i="10"/>
  <c r="D56" i="10"/>
  <c r="M55" i="10"/>
  <c r="L55" i="10"/>
  <c r="K55" i="10"/>
  <c r="J55" i="10"/>
  <c r="I55" i="10"/>
  <c r="H55" i="10"/>
  <c r="G55" i="10"/>
  <c r="F55" i="10"/>
  <c r="E55" i="10"/>
  <c r="D55" i="10"/>
  <c r="M54" i="10"/>
  <c r="L54" i="10"/>
  <c r="K54" i="10"/>
  <c r="J54" i="10"/>
  <c r="I54" i="10"/>
  <c r="H54" i="10"/>
  <c r="G54" i="10"/>
  <c r="F54" i="10"/>
  <c r="E54" i="10"/>
  <c r="D54" i="10"/>
  <c r="M53" i="10"/>
  <c r="L53" i="10"/>
  <c r="K53" i="10"/>
  <c r="J53" i="10"/>
  <c r="I53" i="10"/>
  <c r="H53" i="10"/>
  <c r="G53" i="10"/>
  <c r="F53" i="10"/>
  <c r="E53" i="10"/>
  <c r="D53" i="10"/>
  <c r="M51" i="10"/>
  <c r="L51" i="10"/>
  <c r="K51" i="10"/>
  <c r="J51" i="10"/>
  <c r="I51" i="10"/>
  <c r="H51" i="10"/>
  <c r="G51" i="10"/>
  <c r="F51" i="10"/>
  <c r="E51" i="10"/>
  <c r="D51" i="10"/>
  <c r="C51" i="10"/>
  <c r="M49" i="10"/>
  <c r="L49" i="10"/>
  <c r="K49" i="10"/>
  <c r="J49" i="10"/>
  <c r="I49" i="10"/>
  <c r="H49" i="10"/>
  <c r="G49" i="10"/>
  <c r="F49" i="10"/>
  <c r="E49" i="10"/>
  <c r="D49" i="10"/>
  <c r="M48" i="10"/>
  <c r="L48" i="10"/>
  <c r="K48" i="10"/>
  <c r="J48" i="10"/>
  <c r="I48" i="10"/>
  <c r="H48" i="10"/>
  <c r="G48" i="10"/>
  <c r="F48" i="10"/>
  <c r="E48" i="10"/>
  <c r="D48" i="10"/>
  <c r="M47" i="10"/>
  <c r="L47" i="10"/>
  <c r="K47" i="10"/>
  <c r="J47" i="10"/>
  <c r="I47" i="10"/>
  <c r="H47" i="10"/>
  <c r="G47" i="10"/>
  <c r="F47" i="10"/>
  <c r="E47" i="10"/>
  <c r="D47" i="10"/>
  <c r="M46" i="10"/>
  <c r="L46" i="10"/>
  <c r="K46" i="10"/>
  <c r="J46" i="10"/>
  <c r="I46" i="10"/>
  <c r="H46" i="10"/>
  <c r="G46" i="10"/>
  <c r="F46" i="10"/>
  <c r="E46" i="10"/>
  <c r="D46" i="10"/>
  <c r="M44" i="10"/>
  <c r="L44" i="10"/>
  <c r="K44" i="10"/>
  <c r="J44" i="10"/>
  <c r="I44" i="10"/>
  <c r="H44" i="10"/>
  <c r="G44" i="10"/>
  <c r="F44" i="10"/>
  <c r="E44" i="10"/>
  <c r="D44" i="10"/>
  <c r="M26" i="10"/>
  <c r="L26" i="10"/>
  <c r="K26" i="10"/>
  <c r="J26" i="10"/>
  <c r="I26" i="10"/>
  <c r="H26" i="10"/>
  <c r="G26" i="10"/>
  <c r="F26" i="10"/>
  <c r="E26" i="10"/>
  <c r="D26" i="10"/>
  <c r="C26" i="10"/>
  <c r="M25" i="10"/>
  <c r="L25" i="10"/>
  <c r="K25" i="10"/>
  <c r="J25" i="10"/>
  <c r="I25" i="10"/>
  <c r="H25" i="10"/>
  <c r="G25" i="10"/>
  <c r="F25" i="10"/>
  <c r="E25" i="10"/>
  <c r="D25" i="10"/>
  <c r="C25" i="10"/>
  <c r="M24" i="10"/>
  <c r="L24" i="10"/>
  <c r="K24" i="10"/>
  <c r="J24" i="10"/>
  <c r="I24" i="10"/>
  <c r="H24" i="10"/>
  <c r="G24" i="10"/>
  <c r="F24" i="10"/>
  <c r="E24" i="10"/>
  <c r="D24" i="10"/>
  <c r="M23" i="10"/>
  <c r="L23" i="10"/>
  <c r="K23" i="10"/>
  <c r="J23" i="10"/>
  <c r="I23" i="10"/>
  <c r="H23" i="10"/>
  <c r="G23" i="10"/>
  <c r="F23" i="10"/>
  <c r="E23" i="10"/>
  <c r="D23" i="10"/>
  <c r="M22" i="10"/>
  <c r="L22" i="10"/>
  <c r="K22" i="10"/>
  <c r="J22" i="10"/>
  <c r="I22" i="10"/>
  <c r="H22" i="10"/>
  <c r="G22" i="10"/>
  <c r="F22" i="10"/>
  <c r="E22" i="10"/>
  <c r="D22" i="10"/>
  <c r="M21" i="10"/>
  <c r="L21" i="10"/>
  <c r="K21" i="10"/>
  <c r="J21" i="10"/>
  <c r="I21" i="10"/>
  <c r="H21" i="10"/>
  <c r="G21" i="10"/>
  <c r="F21" i="10"/>
  <c r="E21" i="10"/>
  <c r="D21" i="10"/>
  <c r="M20" i="10"/>
  <c r="L20" i="10"/>
  <c r="K20" i="10"/>
  <c r="J20" i="10"/>
  <c r="I20" i="10"/>
  <c r="H20" i="10"/>
  <c r="G20" i="10"/>
  <c r="F20" i="10"/>
  <c r="E20" i="10"/>
  <c r="D20" i="10"/>
  <c r="M19" i="10"/>
  <c r="L19" i="10"/>
  <c r="K19" i="10"/>
  <c r="J19" i="10"/>
  <c r="I19" i="10"/>
  <c r="H19" i="10"/>
  <c r="G19" i="10"/>
  <c r="F19" i="10"/>
  <c r="E19" i="10"/>
  <c r="D19" i="10"/>
  <c r="M18" i="10"/>
  <c r="L18" i="10"/>
  <c r="K18" i="10"/>
  <c r="J18" i="10"/>
  <c r="I18" i="10"/>
  <c r="H18" i="10"/>
  <c r="G18" i="10"/>
  <c r="F18" i="10"/>
  <c r="E18" i="10"/>
  <c r="D18" i="10"/>
  <c r="M17" i="10"/>
  <c r="L17" i="10"/>
  <c r="K17" i="10"/>
  <c r="J17" i="10"/>
  <c r="I17" i="10"/>
  <c r="H17" i="10"/>
  <c r="G17" i="10"/>
  <c r="F17" i="10"/>
  <c r="E17" i="10"/>
  <c r="D17" i="10"/>
  <c r="M15" i="10"/>
  <c r="L15" i="10"/>
  <c r="K15" i="10"/>
  <c r="J15" i="10"/>
  <c r="I15" i="10"/>
  <c r="H15" i="10"/>
  <c r="G15" i="10"/>
  <c r="F15" i="10"/>
  <c r="E15" i="10"/>
  <c r="D15" i="10"/>
  <c r="C15" i="10"/>
  <c r="M14" i="10"/>
  <c r="L14" i="10"/>
  <c r="K14" i="10"/>
  <c r="J14" i="10"/>
  <c r="I14" i="10"/>
  <c r="H14" i="10"/>
  <c r="G14" i="10"/>
  <c r="F14" i="10"/>
  <c r="E14" i="10"/>
  <c r="D14" i="10"/>
  <c r="M13" i="10"/>
  <c r="L13" i="10"/>
  <c r="K13" i="10"/>
  <c r="J13" i="10"/>
  <c r="I13" i="10"/>
  <c r="H13" i="10"/>
  <c r="G13" i="10"/>
  <c r="F13" i="10"/>
  <c r="E13" i="10"/>
  <c r="D13" i="10"/>
  <c r="M12" i="10"/>
  <c r="L12" i="10"/>
  <c r="K12" i="10"/>
  <c r="J12" i="10"/>
  <c r="I12" i="10"/>
  <c r="H12" i="10"/>
  <c r="G12" i="10"/>
  <c r="F12" i="10"/>
  <c r="E12" i="10"/>
  <c r="D12" i="10"/>
  <c r="M11" i="10"/>
  <c r="L11" i="10"/>
  <c r="K11" i="10"/>
  <c r="J11" i="10"/>
  <c r="I11" i="10"/>
  <c r="H11" i="10"/>
  <c r="G11" i="10"/>
  <c r="F11" i="10"/>
  <c r="E11" i="10"/>
  <c r="D11" i="10"/>
  <c r="M10" i="10"/>
  <c r="L10" i="10"/>
  <c r="K10" i="10"/>
  <c r="J10" i="10"/>
  <c r="I10" i="10"/>
  <c r="H10" i="10"/>
  <c r="G10" i="10"/>
  <c r="F10" i="10"/>
  <c r="E10" i="10"/>
  <c r="D10" i="10"/>
  <c r="M9" i="10"/>
  <c r="L9" i="10"/>
  <c r="K9" i="10"/>
  <c r="J9" i="10"/>
  <c r="I9" i="10"/>
  <c r="H9" i="10"/>
  <c r="G9" i="10"/>
  <c r="F9" i="10"/>
  <c r="E9" i="10"/>
  <c r="D9" i="10"/>
  <c r="M8" i="10"/>
  <c r="L8" i="10"/>
  <c r="K8" i="10"/>
  <c r="J8" i="10"/>
  <c r="I8" i="10"/>
  <c r="H8" i="10"/>
  <c r="G8" i="10"/>
  <c r="F8" i="10"/>
  <c r="E8" i="10"/>
  <c r="D8" i="10"/>
</calcChain>
</file>

<file path=xl/sharedStrings.xml><?xml version="1.0" encoding="utf-8"?>
<sst xmlns="http://schemas.openxmlformats.org/spreadsheetml/2006/main" count="610" uniqueCount="179">
  <si>
    <t>День: Второй</t>
  </si>
  <si>
    <r>
      <rPr>
        <b/>
        <sz val="11"/>
        <color theme="1"/>
        <rFont val="Times New Roman"/>
        <charset val="204"/>
      </rPr>
      <t>Неделя:</t>
    </r>
    <r>
      <rPr>
        <sz val="11"/>
        <color theme="1"/>
        <rFont val="Times New Roman"/>
        <charset val="204"/>
      </rPr>
      <t xml:space="preserve"> первая</t>
    </r>
  </si>
  <si>
    <r>
      <rPr>
        <b/>
        <sz val="11"/>
        <color theme="1"/>
        <rFont val="Times New Roman"/>
        <charset val="204"/>
      </rPr>
      <t>Возрастная категория:</t>
    </r>
    <r>
      <rPr>
        <sz val="11"/>
        <color theme="1"/>
        <rFont val="Times New Roman"/>
        <charset val="204"/>
      </rPr>
      <t xml:space="preserve">  7-11 лет</t>
    </r>
  </si>
  <si>
    <t>№ рецептуры</t>
  </si>
  <si>
    <t>Прием пищи, наименование блюда</t>
  </si>
  <si>
    <t>Масса порции</t>
  </si>
  <si>
    <t>Пищевые</t>
  </si>
  <si>
    <t>Энергетическая ценность</t>
  </si>
  <si>
    <t>Витамины ( мг)</t>
  </si>
  <si>
    <t>Минеральные вещества (мг)</t>
  </si>
  <si>
    <t>вещества</t>
  </si>
  <si>
    <t>Б</t>
  </si>
  <si>
    <t>Ж</t>
  </si>
  <si>
    <t>У</t>
  </si>
  <si>
    <t>А</t>
  </si>
  <si>
    <r>
      <rPr>
        <sz val="12"/>
        <color theme="1"/>
        <rFont val="Times New Roman"/>
        <charset val="204"/>
      </rPr>
      <t>В</t>
    </r>
    <r>
      <rPr>
        <vertAlign val="subscript"/>
        <sz val="12"/>
        <color theme="1"/>
        <rFont val="Times New Roman"/>
        <charset val="204"/>
      </rPr>
      <t>1</t>
    </r>
  </si>
  <si>
    <t>С</t>
  </si>
  <si>
    <t>Са</t>
  </si>
  <si>
    <t>P</t>
  </si>
  <si>
    <t>Fe</t>
  </si>
  <si>
    <t>Завтрак</t>
  </si>
  <si>
    <t>Рис отварной</t>
  </si>
  <si>
    <t>Рыба тушеная с овощами</t>
  </si>
  <si>
    <t>Кофейный напиток с молоком</t>
  </si>
  <si>
    <t>Масло сливочное</t>
  </si>
  <si>
    <t>Хлеб пшеничный</t>
  </si>
  <si>
    <t>Хлеб ржаной</t>
  </si>
  <si>
    <t>яблоко</t>
  </si>
  <si>
    <t>итого</t>
  </si>
  <si>
    <t>Обед</t>
  </si>
  <si>
    <t>Салат из свеклы с сол. огурцом</t>
  </si>
  <si>
    <t>Щи из свежей капусты с картофелем</t>
  </si>
  <si>
    <t>Картофельное пюре</t>
  </si>
  <si>
    <t>Котлета рубленая с говядины</t>
  </si>
  <si>
    <t>Кисель из сока плодового</t>
  </si>
  <si>
    <t>Сыр</t>
  </si>
  <si>
    <t>ИТОГО за день</t>
  </si>
  <si>
    <t xml:space="preserve">Норматив по САНПиН </t>
  </si>
  <si>
    <t>День: Первый</t>
  </si>
  <si>
    <r>
      <rPr>
        <sz val="11"/>
        <color theme="1"/>
        <rFont val="Times New Roman"/>
        <charset val="204"/>
      </rPr>
      <t>В</t>
    </r>
    <r>
      <rPr>
        <vertAlign val="subscript"/>
        <sz val="11"/>
        <color theme="1"/>
        <rFont val="Times New Roman"/>
        <charset val="204"/>
      </rPr>
      <t>1</t>
    </r>
  </si>
  <si>
    <t>Каша вязкая молочная гречневая</t>
  </si>
  <si>
    <t>Чай с сахаром</t>
  </si>
  <si>
    <t xml:space="preserve">кисломолочный напиток </t>
  </si>
  <si>
    <t>Салат из белокочанной капусты с яблоком</t>
  </si>
  <si>
    <t>Рассольник Ленинградский</t>
  </si>
  <si>
    <t>Плов из говядины</t>
  </si>
  <si>
    <r>
      <rPr>
        <b/>
        <sz val="11"/>
        <color theme="1"/>
        <rFont val="Times New Roman"/>
        <charset val="204"/>
      </rPr>
      <t xml:space="preserve">День: </t>
    </r>
    <r>
      <rPr>
        <b/>
        <sz val="14"/>
        <color theme="1"/>
        <rFont val="Times New Roman"/>
        <charset val="204"/>
      </rPr>
      <t>Четвертый</t>
    </r>
  </si>
  <si>
    <t>Запеканка из творога со сметаной (170/40)</t>
  </si>
  <si>
    <t>Яйцо вареное</t>
  </si>
  <si>
    <t>Сок</t>
  </si>
  <si>
    <t>салат из вареной свеклы</t>
  </si>
  <si>
    <t>Борщ с картофелем</t>
  </si>
  <si>
    <t>Каша гречневая рассыпчатая</t>
  </si>
  <si>
    <t>Котлета из цыпленка -  бройлера</t>
  </si>
  <si>
    <r>
      <rPr>
        <b/>
        <sz val="11"/>
        <color theme="1"/>
        <rFont val="Times New Roman"/>
        <charset val="204"/>
      </rPr>
      <t xml:space="preserve">День: </t>
    </r>
    <r>
      <rPr>
        <b/>
        <sz val="14"/>
        <color theme="1"/>
        <rFont val="Times New Roman"/>
        <charset val="204"/>
      </rPr>
      <t>Третий</t>
    </r>
  </si>
  <si>
    <r>
      <rPr>
        <b/>
        <sz val="11"/>
        <color theme="1"/>
        <rFont val="Times New Roman"/>
        <charset val="204"/>
      </rPr>
      <t>Возрастная категория:</t>
    </r>
    <r>
      <rPr>
        <sz val="11"/>
        <color theme="1"/>
        <rFont val="Times New Roman"/>
        <charset val="204"/>
      </rPr>
      <t xml:space="preserve"> 7-11 лет</t>
    </r>
  </si>
  <si>
    <t>Рагу из курицы</t>
  </si>
  <si>
    <t>Какао с молоком</t>
  </si>
  <si>
    <t>Огурец соленый</t>
  </si>
  <si>
    <t>Суп картофельный с крупой</t>
  </si>
  <si>
    <t>Компот из яблок</t>
  </si>
  <si>
    <r>
      <rPr>
        <b/>
        <sz val="11"/>
        <color theme="1"/>
        <rFont val="Times New Roman"/>
        <charset val="204"/>
      </rPr>
      <t xml:space="preserve">День: </t>
    </r>
    <r>
      <rPr>
        <b/>
        <sz val="14"/>
        <color theme="1"/>
        <rFont val="Times New Roman"/>
        <charset val="204"/>
      </rPr>
      <t>Пятый</t>
    </r>
  </si>
  <si>
    <t xml:space="preserve">Макароны отварные </t>
  </si>
  <si>
    <t>Винегрет</t>
  </si>
  <si>
    <t>кисломолочный продукт</t>
  </si>
  <si>
    <t>Каша пшеничная рассыпчатая</t>
  </si>
  <si>
    <t>День: Седьмой</t>
  </si>
  <si>
    <r>
      <rPr>
        <b/>
        <sz val="11"/>
        <color theme="1"/>
        <rFont val="Times New Roman"/>
        <charset val="204"/>
      </rPr>
      <t>Неделя:</t>
    </r>
    <r>
      <rPr>
        <sz val="11"/>
        <color theme="1"/>
        <rFont val="Times New Roman"/>
        <charset val="204"/>
      </rPr>
      <t xml:space="preserve"> вторая</t>
    </r>
  </si>
  <si>
    <t xml:space="preserve">Сок </t>
  </si>
  <si>
    <t xml:space="preserve">Котлета рыбная </t>
  </si>
  <si>
    <t xml:space="preserve">Салат из белокочанной капусты </t>
  </si>
  <si>
    <t>День: Шестой</t>
  </si>
  <si>
    <t>Омлет натуральный с маслом (155/5)</t>
  </si>
  <si>
    <t>Компот из св. яблок</t>
  </si>
  <si>
    <r>
      <rPr>
        <b/>
        <sz val="11"/>
        <color theme="1"/>
        <rFont val="Times New Roman"/>
        <charset val="204"/>
      </rPr>
      <t xml:space="preserve">День: </t>
    </r>
    <r>
      <rPr>
        <b/>
        <sz val="14"/>
        <color theme="1"/>
        <rFont val="Times New Roman"/>
        <charset val="204"/>
      </rPr>
      <t>Восьмой</t>
    </r>
  </si>
  <si>
    <t>Тефтели (говядина)</t>
  </si>
  <si>
    <t>Суп картофельный с горохом</t>
  </si>
  <si>
    <r>
      <rPr>
        <b/>
        <sz val="11"/>
        <color theme="1"/>
        <rFont val="Times New Roman"/>
        <charset val="204"/>
      </rPr>
      <t xml:space="preserve">День: </t>
    </r>
    <r>
      <rPr>
        <b/>
        <sz val="14"/>
        <color theme="1"/>
        <rFont val="Times New Roman"/>
        <charset val="204"/>
      </rPr>
      <t>Девятый</t>
    </r>
  </si>
  <si>
    <r>
      <rPr>
        <b/>
        <sz val="11"/>
        <color theme="1"/>
        <rFont val="Times New Roman"/>
        <charset val="204"/>
      </rPr>
      <t xml:space="preserve">День: </t>
    </r>
    <r>
      <rPr>
        <b/>
        <sz val="14"/>
        <color theme="1"/>
        <rFont val="Times New Roman"/>
        <charset val="204"/>
      </rPr>
      <t>Десятый</t>
    </r>
  </si>
  <si>
    <t>Плов из курицы</t>
  </si>
  <si>
    <t>Рагу из птицы</t>
  </si>
  <si>
    <t xml:space="preserve">                                                </t>
  </si>
  <si>
    <t xml:space="preserve">УТВЕРЖДАЮ    </t>
  </si>
  <si>
    <t>Директор МБОУ "Красноярская средняя школа им.Бых Н.Н."</t>
  </si>
  <si>
    <t xml:space="preserve"> __________________З. Э. Асанова </t>
  </si>
  <si>
    <r>
      <rPr>
        <b/>
        <sz val="14"/>
        <color theme="1"/>
        <rFont val="Times New Roman"/>
        <charset val="204"/>
      </rPr>
      <t xml:space="preserve">ЦИКЛИЧНОЕ ДЕСЯТИДНЕВНОЕ МЕНЮ ДЛЯ ПИТАНИЯ ОБУЧАЮЩИХСЯ В
</t>
    </r>
    <r>
      <rPr>
        <b/>
        <sz val="22"/>
        <color theme="1"/>
        <rFont val="Times New Roman"/>
        <charset val="204"/>
      </rPr>
      <t>МБОУ "Красноярская средняя школа им.Бых Н.Н."</t>
    </r>
    <r>
      <rPr>
        <b/>
        <sz val="14"/>
        <color theme="1"/>
        <rFont val="Times New Roman"/>
        <charset val="204"/>
      </rPr>
      <t xml:space="preserve">
(Возрастная категория детей от 7 до 11 лет - завтрак и обед)
</t>
    </r>
  </si>
  <si>
    <t>осенне-зимний период</t>
  </si>
  <si>
    <t>Наименование блюда</t>
  </si>
  <si>
    <t>Выход</t>
  </si>
  <si>
    <t>Понедельник</t>
  </si>
  <si>
    <t>Вторник</t>
  </si>
  <si>
    <t>Среда</t>
  </si>
  <si>
    <t>Четверг</t>
  </si>
  <si>
    <t>Пятница</t>
  </si>
  <si>
    <t>Кол-во</t>
  </si>
  <si>
    <t>Молоко и кислом. пр-ты</t>
  </si>
  <si>
    <t>Творог</t>
  </si>
  <si>
    <t>Сметана</t>
  </si>
  <si>
    <t>Масло сливочное     </t>
  </si>
  <si>
    <t>Яйцо (гр) </t>
  </si>
  <si>
    <t xml:space="preserve">Мясо </t>
  </si>
  <si>
    <t>Птица</t>
  </si>
  <si>
    <t>Субпродукты говяжьи</t>
  </si>
  <si>
    <t>Рыба (филе)</t>
  </si>
  <si>
    <t>Картофель</t>
  </si>
  <si>
    <t xml:space="preserve">Овощи </t>
  </si>
  <si>
    <t xml:space="preserve">Фрукты свежие </t>
  </si>
  <si>
    <t>Сухофрукты</t>
  </si>
  <si>
    <t>Сок фруктовый</t>
  </si>
  <si>
    <t>Крупы, бобовые</t>
  </si>
  <si>
    <t>Макаронные изделия</t>
  </si>
  <si>
    <t>Мука пшеничная</t>
  </si>
  <si>
    <t>Дрожжи</t>
  </si>
  <si>
    <t>Крахмал</t>
  </si>
  <si>
    <t>Масло растительное</t>
  </si>
  <si>
    <t>Чай</t>
  </si>
  <si>
    <t>Какао-порошок</t>
  </si>
  <si>
    <t>Кофейный напиток</t>
  </si>
  <si>
    <t>Сахар</t>
  </si>
  <si>
    <t>Соль</t>
  </si>
  <si>
    <t>Хлеб белый</t>
  </si>
  <si>
    <t>Кондитерские изделия</t>
  </si>
  <si>
    <t>Напиток кофейный с молоком</t>
  </si>
  <si>
    <t>Йогурт</t>
  </si>
  <si>
    <t>Сок плодовый</t>
  </si>
  <si>
    <t>Компот из сухофруктов</t>
  </si>
  <si>
    <t>Компот из свеж яблок</t>
  </si>
  <si>
    <t>Кисель из сока</t>
  </si>
  <si>
    <t>Масло</t>
  </si>
  <si>
    <t>Яйцо</t>
  </si>
  <si>
    <t>Фрукты</t>
  </si>
  <si>
    <t>Огурец свежий</t>
  </si>
  <si>
    <t>Помидора свежая</t>
  </si>
  <si>
    <t>Салат из белокочанной капусты</t>
  </si>
  <si>
    <t>Салат из моркови с сахаром</t>
  </si>
  <si>
    <t xml:space="preserve">Щи из свежей капусты </t>
  </si>
  <si>
    <t xml:space="preserve">Борщ  </t>
  </si>
  <si>
    <t>Суп картофел с фрикадельками</t>
  </si>
  <si>
    <t>Суп картоф с бобовыми</t>
  </si>
  <si>
    <t>Суп картофел с макаронами</t>
  </si>
  <si>
    <t>Рагу из овощей</t>
  </si>
  <si>
    <t>Картофель отварной</t>
  </si>
  <si>
    <t>Варенники ленивые с сахаром</t>
  </si>
  <si>
    <t>Плов из птицы</t>
  </si>
  <si>
    <t>Печень по-строгановски</t>
  </si>
  <si>
    <t>Рагу из свинины</t>
  </si>
  <si>
    <t>Рыба тушенная с овощами</t>
  </si>
  <si>
    <t>Котлета рыбная</t>
  </si>
  <si>
    <t>Омлет натуральный</t>
  </si>
  <si>
    <t>Молоко сгущеное</t>
  </si>
  <si>
    <t>Сырники из творога</t>
  </si>
  <si>
    <t>Котлета мясная</t>
  </si>
  <si>
    <t>Капуста тушеная</t>
  </si>
  <si>
    <t>Тефтели</t>
  </si>
  <si>
    <t>Макароны отварные с сыром</t>
  </si>
  <si>
    <t>Макароны отварные</t>
  </si>
  <si>
    <t>ИТОГО за 10 дней</t>
  </si>
  <si>
    <t>Ведомость контроля за рационом питания детей в возрасте от 7 до 11 лет</t>
  </si>
  <si>
    <t>с __________ по ____________</t>
  </si>
  <si>
    <t xml:space="preserve">ХИМИЧЕСКИЙ СОСТАВ </t>
  </si>
  <si>
    <t>Пищевая ценность</t>
  </si>
  <si>
    <t>Норматив по САНПиН (55%)</t>
  </si>
  <si>
    <t>Среднее на 1 неделе</t>
  </si>
  <si>
    <t>Отклонение от норматива</t>
  </si>
  <si>
    <t>Среднее на 2 неделе</t>
  </si>
  <si>
    <t>Среднее за 10 дней</t>
  </si>
  <si>
    <t>Отклонение от нормы за 10 дней</t>
  </si>
  <si>
    <t>п/п</t>
  </si>
  <si>
    <t>Наименование группы пищевой продукции</t>
  </si>
  <si>
    <t>Количество потребленной продукции в нетто по дням в граммах на одного человека</t>
  </si>
  <si>
    <t>Норма (нетто, гр). Режим питания 2 разовое</t>
  </si>
  <si>
    <t>Отклонение от нормы в % (+/-)</t>
  </si>
  <si>
    <t xml:space="preserve">Молоко </t>
  </si>
  <si>
    <t>Кисломолочные продукты</t>
  </si>
  <si>
    <t>Творог (5%-9% м.д.ж.)</t>
  </si>
  <si>
    <t>Мясо 1 кат.</t>
  </si>
  <si>
    <t>Сок плодоовощной</t>
  </si>
  <si>
    <t>Специи</t>
  </si>
  <si>
    <t>"01" сентября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</si>
</sst>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0.0"/>
    <numFmt numFmtId="165" formatCode="0.0%"/>
    <numFmt numFmtId="166" formatCode="0.0"/>
    <numFmt numFmtId="167" formatCode="0.0_ ;[Red]\-0.0\ "/>
  </numFmts>
  <fonts count="20">
    <font>
      <sz val="11"/>
      <color theme="1"/>
      <name val="Calibri"/>
      <charset val="134"/>
      <scheme val="minor"/>
    </font>
    <font>
      <b/>
      <sz val="12"/>
      <color theme="1"/>
      <name val="Times New Roman"/>
      <charset val="204"/>
    </font>
    <font>
      <b/>
      <sz val="11"/>
      <name val="Times New Roman"/>
      <charset val="204"/>
    </font>
    <font>
      <sz val="11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12"/>
      <color theme="1"/>
      <name val="Times New Roman"/>
      <charset val="204"/>
    </font>
    <font>
      <b/>
      <sz val="11"/>
      <color theme="1"/>
      <name val="Times New Roman"/>
      <charset val="204"/>
    </font>
    <font>
      <b/>
      <sz val="10.5"/>
      <color theme="1"/>
      <name val="Times New Roman"/>
      <charset val="204"/>
    </font>
    <font>
      <b/>
      <sz val="10"/>
      <color theme="1"/>
      <name val="Calibri"/>
      <charset val="204"/>
      <scheme val="minor"/>
    </font>
    <font>
      <b/>
      <sz val="11"/>
      <name val="Calibri"/>
      <charset val="20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4"/>
      <color theme="1"/>
      <name val="Times New Roman"/>
      <charset val="204"/>
    </font>
    <font>
      <sz val="14"/>
      <color theme="1"/>
      <name val="Times New Roman"/>
      <charset val="204"/>
    </font>
    <font>
      <sz val="11"/>
      <color rgb="FF000000"/>
      <name val="Times New Roman"/>
      <charset val="204"/>
    </font>
    <font>
      <b/>
      <sz val="14"/>
      <color rgb="FF000000"/>
      <name val="Times New Roman"/>
      <charset val="204"/>
    </font>
    <font>
      <b/>
      <sz val="22"/>
      <color theme="1"/>
      <name val="Times New Roman"/>
      <charset val="204"/>
    </font>
    <font>
      <vertAlign val="subscript"/>
      <sz val="11"/>
      <color theme="1"/>
      <name val="Times New Roman"/>
      <charset val="204"/>
    </font>
    <font>
      <vertAlign val="subscript"/>
      <sz val="12"/>
      <color theme="1"/>
      <name val="Times New Roman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4" fillId="3" borderId="8" xfId="0" applyFont="1" applyFill="1" applyBorder="1"/>
    <xf numFmtId="164" fontId="5" fillId="3" borderId="9" xfId="0" applyNumberFormat="1" applyFont="1" applyFill="1" applyBorder="1" applyAlignment="1">
      <alignment horizontal="center" vertical="top" wrapText="1"/>
    </xf>
    <xf numFmtId="0" fontId="0" fillId="0" borderId="10" xfId="0" applyBorder="1"/>
    <xf numFmtId="164" fontId="3" fillId="0" borderId="11" xfId="0" applyNumberFormat="1" applyFont="1" applyBorder="1" applyAlignment="1">
      <alignment horizontal="center" vertical="center"/>
    </xf>
    <xf numFmtId="0" fontId="4" fillId="3" borderId="10" xfId="0" applyFont="1" applyFill="1" applyBorder="1"/>
    <xf numFmtId="164" fontId="1" fillId="3" borderId="11" xfId="0" applyNumberFormat="1" applyFont="1" applyFill="1" applyBorder="1" applyAlignment="1">
      <alignment horizontal="center" vertical="center"/>
    </xf>
    <xf numFmtId="0" fontId="4" fillId="0" borderId="10" xfId="0" applyFont="1" applyBorder="1"/>
    <xf numFmtId="165" fontId="3" fillId="0" borderId="11" xfId="0" applyNumberFormat="1" applyFont="1" applyBorder="1" applyAlignment="1">
      <alignment horizontal="center" vertical="center"/>
    </xf>
    <xf numFmtId="9" fontId="3" fillId="0" borderId="11" xfId="0" applyNumberFormat="1" applyFont="1" applyBorder="1" applyAlignment="1">
      <alignment horizontal="center" vertical="center"/>
    </xf>
    <xf numFmtId="164" fontId="6" fillId="3" borderId="11" xfId="0" applyNumberFormat="1" applyFont="1" applyFill="1" applyBorder="1" applyAlignment="1">
      <alignment horizontal="center" vertical="center"/>
    </xf>
    <xf numFmtId="0" fontId="7" fillId="3" borderId="10" xfId="0" applyFont="1" applyFill="1" applyBorder="1"/>
    <xf numFmtId="164" fontId="3" fillId="3" borderId="11" xfId="0" applyNumberFormat="1" applyFont="1" applyFill="1" applyBorder="1" applyAlignment="1">
      <alignment horizontal="center" vertical="center"/>
    </xf>
    <xf numFmtId="0" fontId="8" fillId="3" borderId="12" xfId="0" applyFont="1" applyFill="1" applyBorder="1"/>
    <xf numFmtId="165" fontId="1" fillId="3" borderId="13" xfId="0" applyNumberFormat="1" applyFont="1" applyFill="1" applyBorder="1" applyAlignment="1">
      <alignment horizontal="center" vertical="center"/>
    </xf>
    <xf numFmtId="9" fontId="1" fillId="3" borderId="13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164" fontId="0" fillId="0" borderId="17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0" fontId="3" fillId="2" borderId="20" xfId="0" applyFont="1" applyFill="1" applyBorder="1" applyAlignment="1">
      <alignment horizontal="center" vertical="top" wrapText="1"/>
    </xf>
    <xf numFmtId="164" fontId="5" fillId="3" borderId="22" xfId="0" applyNumberFormat="1" applyFont="1" applyFill="1" applyBorder="1" applyAlignment="1">
      <alignment horizontal="center" vertical="top" wrapText="1"/>
    </xf>
    <xf numFmtId="0" fontId="2" fillId="4" borderId="22" xfId="0" applyFont="1" applyFill="1" applyBorder="1" applyAlignment="1">
      <alignment horizontal="center" vertical="center" wrapText="1"/>
    </xf>
    <xf numFmtId="164" fontId="0" fillId="0" borderId="22" xfId="0" applyNumberFormat="1" applyBorder="1" applyAlignment="1">
      <alignment horizontal="center"/>
    </xf>
    <xf numFmtId="166" fontId="4" fillId="0" borderId="26" xfId="0" applyNumberFormat="1" applyFont="1" applyBorder="1" applyAlignment="1">
      <alignment horizontal="center" vertical="center"/>
    </xf>
    <xf numFmtId="166" fontId="4" fillId="0" borderId="27" xfId="0" applyNumberFormat="1" applyFont="1" applyFill="1" applyBorder="1" applyAlignment="1">
      <alignment horizontal="center" vertical="center"/>
    </xf>
    <xf numFmtId="167" fontId="7" fillId="0" borderId="11" xfId="0" applyNumberFormat="1" applyFont="1" applyBorder="1" applyAlignment="1">
      <alignment horizontal="center" vertical="center" wrapText="1"/>
    </xf>
    <xf numFmtId="166" fontId="4" fillId="0" borderId="28" xfId="0" applyNumberFormat="1" applyFont="1" applyBorder="1" applyAlignment="1">
      <alignment horizontal="center" vertical="center"/>
    </xf>
    <xf numFmtId="164" fontId="0" fillId="0" borderId="29" xfId="0" applyNumberFormat="1" applyBorder="1" applyAlignment="1">
      <alignment horizontal="center"/>
    </xf>
    <xf numFmtId="167" fontId="7" fillId="0" borderId="1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9" xfId="0" applyFont="1" applyBorder="1" applyAlignment="1">
      <alignment horizontal="center" vertical="center" textRotation="90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textRotation="90"/>
    </xf>
    <xf numFmtId="0" fontId="4" fillId="0" borderId="16" xfId="0" applyFont="1" applyBorder="1" applyAlignment="1">
      <alignment horizontal="center" vertical="center" textRotation="90"/>
    </xf>
    <xf numFmtId="0" fontId="4" fillId="0" borderId="23" xfId="0" applyFont="1" applyBorder="1" applyAlignment="1">
      <alignment horizontal="center" vertical="center" textRotation="90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 textRotation="90"/>
    </xf>
    <xf numFmtId="0" fontId="11" fillId="0" borderId="27" xfId="0" applyFont="1" applyBorder="1" applyAlignment="1">
      <alignment horizontal="center" vertical="center" textRotation="90"/>
    </xf>
    <xf numFmtId="0" fontId="11" fillId="0" borderId="31" xfId="0" applyFont="1" applyBorder="1" applyAlignment="1">
      <alignment horizontal="center" vertical="center" textRotation="90"/>
    </xf>
    <xf numFmtId="0" fontId="0" fillId="0" borderId="9" xfId="0" applyBorder="1" applyAlignment="1">
      <alignment horizontal="center" vertical="center"/>
    </xf>
    <xf numFmtId="0" fontId="0" fillId="0" borderId="9" xfId="0" applyFill="1" applyBorder="1"/>
    <xf numFmtId="0" fontId="0" fillId="0" borderId="14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0" borderId="9" xfId="0" applyFill="1" applyBorder="1" applyAlignment="1">
      <alignment horizontal="center" vertical="center"/>
    </xf>
    <xf numFmtId="0" fontId="0" fillId="0" borderId="32" xfId="0" applyFill="1" applyBorder="1"/>
    <xf numFmtId="0" fontId="0" fillId="0" borderId="9" xfId="0" applyFill="1" applyBorder="1" applyAlignment="1">
      <alignment horizontal="left" vertical="center"/>
    </xf>
    <xf numFmtId="0" fontId="0" fillId="0" borderId="9" xfId="0" applyFill="1" applyBorder="1" applyAlignment="1">
      <alignment vertical="center"/>
    </xf>
    <xf numFmtId="0" fontId="0" fillId="0" borderId="14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0" borderId="33" xfId="0" applyFill="1" applyBorder="1"/>
    <xf numFmtId="0" fontId="0" fillId="0" borderId="34" xfId="0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4" fillId="0" borderId="24" xfId="0" applyFont="1" applyBorder="1" applyAlignment="1">
      <alignment horizontal="center" vertical="center"/>
    </xf>
    <xf numFmtId="0" fontId="0" fillId="0" borderId="9" xfId="0" applyBorder="1"/>
    <xf numFmtId="0" fontId="11" fillId="5" borderId="3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5" borderId="35" xfId="0" applyFill="1" applyBorder="1" applyAlignment="1">
      <alignment horizontal="center"/>
    </xf>
    <xf numFmtId="0" fontId="0" fillId="0" borderId="37" xfId="0" applyBorder="1" applyAlignment="1">
      <alignment horizontal="center"/>
    </xf>
    <xf numFmtId="0" fontId="4" fillId="0" borderId="9" xfId="0" applyFont="1" applyBorder="1"/>
    <xf numFmtId="0" fontId="3" fillId="0" borderId="38" xfId="0" applyFont="1" applyFill="1" applyBorder="1" applyAlignment="1">
      <alignment horizontal="center" vertical="center" textRotation="90" wrapText="1"/>
    </xf>
    <xf numFmtId="0" fontId="3" fillId="0" borderId="14" xfId="0" applyFont="1" applyFill="1" applyBorder="1" applyAlignment="1">
      <alignment horizontal="center" vertical="center" textRotation="90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3" fillId="0" borderId="9" xfId="0" applyFont="1" applyFill="1" applyBorder="1" applyAlignment="1">
      <alignment horizontal="center" vertical="center" textRotation="90" wrapText="1"/>
    </xf>
    <xf numFmtId="0" fontId="11" fillId="0" borderId="9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top"/>
    </xf>
    <xf numFmtId="0" fontId="6" fillId="2" borderId="44" xfId="0" applyFont="1" applyFill="1" applyBorder="1" applyAlignment="1">
      <alignment horizontal="center" vertical="top" wrapText="1"/>
    </xf>
    <xf numFmtId="0" fontId="0" fillId="2" borderId="27" xfId="0" applyFill="1" applyBorder="1" applyAlignment="1">
      <alignment horizontal="center" vertical="top" wrapText="1"/>
    </xf>
    <xf numFmtId="0" fontId="13" fillId="2" borderId="27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9" xfId="0" applyFont="1" applyFill="1" applyBorder="1"/>
    <xf numFmtId="0" fontId="3" fillId="5" borderId="9" xfId="0" applyFont="1" applyFill="1" applyBorder="1"/>
    <xf numFmtId="166" fontId="3" fillId="2" borderId="9" xfId="0" applyNumberFormat="1" applyFont="1" applyFill="1" applyBorder="1" applyAlignment="1">
      <alignment horizontal="center" vertical="top" wrapText="1"/>
    </xf>
    <xf numFmtId="166" fontId="15" fillId="0" borderId="9" xfId="0" applyNumberFormat="1" applyFont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/>
    </xf>
    <xf numFmtId="1" fontId="7" fillId="0" borderId="9" xfId="0" applyNumberFormat="1" applyFont="1" applyFill="1" applyBorder="1" applyAlignment="1">
      <alignment horizontal="center"/>
    </xf>
    <xf numFmtId="166" fontId="7" fillId="0" borderId="9" xfId="0" applyNumberFormat="1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top" wrapText="1"/>
    </xf>
    <xf numFmtId="0" fontId="15" fillId="0" borderId="9" xfId="0" applyNumberFormat="1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top" wrapText="1"/>
    </xf>
    <xf numFmtId="0" fontId="16" fillId="0" borderId="9" xfId="0" applyFont="1" applyBorder="1" applyAlignment="1">
      <alignment vertical="center" wrapText="1"/>
    </xf>
    <xf numFmtId="1" fontId="16" fillId="0" borderId="9" xfId="0" applyNumberFormat="1" applyFont="1" applyBorder="1" applyAlignment="1">
      <alignment horizontal="center" vertical="center" wrapText="1"/>
    </xf>
    <xf numFmtId="166" fontId="16" fillId="0" borderId="9" xfId="0" applyNumberFormat="1" applyFont="1" applyBorder="1" applyAlignment="1">
      <alignment horizontal="center" vertical="center" wrapText="1"/>
    </xf>
    <xf numFmtId="0" fontId="7" fillId="2" borderId="9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 vertical="top" wrapText="1"/>
    </xf>
    <xf numFmtId="1" fontId="3" fillId="2" borderId="9" xfId="0" applyNumberFormat="1" applyFont="1" applyFill="1" applyBorder="1" applyAlignment="1">
      <alignment horizontal="center" vertical="top" wrapText="1"/>
    </xf>
    <xf numFmtId="166" fontId="15" fillId="2" borderId="9" xfId="0" applyNumberFormat="1" applyFont="1" applyFill="1" applyBorder="1" applyAlignment="1">
      <alignment horizontal="center" vertical="top" wrapText="1"/>
    </xf>
    <xf numFmtId="0" fontId="7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center" vertical="top" wrapText="1"/>
    </xf>
    <xf numFmtId="1" fontId="15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Alignment="1">
      <alignment vertical="top"/>
    </xf>
    <xf numFmtId="0" fontId="3" fillId="2" borderId="44" xfId="0" applyFont="1" applyFill="1" applyBorder="1" applyAlignment="1">
      <alignment horizontal="center" vertical="top" wrapText="1"/>
    </xf>
    <xf numFmtId="0" fontId="3" fillId="2" borderId="27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/>
    </xf>
    <xf numFmtId="0" fontId="15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 wrapText="1"/>
    </xf>
    <xf numFmtId="166" fontId="15" fillId="2" borderId="0" xfId="0" applyNumberFormat="1" applyFont="1" applyFill="1" applyBorder="1" applyAlignment="1">
      <alignment horizontal="center" vertical="top" wrapText="1"/>
    </xf>
    <xf numFmtId="2" fontId="3" fillId="2" borderId="9" xfId="0" applyNumberFormat="1" applyFont="1" applyFill="1" applyBorder="1" applyAlignment="1">
      <alignment horizontal="center" vertical="top" wrapText="1"/>
    </xf>
    <xf numFmtId="0" fontId="0" fillId="2" borderId="9" xfId="0" applyFill="1" applyBorder="1" applyAlignment="1">
      <alignment vertical="top"/>
    </xf>
    <xf numFmtId="0" fontId="3" fillId="0" borderId="0" xfId="0" applyFont="1"/>
    <xf numFmtId="49" fontId="3" fillId="0" borderId="0" xfId="0" applyNumberFormat="1" applyFont="1"/>
    <xf numFmtId="49" fontId="3" fillId="0" borderId="0" xfId="0" applyNumberFormat="1" applyFont="1" applyAlignment="1"/>
    <xf numFmtId="0" fontId="14" fillId="0" borderId="0" xfId="0" applyFont="1"/>
    <xf numFmtId="49" fontId="14" fillId="0" borderId="0" xfId="0" applyNumberFormat="1" applyFont="1"/>
    <xf numFmtId="49" fontId="14" fillId="0" borderId="0" xfId="0" applyNumberFormat="1" applyFont="1" applyAlignment="1"/>
    <xf numFmtId="49" fontId="7" fillId="0" borderId="0" xfId="0" applyNumberFormat="1" applyFont="1" applyAlignment="1">
      <alignment horizontal="left" wrapText="1"/>
    </xf>
    <xf numFmtId="0" fontId="13" fillId="0" borderId="0" xfId="0" applyFont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20" xfId="0" applyFont="1" applyFill="1" applyBorder="1" applyAlignment="1">
      <alignment horizontal="center" vertical="top" wrapText="1"/>
    </xf>
    <xf numFmtId="0" fontId="3" fillId="2" borderId="41" xfId="0" applyFont="1" applyFill="1" applyBorder="1" applyAlignment="1">
      <alignment horizontal="center" vertical="top" wrapText="1"/>
    </xf>
    <xf numFmtId="0" fontId="3" fillId="2" borderId="39" xfId="0" applyFont="1" applyFill="1" applyBorder="1" applyAlignment="1">
      <alignment horizontal="center" vertical="top" wrapText="1"/>
    </xf>
    <xf numFmtId="0" fontId="3" fillId="2" borderId="4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40" xfId="0" applyFont="1" applyFill="1" applyBorder="1" applyAlignment="1">
      <alignment horizontal="center" vertical="top" wrapText="1"/>
    </xf>
    <xf numFmtId="0" fontId="3" fillId="2" borderId="43" xfId="0" applyFont="1" applyFill="1" applyBorder="1" applyAlignment="1">
      <alignment horizontal="center" vertical="top" wrapText="1"/>
    </xf>
    <xf numFmtId="0" fontId="6" fillId="2" borderId="21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20" xfId="0" applyFont="1" applyFill="1" applyBorder="1" applyAlignment="1">
      <alignment horizontal="center" vertical="top" wrapText="1"/>
    </xf>
    <xf numFmtId="0" fontId="6" fillId="2" borderId="41" xfId="0" applyFont="1" applyFill="1" applyBorder="1" applyAlignment="1">
      <alignment horizontal="center" vertical="top" wrapText="1"/>
    </xf>
    <xf numFmtId="0" fontId="6" fillId="2" borderId="39" xfId="0" applyFont="1" applyFill="1" applyBorder="1" applyAlignment="1">
      <alignment horizontal="center" vertical="top" wrapText="1"/>
    </xf>
    <xf numFmtId="0" fontId="6" fillId="2" borderId="42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40" xfId="0" applyFont="1" applyFill="1" applyBorder="1" applyAlignment="1">
      <alignment horizontal="center" vertical="top" wrapText="1"/>
    </xf>
    <xf numFmtId="0" fontId="6" fillId="2" borderId="43" xfId="0" applyFont="1" applyFill="1" applyBorder="1" applyAlignment="1">
      <alignment horizontal="center" vertical="top" wrapText="1"/>
    </xf>
    <xf numFmtId="0" fontId="7" fillId="5" borderId="0" xfId="0" applyFont="1" applyFill="1" applyAlignment="1">
      <alignment vertical="center"/>
    </xf>
    <xf numFmtId="0" fontId="0" fillId="5" borderId="0" xfId="0" applyFill="1" applyAlignment="1"/>
    <xf numFmtId="0" fontId="7" fillId="5" borderId="39" xfId="0" applyFont="1" applyFill="1" applyBorder="1" applyAlignment="1">
      <alignment vertical="center"/>
    </xf>
    <xf numFmtId="0" fontId="0" fillId="5" borderId="39" xfId="0" applyFill="1" applyBorder="1" applyAlignment="1"/>
    <xf numFmtId="49" fontId="3" fillId="0" borderId="0" xfId="0" applyNumberFormat="1" applyFont="1" applyAlignment="1"/>
    <xf numFmtId="0" fontId="0" fillId="0" borderId="0" xfId="0" applyAlignment="1"/>
    <xf numFmtId="49" fontId="14" fillId="0" borderId="0" xfId="0" applyNumberFormat="1" applyFont="1" applyAlignment="1">
      <alignment horizontal="center"/>
    </xf>
    <xf numFmtId="0" fontId="12" fillId="0" borderId="40" xfId="0" applyFont="1" applyBorder="1" applyAlignment="1">
      <alignment vertical="top" wrapText="1"/>
    </xf>
    <xf numFmtId="0" fontId="12" fillId="0" borderId="43" xfId="0" applyFont="1" applyBorder="1" applyAlignment="1">
      <alignment vertical="top" wrapText="1"/>
    </xf>
    <xf numFmtId="0" fontId="4" fillId="0" borderId="20" xfId="0" applyFont="1" applyBorder="1" applyAlignment="1">
      <alignment horizontal="center" vertical="center" textRotation="90" wrapText="1"/>
    </xf>
    <xf numFmtId="0" fontId="4" fillId="0" borderId="25" xfId="0" applyFont="1" applyBorder="1" applyAlignment="1">
      <alignment horizontal="center" vertical="center" textRotation="90" wrapText="1"/>
    </xf>
    <xf numFmtId="0" fontId="9" fillId="0" borderId="8" xfId="0" applyFont="1" applyBorder="1" applyAlignment="1">
      <alignment horizontal="center" vertical="center" textRotation="90" wrapText="1"/>
    </xf>
    <xf numFmtId="0" fontId="9" fillId="0" borderId="10" xfId="0" applyFont="1" applyBorder="1" applyAlignment="1">
      <alignment horizontal="center" vertical="center" textRotation="90" wrapText="1"/>
    </xf>
    <xf numFmtId="0" fontId="10" fillId="4" borderId="24" xfId="0" applyFont="1" applyFill="1" applyBorder="1" applyAlignment="1">
      <alignment horizontal="center" vertical="center" textRotation="89" wrapText="1"/>
    </xf>
    <xf numFmtId="0" fontId="11" fillId="0" borderId="11" xfId="0" applyFont="1" applyBorder="1" applyAlignment="1">
      <alignment vertical="center" textRotation="89" wrapText="1"/>
    </xf>
    <xf numFmtId="0" fontId="2" fillId="4" borderId="15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0"/>
  <sheetViews>
    <sheetView tabSelected="1" topLeftCell="A325" workbookViewId="0">
      <selection activeCell="C362" sqref="C362"/>
    </sheetView>
  </sheetViews>
  <sheetFormatPr defaultColWidth="9.08984375" defaultRowHeight="14.5"/>
  <cols>
    <col min="1" max="1" width="7.453125" style="94" customWidth="1"/>
    <col min="2" max="2" width="38.7265625" style="94" customWidth="1"/>
    <col min="3" max="3" width="8.26953125" style="94" customWidth="1"/>
    <col min="4" max="6" width="8.7265625" style="94" customWidth="1"/>
    <col min="7" max="7" width="9.26953125" style="94" customWidth="1"/>
    <col min="8" max="8" width="9.453125" style="94" customWidth="1"/>
    <col min="9" max="11" width="8.7265625" style="94" customWidth="1"/>
    <col min="12" max="12" width="9.453125" style="94" customWidth="1"/>
    <col min="13" max="13" width="8.7265625" style="94" customWidth="1"/>
    <col min="14" max="16384" width="9.08984375" style="94"/>
  </cols>
  <sheetData>
    <row r="1" spans="1:13">
      <c r="A1" s="160" t="s">
        <v>0</v>
      </c>
      <c r="B1" s="161"/>
    </row>
    <row r="2" spans="1:13">
      <c r="A2" s="160" t="s">
        <v>1</v>
      </c>
      <c r="B2" s="161"/>
    </row>
    <row r="3" spans="1:13">
      <c r="A3" s="162" t="s">
        <v>2</v>
      </c>
      <c r="B3" s="163"/>
    </row>
    <row r="4" spans="1:13" ht="15.5">
      <c r="A4" s="157" t="s">
        <v>3</v>
      </c>
      <c r="B4" s="157" t="s">
        <v>4</v>
      </c>
      <c r="C4" s="157" t="s">
        <v>5</v>
      </c>
      <c r="D4" s="151" t="s">
        <v>6</v>
      </c>
      <c r="E4" s="152"/>
      <c r="F4" s="153"/>
      <c r="G4" s="157" t="s">
        <v>7</v>
      </c>
      <c r="H4" s="151" t="s">
        <v>8</v>
      </c>
      <c r="I4" s="152"/>
      <c r="J4" s="153"/>
      <c r="K4" s="151" t="s">
        <v>9</v>
      </c>
      <c r="L4" s="152"/>
      <c r="M4" s="153"/>
    </row>
    <row r="5" spans="1:13" ht="15.5">
      <c r="A5" s="167"/>
      <c r="B5" s="158"/>
      <c r="C5" s="158"/>
      <c r="D5" s="154" t="s">
        <v>10</v>
      </c>
      <c r="E5" s="155"/>
      <c r="F5" s="156"/>
      <c r="G5" s="158"/>
      <c r="H5" s="154"/>
      <c r="I5" s="155"/>
      <c r="J5" s="156"/>
      <c r="K5" s="154"/>
      <c r="L5" s="155"/>
      <c r="M5" s="156"/>
    </row>
    <row r="6" spans="1:13" ht="18" customHeight="1">
      <c r="A6" s="168"/>
      <c r="B6" s="159"/>
      <c r="C6" s="159"/>
      <c r="D6" s="95" t="s">
        <v>11</v>
      </c>
      <c r="E6" s="95" t="s">
        <v>12</v>
      </c>
      <c r="F6" s="95" t="s">
        <v>13</v>
      </c>
      <c r="G6" s="159"/>
      <c r="H6" s="95" t="s">
        <v>14</v>
      </c>
      <c r="I6" s="95" t="s">
        <v>15</v>
      </c>
      <c r="J6" s="95" t="s">
        <v>16</v>
      </c>
      <c r="K6" s="95" t="s">
        <v>17</v>
      </c>
      <c r="L6" s="95" t="s">
        <v>18</v>
      </c>
      <c r="M6" s="95" t="s">
        <v>19</v>
      </c>
    </row>
    <row r="7" spans="1:13" ht="16" customHeight="1">
      <c r="A7" s="96"/>
      <c r="B7" s="97" t="s">
        <v>20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</row>
    <row r="8" spans="1:13" ht="16" customHeight="1">
      <c r="A8" s="99">
        <v>304</v>
      </c>
      <c r="B8" s="100" t="s">
        <v>21</v>
      </c>
      <c r="C8" s="101">
        <v>150</v>
      </c>
      <c r="D8" s="102">
        <f>24.3*C8/1000</f>
        <v>3.645</v>
      </c>
      <c r="E8" s="102">
        <f>35.8*C8/1000</f>
        <v>5.37</v>
      </c>
      <c r="F8" s="102">
        <f>244.6*C8/1000</f>
        <v>36.69</v>
      </c>
      <c r="G8" s="102">
        <f>1398*C8/1000</f>
        <v>209.7</v>
      </c>
      <c r="H8" s="102">
        <f>0</f>
        <v>0</v>
      </c>
      <c r="I8" s="102">
        <f>0.2*C8/1000</f>
        <v>0.03</v>
      </c>
      <c r="J8" s="102">
        <f>0</f>
        <v>0</v>
      </c>
      <c r="K8" s="102">
        <f>9.1*C8/1000</f>
        <v>1.365</v>
      </c>
      <c r="L8" s="102">
        <f>406.3*C8/1000</f>
        <v>60.945</v>
      </c>
      <c r="M8" s="102">
        <f>3.5*C8/1000</f>
        <v>0.52500000000000002</v>
      </c>
    </row>
    <row r="9" spans="1:13" ht="16" customHeight="1">
      <c r="A9" s="99">
        <v>229</v>
      </c>
      <c r="B9" s="100" t="s">
        <v>22</v>
      </c>
      <c r="C9" s="101">
        <v>100</v>
      </c>
      <c r="D9" s="102">
        <f>97.5*C9/1000</f>
        <v>9.75</v>
      </c>
      <c r="E9" s="102">
        <f>49.5*C9/1000</f>
        <v>4.95</v>
      </c>
      <c r="F9" s="102">
        <f>38*C9/1000</f>
        <v>3.8</v>
      </c>
      <c r="G9" s="102">
        <f>1050*C9/1000</f>
        <v>105</v>
      </c>
      <c r="H9" s="102">
        <f>58.2*C9/1000</f>
        <v>5.82</v>
      </c>
      <c r="I9" s="102">
        <f>0.5*C9/1000</f>
        <v>0.05</v>
      </c>
      <c r="J9" s="102">
        <f>37.3*C9/1000</f>
        <v>3.73</v>
      </c>
      <c r="K9" s="102">
        <f>390.7*C9/1000</f>
        <v>39.07</v>
      </c>
      <c r="L9" s="102">
        <f>1621.9*C9/1000</f>
        <v>162.19</v>
      </c>
      <c r="M9" s="102">
        <f>8.5*C9/1000</f>
        <v>0.85</v>
      </c>
    </row>
    <row r="10" spans="1:13">
      <c r="A10" s="99">
        <v>379</v>
      </c>
      <c r="B10" s="100" t="s">
        <v>23</v>
      </c>
      <c r="C10" s="101">
        <v>200</v>
      </c>
      <c r="D10" s="103">
        <f>15.8*C10/1000</f>
        <v>3.16</v>
      </c>
      <c r="E10" s="103">
        <f>13.4*C10/1000</f>
        <v>2.68</v>
      </c>
      <c r="F10" s="103">
        <f>79.7*C10/1000</f>
        <v>15.94</v>
      </c>
      <c r="G10" s="103">
        <f>503*C10/1000</f>
        <v>100.6</v>
      </c>
      <c r="H10" s="103">
        <f>100*C10/1000</f>
        <v>20</v>
      </c>
      <c r="I10" s="103">
        <f>0.22*C10/1000</f>
        <v>4.3999999999999997E-2</v>
      </c>
      <c r="J10" s="103">
        <f>6.5*C10/1000</f>
        <v>1.3</v>
      </c>
      <c r="K10" s="103">
        <f>628.9*C10/1000</f>
        <v>125.78</v>
      </c>
      <c r="L10" s="103">
        <f>450*C10/1000</f>
        <v>90</v>
      </c>
      <c r="M10" s="103">
        <f>0.7*C10/1000</f>
        <v>0.14000000000000001</v>
      </c>
    </row>
    <row r="11" spans="1:13" ht="16" customHeight="1">
      <c r="A11" s="99">
        <v>14</v>
      </c>
      <c r="B11" s="100" t="s">
        <v>24</v>
      </c>
      <c r="C11" s="101">
        <v>10</v>
      </c>
      <c r="D11" s="103">
        <f>8*C11/1000</f>
        <v>0.08</v>
      </c>
      <c r="E11" s="103">
        <f>725*C11/1000</f>
        <v>7.25</v>
      </c>
      <c r="F11" s="103">
        <f>13*C11/1000</f>
        <v>0.13</v>
      </c>
      <c r="G11" s="103">
        <f>6600*C11/1000</f>
        <v>66</v>
      </c>
      <c r="H11" s="103">
        <f>4000*C11/1000</f>
        <v>40</v>
      </c>
      <c r="I11" s="103">
        <f>0</f>
        <v>0</v>
      </c>
      <c r="J11" s="103">
        <f>0</f>
        <v>0</v>
      </c>
      <c r="K11" s="103">
        <f>240*C11/1000</f>
        <v>2.4</v>
      </c>
      <c r="L11" s="103">
        <f>300*C11/1000</f>
        <v>3</v>
      </c>
      <c r="M11" s="103">
        <f>2*C11/1000</f>
        <v>0.02</v>
      </c>
    </row>
    <row r="12" spans="1:13" ht="16" customHeight="1">
      <c r="A12" s="104"/>
      <c r="B12" s="100" t="s">
        <v>25</v>
      </c>
      <c r="C12" s="101">
        <v>30</v>
      </c>
      <c r="D12" s="102">
        <f>107*C12/1000</f>
        <v>3.21</v>
      </c>
      <c r="E12" s="102">
        <f>45*C12/1000</f>
        <v>1.35</v>
      </c>
      <c r="F12" s="102">
        <f>435*C12/1000</f>
        <v>13.05</v>
      </c>
      <c r="G12" s="102">
        <f>2740*C12/1000</f>
        <v>82.2</v>
      </c>
      <c r="H12" s="102">
        <f>0</f>
        <v>0</v>
      </c>
      <c r="I12" s="102">
        <f>4.1*C12/1000</f>
        <v>0.123</v>
      </c>
      <c r="J12" s="102">
        <f>2*C12/1000</f>
        <v>0.06</v>
      </c>
      <c r="K12" s="102">
        <f>1250*C12/1000</f>
        <v>37.5</v>
      </c>
      <c r="L12" s="102">
        <f>1290*C12/1000</f>
        <v>38.700000000000003</v>
      </c>
      <c r="M12" s="102">
        <f>36*C12/1000</f>
        <v>1.08</v>
      </c>
    </row>
    <row r="13" spans="1:13" ht="16" customHeight="1">
      <c r="A13" s="104"/>
      <c r="B13" s="100" t="s">
        <v>26</v>
      </c>
      <c r="C13" s="101">
        <v>20</v>
      </c>
      <c r="D13" s="103">
        <f>85*C13/1000</f>
        <v>1.7</v>
      </c>
      <c r="E13" s="103">
        <f>33*C13/1000</f>
        <v>0.66</v>
      </c>
      <c r="F13" s="103">
        <f>425*C13/1000</f>
        <v>8.5</v>
      </c>
      <c r="G13" s="103">
        <f>2590*C13/1000</f>
        <v>51.8</v>
      </c>
      <c r="H13" s="103">
        <f>0</f>
        <v>0</v>
      </c>
      <c r="I13" s="103">
        <f>4.3*C13/1000</f>
        <v>8.5999999999999993E-2</v>
      </c>
      <c r="J13" s="103">
        <f>4*C13/1000</f>
        <v>0.08</v>
      </c>
      <c r="K13" s="103">
        <f>730*C13/1000</f>
        <v>14.6</v>
      </c>
      <c r="L13" s="103">
        <f>1250*C13/1000</f>
        <v>25</v>
      </c>
      <c r="M13" s="103">
        <f>28.3*C13/1000</f>
        <v>0.56599999999999995</v>
      </c>
    </row>
    <row r="14" spans="1:13" ht="16" customHeight="1">
      <c r="A14" s="104">
        <v>338</v>
      </c>
      <c r="B14" s="100" t="s">
        <v>27</v>
      </c>
      <c r="C14" s="101">
        <v>100</v>
      </c>
      <c r="D14" s="102">
        <f>4*C14/1000</f>
        <v>0.4</v>
      </c>
      <c r="E14" s="102">
        <f>4*C14/1000</f>
        <v>0.4</v>
      </c>
      <c r="F14" s="102">
        <f>98*C14/1000</f>
        <v>9.8000000000000007</v>
      </c>
      <c r="G14" s="102">
        <f>470*C14/1000</f>
        <v>47</v>
      </c>
      <c r="H14" s="102">
        <f>0</f>
        <v>0</v>
      </c>
      <c r="I14" s="102">
        <f>0.3*C14/1000</f>
        <v>0.03</v>
      </c>
      <c r="J14" s="102">
        <f>100*C14/1000</f>
        <v>10</v>
      </c>
      <c r="K14" s="102">
        <f>160*C14/1000</f>
        <v>16</v>
      </c>
      <c r="L14" s="102">
        <f>110*C14/1000</f>
        <v>11</v>
      </c>
      <c r="M14" s="102">
        <f>22*C14/1000</f>
        <v>2.2000000000000002</v>
      </c>
    </row>
    <row r="15" spans="1:13" ht="16" customHeight="1">
      <c r="A15" s="104"/>
      <c r="B15" s="105" t="s">
        <v>28</v>
      </c>
      <c r="C15" s="106">
        <f t="shared" ref="C15:M15" si="0">SUM(C8:C14)</f>
        <v>610</v>
      </c>
      <c r="D15" s="107">
        <f t="shared" si="0"/>
        <v>21.945</v>
      </c>
      <c r="E15" s="107">
        <f t="shared" si="0"/>
        <v>22.66</v>
      </c>
      <c r="F15" s="107">
        <f t="shared" si="0"/>
        <v>87.91</v>
      </c>
      <c r="G15" s="107">
        <f t="shared" si="0"/>
        <v>662.3</v>
      </c>
      <c r="H15" s="107">
        <f t="shared" si="0"/>
        <v>65.819999999999993</v>
      </c>
      <c r="I15" s="107">
        <f t="shared" si="0"/>
        <v>0.36299999999999999</v>
      </c>
      <c r="J15" s="107">
        <f t="shared" si="0"/>
        <v>15.17</v>
      </c>
      <c r="K15" s="107">
        <f t="shared" si="0"/>
        <v>236.715</v>
      </c>
      <c r="L15" s="107">
        <f t="shared" si="0"/>
        <v>390.83499999999998</v>
      </c>
      <c r="M15" s="107">
        <f t="shared" si="0"/>
        <v>5.3810000000000002</v>
      </c>
    </row>
    <row r="16" spans="1:13" ht="16" customHeight="1">
      <c r="A16" s="104"/>
      <c r="B16" s="108" t="s">
        <v>29</v>
      </c>
      <c r="C16" s="109"/>
      <c r="D16" s="102"/>
      <c r="E16" s="102"/>
      <c r="F16" s="102"/>
      <c r="G16" s="102"/>
      <c r="H16" s="102"/>
      <c r="I16" s="102"/>
      <c r="J16" s="102"/>
      <c r="K16" s="102"/>
      <c r="L16" s="102"/>
      <c r="M16" s="102"/>
    </row>
    <row r="17" spans="1:13" ht="16" customHeight="1">
      <c r="A17" s="99">
        <v>55</v>
      </c>
      <c r="B17" s="100" t="s">
        <v>30</v>
      </c>
      <c r="C17" s="101">
        <v>60</v>
      </c>
      <c r="D17" s="102">
        <f>14.2*C17/1000</f>
        <v>0.85199999999999998</v>
      </c>
      <c r="E17" s="102">
        <f>60.3*C17/1000</f>
        <v>3.6179999999999999</v>
      </c>
      <c r="F17" s="102">
        <f>62.8*C17/1000</f>
        <v>3.7679999999999998</v>
      </c>
      <c r="G17" s="102">
        <f>850*C17/1000</f>
        <v>51</v>
      </c>
      <c r="H17" s="102">
        <f>0*C17/1000</f>
        <v>0</v>
      </c>
      <c r="I17" s="102">
        <f>0.3*C17/1000</f>
        <v>1.7999999999999999E-2</v>
      </c>
      <c r="J17" s="102">
        <f>59.5*C17/1000</f>
        <v>3.57</v>
      </c>
      <c r="K17" s="102">
        <f>307.2*C17/1000</f>
        <v>18.431999999999999</v>
      </c>
      <c r="L17" s="102">
        <f>395*C17/1000</f>
        <v>23.7</v>
      </c>
      <c r="M17" s="102">
        <f>10.7*C17/1000</f>
        <v>0.64200000000000002</v>
      </c>
    </row>
    <row r="18" spans="1:13" ht="16" customHeight="1">
      <c r="A18" s="104">
        <v>88</v>
      </c>
      <c r="B18" s="100" t="s">
        <v>31</v>
      </c>
      <c r="C18" s="101">
        <v>200</v>
      </c>
      <c r="D18" s="102">
        <f>7.1*C18/1000</f>
        <v>1.42</v>
      </c>
      <c r="E18" s="102">
        <f>19.8*C18/1000</f>
        <v>3.96</v>
      </c>
      <c r="F18" s="102">
        <f>31.6*C18/1000</f>
        <v>6.32</v>
      </c>
      <c r="G18" s="102">
        <f>359*C18/1000</f>
        <v>71.8</v>
      </c>
      <c r="H18" s="102">
        <f>0*C18/1000</f>
        <v>0</v>
      </c>
      <c r="I18" s="102">
        <f>0.2*C18/1000</f>
        <v>0.04</v>
      </c>
      <c r="J18" s="102">
        <f>63.1*C18/1000</f>
        <v>12.62</v>
      </c>
      <c r="K18" s="102">
        <f>197*C18/1000</f>
        <v>39.4</v>
      </c>
      <c r="L18" s="102">
        <f>196*C18/1000</f>
        <v>39.200000000000003</v>
      </c>
      <c r="M18" s="102">
        <f>3.3*C18/1000</f>
        <v>0.66</v>
      </c>
    </row>
    <row r="19" spans="1:13" ht="16" customHeight="1">
      <c r="A19" s="99">
        <v>312</v>
      </c>
      <c r="B19" s="100" t="s">
        <v>32</v>
      </c>
      <c r="C19" s="101">
        <v>150</v>
      </c>
      <c r="D19" s="102">
        <f>20.4*C19/1000</f>
        <v>3.06</v>
      </c>
      <c r="E19" s="102">
        <f>32*C19/1000</f>
        <v>4.8</v>
      </c>
      <c r="F19" s="102">
        <f>136.3*C19/1000</f>
        <v>20.445</v>
      </c>
      <c r="G19" s="102">
        <f>915*C19/1000</f>
        <v>137.25</v>
      </c>
      <c r="H19" s="102">
        <f>0</f>
        <v>0</v>
      </c>
      <c r="I19" s="102">
        <f>0.9*C19/1000</f>
        <v>0.13500000000000001</v>
      </c>
      <c r="J19" s="102">
        <f>121.1*C19/1000</f>
        <v>18.164999999999999</v>
      </c>
      <c r="K19" s="102">
        <f>246.5*C19/1000</f>
        <v>36.975000000000001</v>
      </c>
      <c r="L19" s="102">
        <f>577.3*C19/1000</f>
        <v>86.594999999999999</v>
      </c>
      <c r="M19" s="102">
        <f>6.7*C19/1000</f>
        <v>1.0049999999999999</v>
      </c>
    </row>
    <row r="20" spans="1:13">
      <c r="A20" s="99">
        <v>268</v>
      </c>
      <c r="B20" s="100" t="s">
        <v>33</v>
      </c>
      <c r="C20" s="101">
        <v>90</v>
      </c>
      <c r="D20" s="102">
        <f>129*C20/1000</f>
        <v>11.61</v>
      </c>
      <c r="E20" s="102">
        <f>334.2*C20/1000</f>
        <v>30.077999999999999</v>
      </c>
      <c r="F20" s="102">
        <f>132.2*C20/1000</f>
        <v>11.898</v>
      </c>
      <c r="G20" s="102">
        <f>4080*C20/1000</f>
        <v>367.2</v>
      </c>
      <c r="H20" s="102">
        <f>400*C20/1000</f>
        <v>36</v>
      </c>
      <c r="I20" s="102">
        <f>3.6*C20/1000</f>
        <v>0.32400000000000001</v>
      </c>
      <c r="J20" s="102">
        <f>42.8*C20/1000</f>
        <v>3.8519999999999999</v>
      </c>
      <c r="K20" s="102">
        <f>115*C20/1000</f>
        <v>10.35</v>
      </c>
      <c r="L20" s="102">
        <f>1541.6*C20/1000</f>
        <v>138.744</v>
      </c>
      <c r="M20" s="102">
        <f>32*C20/1000</f>
        <v>2.88</v>
      </c>
    </row>
    <row r="21" spans="1:13" ht="16" customHeight="1">
      <c r="A21" s="99">
        <v>359</v>
      </c>
      <c r="B21" s="100" t="s">
        <v>34</v>
      </c>
      <c r="C21" s="101">
        <v>200</v>
      </c>
      <c r="D21" s="102">
        <f>1.6*C21/1000</f>
        <v>0.32</v>
      </c>
      <c r="E21" s="102">
        <f>0</f>
        <v>0</v>
      </c>
      <c r="F21" s="102">
        <f>197*C21/1000</f>
        <v>39.4</v>
      </c>
      <c r="G21" s="102">
        <f>800*C21/1000</f>
        <v>160</v>
      </c>
      <c r="H21" s="102">
        <f>0</f>
        <v>0</v>
      </c>
      <c r="I21" s="102">
        <f>0.1*C21/1000</f>
        <v>0.02</v>
      </c>
      <c r="J21" s="102">
        <f>12*C21/1000</f>
        <v>2.4</v>
      </c>
      <c r="K21" s="102">
        <f>112.3*C21/1000</f>
        <v>22.46</v>
      </c>
      <c r="L21" s="102">
        <f>92.5*C21/1000</f>
        <v>18.5</v>
      </c>
      <c r="M21" s="102">
        <f>0.96*C21/1000</f>
        <v>0.192</v>
      </c>
    </row>
    <row r="22" spans="1:13" ht="16" customHeight="1">
      <c r="A22" s="104"/>
      <c r="B22" s="100" t="s">
        <v>25</v>
      </c>
      <c r="C22" s="101">
        <v>30</v>
      </c>
      <c r="D22" s="102">
        <f>107*C22/1000</f>
        <v>3.21</v>
      </c>
      <c r="E22" s="102">
        <f>45*C22/1000</f>
        <v>1.35</v>
      </c>
      <c r="F22" s="102">
        <f>435*C22/1000</f>
        <v>13.05</v>
      </c>
      <c r="G22" s="102">
        <f>2740*C22/1000</f>
        <v>82.2</v>
      </c>
      <c r="H22" s="102">
        <f>0</f>
        <v>0</v>
      </c>
      <c r="I22" s="102">
        <f>4.1*C22/1000</f>
        <v>0.123</v>
      </c>
      <c r="J22" s="102">
        <f>2*C22/1000</f>
        <v>0.06</v>
      </c>
      <c r="K22" s="102">
        <f>1250*C22/1000</f>
        <v>37.5</v>
      </c>
      <c r="L22" s="102">
        <f>1290*C22/1000</f>
        <v>38.700000000000003</v>
      </c>
      <c r="M22" s="102">
        <f>36*C22/1000</f>
        <v>1.08</v>
      </c>
    </row>
    <row r="23" spans="1:13" ht="16" customHeight="1">
      <c r="A23" s="110"/>
      <c r="B23" s="100" t="s">
        <v>26</v>
      </c>
      <c r="C23" s="101">
        <v>20</v>
      </c>
      <c r="D23" s="103">
        <f>85*C23/1000</f>
        <v>1.7</v>
      </c>
      <c r="E23" s="103">
        <f>33*C23/1000</f>
        <v>0.66</v>
      </c>
      <c r="F23" s="103">
        <f>425*C23/1000</f>
        <v>8.5</v>
      </c>
      <c r="G23" s="103">
        <f>2590*C23/1000</f>
        <v>51.8</v>
      </c>
      <c r="H23" s="103">
        <f>0</f>
        <v>0</v>
      </c>
      <c r="I23" s="103">
        <f>4.3*C23/1000</f>
        <v>8.5999999999999993E-2</v>
      </c>
      <c r="J23" s="103">
        <f>4*C23/1000</f>
        <v>0.08</v>
      </c>
      <c r="K23" s="103">
        <f>730*C23/1000</f>
        <v>14.6</v>
      </c>
      <c r="L23" s="103">
        <f>1250*C23/1000</f>
        <v>25</v>
      </c>
      <c r="M23" s="103">
        <f>28.3*C23/1000</f>
        <v>0.56599999999999995</v>
      </c>
    </row>
    <row r="24" spans="1:13" ht="16" customHeight="1">
      <c r="A24" s="99">
        <v>15</v>
      </c>
      <c r="B24" s="100" t="s">
        <v>35</v>
      </c>
      <c r="C24" s="101">
        <v>10</v>
      </c>
      <c r="D24" s="111">
        <f>232*C24/1000</f>
        <v>2.3199999999999998</v>
      </c>
      <c r="E24" s="111">
        <f>295*C24/1000</f>
        <v>2.95</v>
      </c>
      <c r="F24" s="111">
        <f>0</f>
        <v>0</v>
      </c>
      <c r="G24" s="111">
        <f>3600*C24/1000</f>
        <v>36</v>
      </c>
      <c r="H24" s="111">
        <f>2600*C24/1000</f>
        <v>26</v>
      </c>
      <c r="I24" s="111">
        <f>0.3*C24/1000</f>
        <v>3.0000000000000001E-3</v>
      </c>
      <c r="J24" s="111">
        <f>7*C24/1000</f>
        <v>7.0000000000000007E-2</v>
      </c>
      <c r="K24" s="111">
        <f>8800*C24/1000</f>
        <v>88</v>
      </c>
      <c r="L24" s="111">
        <f>5000*C24/1000</f>
        <v>50</v>
      </c>
      <c r="M24" s="111">
        <f>10*C24/1000</f>
        <v>0.1</v>
      </c>
    </row>
    <row r="25" spans="1:13" ht="16" customHeight="1">
      <c r="A25" s="110"/>
      <c r="B25" s="105" t="s">
        <v>28</v>
      </c>
      <c r="C25" s="106">
        <f t="shared" ref="C25:M25" si="1">SUM(C17:C24)</f>
        <v>760</v>
      </c>
      <c r="D25" s="107">
        <f t="shared" si="1"/>
        <v>24.492000000000001</v>
      </c>
      <c r="E25" s="107">
        <f t="shared" si="1"/>
        <v>47.415999999999997</v>
      </c>
      <c r="F25" s="107">
        <f t="shared" si="1"/>
        <v>103.381</v>
      </c>
      <c r="G25" s="107">
        <f t="shared" si="1"/>
        <v>957.25</v>
      </c>
      <c r="H25" s="107">
        <f t="shared" si="1"/>
        <v>62</v>
      </c>
      <c r="I25" s="107">
        <f t="shared" si="1"/>
        <v>0.749</v>
      </c>
      <c r="J25" s="107">
        <f t="shared" si="1"/>
        <v>40.817</v>
      </c>
      <c r="K25" s="107">
        <f t="shared" si="1"/>
        <v>267.71699999999998</v>
      </c>
      <c r="L25" s="107">
        <f t="shared" si="1"/>
        <v>420.43900000000002</v>
      </c>
      <c r="M25" s="107">
        <f t="shared" si="1"/>
        <v>7.125</v>
      </c>
    </row>
    <row r="26" spans="1:13" ht="16" customHeight="1">
      <c r="A26" s="110"/>
      <c r="B26" s="112" t="s">
        <v>36</v>
      </c>
      <c r="C26" s="113">
        <f t="shared" ref="C26:M26" si="2">C15+C25</f>
        <v>1370</v>
      </c>
      <c r="D26" s="114">
        <f t="shared" si="2"/>
        <v>46.436999999999998</v>
      </c>
      <c r="E26" s="114">
        <f t="shared" si="2"/>
        <v>70.075999999999993</v>
      </c>
      <c r="F26" s="114">
        <f t="shared" si="2"/>
        <v>191.291</v>
      </c>
      <c r="G26" s="114">
        <f t="shared" si="2"/>
        <v>1619.55</v>
      </c>
      <c r="H26" s="114">
        <f t="shared" si="2"/>
        <v>127.82</v>
      </c>
      <c r="I26" s="114">
        <f t="shared" si="2"/>
        <v>1.1120000000000001</v>
      </c>
      <c r="J26" s="114">
        <f t="shared" si="2"/>
        <v>55.987000000000002</v>
      </c>
      <c r="K26" s="114">
        <f t="shared" si="2"/>
        <v>504.43200000000002</v>
      </c>
      <c r="L26" s="114">
        <f t="shared" si="2"/>
        <v>811.274</v>
      </c>
      <c r="M26" s="114">
        <f t="shared" si="2"/>
        <v>12.506</v>
      </c>
    </row>
    <row r="27" spans="1:13" ht="16" customHeight="1">
      <c r="A27" s="115"/>
      <c r="B27" s="116" t="s">
        <v>37</v>
      </c>
      <c r="C27" s="117">
        <v>1200</v>
      </c>
      <c r="D27" s="118">
        <v>42.4</v>
      </c>
      <c r="E27" s="118">
        <v>43.5</v>
      </c>
      <c r="F27" s="118">
        <v>184.3</v>
      </c>
      <c r="G27" s="118">
        <v>1292.5</v>
      </c>
      <c r="H27" s="118">
        <v>385</v>
      </c>
      <c r="I27" s="118">
        <v>0.7</v>
      </c>
      <c r="J27" s="118">
        <v>33</v>
      </c>
      <c r="K27" s="118">
        <v>605</v>
      </c>
      <c r="L27" s="118">
        <v>605</v>
      </c>
      <c r="M27" s="118">
        <v>6.6</v>
      </c>
    </row>
    <row r="28" spans="1:13" ht="16" customHeight="1">
      <c r="A28" s="119"/>
      <c r="B28" s="120"/>
      <c r="C28" s="121"/>
      <c r="D28" s="122"/>
      <c r="E28" s="122"/>
      <c r="F28" s="122"/>
      <c r="G28" s="122"/>
      <c r="H28" s="122"/>
      <c r="I28" s="131"/>
      <c r="J28" s="122"/>
      <c r="K28" s="122"/>
      <c r="L28" s="122"/>
      <c r="M28" s="122"/>
    </row>
    <row r="29" spans="1:13" ht="16" customHeight="1">
      <c r="A29" s="119"/>
      <c r="B29" s="120"/>
      <c r="C29" s="121"/>
      <c r="D29" s="122"/>
      <c r="E29" s="122"/>
      <c r="F29" s="122"/>
      <c r="G29" s="122"/>
      <c r="H29" s="122"/>
      <c r="I29" s="131"/>
      <c r="J29" s="122"/>
      <c r="K29" s="122"/>
      <c r="L29" s="122"/>
      <c r="M29" s="122"/>
    </row>
    <row r="30" spans="1:13" ht="16" customHeight="1">
      <c r="A30" s="119"/>
      <c r="B30" s="120"/>
      <c r="C30" s="121"/>
      <c r="D30" s="122"/>
      <c r="E30" s="122"/>
      <c r="F30" s="122"/>
      <c r="G30" s="122"/>
      <c r="H30" s="122"/>
      <c r="I30" s="131"/>
      <c r="J30" s="122"/>
      <c r="K30" s="122"/>
      <c r="L30" s="122"/>
      <c r="M30" s="122"/>
    </row>
    <row r="31" spans="1:13" ht="16" customHeight="1">
      <c r="A31" s="119"/>
      <c r="B31" s="120"/>
      <c r="C31" s="121"/>
      <c r="D31" s="122"/>
      <c r="E31" s="122"/>
      <c r="F31" s="122"/>
      <c r="G31" s="122"/>
      <c r="H31" s="122"/>
      <c r="I31" s="131"/>
      <c r="J31" s="122"/>
      <c r="K31" s="122"/>
      <c r="L31" s="122"/>
      <c r="M31" s="122"/>
    </row>
    <row r="32" spans="1:13" ht="16" customHeight="1">
      <c r="A32" s="119"/>
      <c r="B32" s="120"/>
      <c r="C32" s="121"/>
      <c r="D32" s="122"/>
      <c r="E32" s="122"/>
      <c r="F32" s="122"/>
      <c r="G32" s="122"/>
      <c r="H32" s="122"/>
      <c r="I32" s="131"/>
      <c r="J32" s="122"/>
      <c r="K32" s="122"/>
      <c r="L32" s="122"/>
      <c r="M32" s="122"/>
    </row>
    <row r="33" spans="1:13" ht="16" customHeight="1">
      <c r="A33" s="119"/>
      <c r="B33" s="120"/>
      <c r="C33" s="121"/>
      <c r="D33" s="122"/>
      <c r="E33" s="122"/>
      <c r="F33" s="122"/>
      <c r="G33" s="122"/>
      <c r="H33" s="122"/>
      <c r="I33" s="131"/>
      <c r="J33" s="122"/>
      <c r="K33" s="122"/>
      <c r="L33" s="122"/>
      <c r="M33" s="122"/>
    </row>
    <row r="34" spans="1:13" ht="16" customHeight="1">
      <c r="A34" s="119"/>
      <c r="B34" s="120"/>
      <c r="C34" s="121"/>
      <c r="D34" s="122"/>
      <c r="E34" s="122"/>
      <c r="F34" s="122"/>
      <c r="G34" s="122"/>
      <c r="H34" s="122"/>
      <c r="I34" s="131"/>
      <c r="J34" s="122"/>
      <c r="K34" s="122"/>
      <c r="L34" s="122"/>
      <c r="M34" s="122"/>
    </row>
    <row r="35" spans="1:13" ht="16" customHeight="1">
      <c r="A35" s="119"/>
      <c r="B35" s="120"/>
      <c r="C35" s="121"/>
      <c r="D35" s="122"/>
      <c r="E35" s="122"/>
      <c r="F35" s="122"/>
      <c r="G35" s="122"/>
      <c r="H35" s="122"/>
      <c r="I35" s="131"/>
      <c r="J35" s="122"/>
      <c r="K35" s="122"/>
      <c r="L35" s="122"/>
      <c r="M35" s="122"/>
    </row>
    <row r="36" spans="1:13">
      <c r="D36" s="123"/>
      <c r="E36" s="123"/>
      <c r="F36" s="123"/>
      <c r="G36" s="123"/>
      <c r="H36" s="123"/>
      <c r="I36" s="123"/>
      <c r="J36" s="123"/>
      <c r="K36" s="123"/>
      <c r="L36" s="123"/>
      <c r="M36" s="123"/>
    </row>
    <row r="37" spans="1:13">
      <c r="A37" s="160" t="s">
        <v>38</v>
      </c>
      <c r="B37" s="161"/>
      <c r="D37" s="123"/>
      <c r="E37" s="123"/>
      <c r="F37" s="123"/>
      <c r="G37" s="123"/>
      <c r="H37" s="123"/>
      <c r="I37" s="123"/>
      <c r="J37" s="123"/>
      <c r="K37" s="123"/>
      <c r="L37" s="123"/>
      <c r="M37" s="123"/>
    </row>
    <row r="38" spans="1:13">
      <c r="A38" s="160" t="s">
        <v>1</v>
      </c>
      <c r="B38" s="161"/>
      <c r="D38" s="123"/>
      <c r="E38" s="123"/>
      <c r="F38" s="123"/>
      <c r="G38" s="123"/>
      <c r="H38" s="123"/>
      <c r="I38" s="123"/>
      <c r="J38" s="123"/>
      <c r="K38" s="123"/>
      <c r="L38" s="123"/>
      <c r="M38" s="123"/>
    </row>
    <row r="39" spans="1:13">
      <c r="A39" s="162" t="s">
        <v>2</v>
      </c>
      <c r="B39" s="163"/>
      <c r="D39" s="123"/>
      <c r="E39" s="123"/>
      <c r="F39" s="123"/>
      <c r="G39" s="123"/>
      <c r="H39" s="123"/>
      <c r="I39" s="123"/>
      <c r="J39" s="123"/>
      <c r="K39" s="123"/>
      <c r="L39" s="123"/>
      <c r="M39" s="123"/>
    </row>
    <row r="40" spans="1:13">
      <c r="A40" s="157" t="s">
        <v>3</v>
      </c>
      <c r="B40" s="157" t="s">
        <v>4</v>
      </c>
      <c r="C40" s="157" t="s">
        <v>5</v>
      </c>
      <c r="D40" s="142" t="s">
        <v>6</v>
      </c>
      <c r="E40" s="143"/>
      <c r="F40" s="144"/>
      <c r="G40" s="148" t="s">
        <v>7</v>
      </c>
      <c r="H40" s="142" t="s">
        <v>8</v>
      </c>
      <c r="I40" s="143"/>
      <c r="J40" s="144"/>
      <c r="K40" s="142" t="s">
        <v>9</v>
      </c>
      <c r="L40" s="143"/>
      <c r="M40" s="144"/>
    </row>
    <row r="41" spans="1:13">
      <c r="A41" s="167"/>
      <c r="B41" s="158"/>
      <c r="C41" s="158"/>
      <c r="D41" s="145" t="s">
        <v>10</v>
      </c>
      <c r="E41" s="146"/>
      <c r="F41" s="147"/>
      <c r="G41" s="149"/>
      <c r="H41" s="145"/>
      <c r="I41" s="146"/>
      <c r="J41" s="147"/>
      <c r="K41" s="145"/>
      <c r="L41" s="146"/>
      <c r="M41" s="147"/>
    </row>
    <row r="42" spans="1:13" ht="17">
      <c r="A42" s="168"/>
      <c r="B42" s="159"/>
      <c r="C42" s="159"/>
      <c r="D42" s="124" t="s">
        <v>11</v>
      </c>
      <c r="E42" s="124" t="s">
        <v>12</v>
      </c>
      <c r="F42" s="124" t="s">
        <v>13</v>
      </c>
      <c r="G42" s="150"/>
      <c r="H42" s="124" t="s">
        <v>14</v>
      </c>
      <c r="I42" s="124" t="s">
        <v>39</v>
      </c>
      <c r="J42" s="124" t="s">
        <v>16</v>
      </c>
      <c r="K42" s="124" t="s">
        <v>17</v>
      </c>
      <c r="L42" s="124" t="s">
        <v>18</v>
      </c>
      <c r="M42" s="124" t="s">
        <v>19</v>
      </c>
    </row>
    <row r="43" spans="1:13" ht="18">
      <c r="A43" s="96"/>
      <c r="B43" s="97" t="s">
        <v>20</v>
      </c>
      <c r="C43" s="98"/>
      <c r="D43" s="125"/>
      <c r="E43" s="125"/>
      <c r="F43" s="125"/>
      <c r="G43" s="125"/>
      <c r="H43" s="125"/>
      <c r="I43" s="125"/>
      <c r="J43" s="125"/>
      <c r="K43" s="125"/>
      <c r="L43" s="125"/>
      <c r="M43" s="125"/>
    </row>
    <row r="44" spans="1:13">
      <c r="A44" s="99">
        <v>173</v>
      </c>
      <c r="B44" s="100" t="s">
        <v>40</v>
      </c>
      <c r="C44" s="101">
        <v>180</v>
      </c>
      <c r="D44" s="102">
        <f>43.25*C44/1000</f>
        <v>7.7850000000000001</v>
      </c>
      <c r="E44" s="102">
        <f>55.3*C44/1000</f>
        <v>9.9540000000000006</v>
      </c>
      <c r="F44" s="102">
        <f>221.6*C44/1000</f>
        <v>39.887999999999998</v>
      </c>
      <c r="G44" s="102">
        <f>1560*C44/1000</f>
        <v>280.8</v>
      </c>
      <c r="H44" s="102">
        <f>274*C44/1000</f>
        <v>49.32</v>
      </c>
      <c r="I44" s="102">
        <f>0.7*C44/1000</f>
        <v>0.126</v>
      </c>
      <c r="J44" s="102">
        <f>4.8*C44/1000</f>
        <v>0.86399999999999999</v>
      </c>
      <c r="K44" s="102">
        <f>733.9*C44/1000</f>
        <v>132.102</v>
      </c>
      <c r="L44" s="102">
        <f>1106.5*C44/1000</f>
        <v>199.17</v>
      </c>
      <c r="M44" s="102">
        <f>11.7*C44/1000</f>
        <v>2.1059999999999999</v>
      </c>
    </row>
    <row r="45" spans="1:13">
      <c r="A45" s="99">
        <v>377</v>
      </c>
      <c r="B45" s="100" t="s">
        <v>41</v>
      </c>
      <c r="C45" s="101">
        <v>200</v>
      </c>
      <c r="D45" s="102">
        <v>0.13</v>
      </c>
      <c r="E45" s="102">
        <v>0.02</v>
      </c>
      <c r="F45" s="102">
        <v>15.2</v>
      </c>
      <c r="G45" s="102">
        <v>62</v>
      </c>
      <c r="H45" s="102">
        <v>0</v>
      </c>
      <c r="I45" s="102">
        <v>0</v>
      </c>
      <c r="J45" s="102">
        <v>2.84</v>
      </c>
      <c r="K45" s="102">
        <v>14.2</v>
      </c>
      <c r="L45" s="102">
        <v>4.4000000000000004</v>
      </c>
      <c r="M45" s="102">
        <v>0.36</v>
      </c>
    </row>
    <row r="46" spans="1:13">
      <c r="A46" s="104"/>
      <c r="B46" s="100" t="s">
        <v>25</v>
      </c>
      <c r="C46" s="101">
        <v>30</v>
      </c>
      <c r="D46" s="102">
        <f>107*C46/1000</f>
        <v>3.21</v>
      </c>
      <c r="E46" s="102">
        <f>45*C46/1000</f>
        <v>1.35</v>
      </c>
      <c r="F46" s="102">
        <f>435*C46/1000</f>
        <v>13.05</v>
      </c>
      <c r="G46" s="102">
        <f>2740*C46/1000</f>
        <v>82.2</v>
      </c>
      <c r="H46" s="102">
        <f>0</f>
        <v>0</v>
      </c>
      <c r="I46" s="102">
        <f>4.1*C46/1000</f>
        <v>0.123</v>
      </c>
      <c r="J46" s="102">
        <f>2*C46/1000</f>
        <v>0.06</v>
      </c>
      <c r="K46" s="102">
        <f>1250*C46/1000</f>
        <v>37.5</v>
      </c>
      <c r="L46" s="102">
        <f>1290*C46/1000</f>
        <v>38.700000000000003</v>
      </c>
      <c r="M46" s="102">
        <f>36*C46/1000</f>
        <v>1.08</v>
      </c>
    </row>
    <row r="47" spans="1:13">
      <c r="A47" s="104"/>
      <c r="B47" s="100" t="s">
        <v>26</v>
      </c>
      <c r="C47" s="101">
        <v>20</v>
      </c>
      <c r="D47" s="103">
        <f>85*C47/1000</f>
        <v>1.7</v>
      </c>
      <c r="E47" s="103">
        <f>33*C47/1000</f>
        <v>0.66</v>
      </c>
      <c r="F47" s="103">
        <f>425*C47/1000</f>
        <v>8.5</v>
      </c>
      <c r="G47" s="103">
        <f>2590*C47/1000</f>
        <v>51.8</v>
      </c>
      <c r="H47" s="103">
        <f>0</f>
        <v>0</v>
      </c>
      <c r="I47" s="103">
        <f>4.3*C47/1000</f>
        <v>8.5999999999999993E-2</v>
      </c>
      <c r="J47" s="103">
        <f>4*C47/1000</f>
        <v>0.08</v>
      </c>
      <c r="K47" s="103">
        <f>730*C47/1000</f>
        <v>14.6</v>
      </c>
      <c r="L47" s="103">
        <f>1250*C47/1000</f>
        <v>25</v>
      </c>
      <c r="M47" s="103">
        <f>28.3*C47/1000</f>
        <v>0.56599999999999995</v>
      </c>
    </row>
    <row r="48" spans="1:13">
      <c r="A48" s="104">
        <v>14</v>
      </c>
      <c r="B48" s="100" t="s">
        <v>24</v>
      </c>
      <c r="C48" s="101">
        <v>10</v>
      </c>
      <c r="D48" s="103">
        <f>8*C48/1000</f>
        <v>0.08</v>
      </c>
      <c r="E48" s="103">
        <f>725*C48/1000</f>
        <v>7.25</v>
      </c>
      <c r="F48" s="103">
        <f>13*C48/1000</f>
        <v>0.13</v>
      </c>
      <c r="G48" s="103">
        <f>6600*C48/1000</f>
        <v>66</v>
      </c>
      <c r="H48" s="103">
        <f>4000*C48/1000</f>
        <v>40</v>
      </c>
      <c r="I48" s="103">
        <f>0</f>
        <v>0</v>
      </c>
      <c r="J48" s="103">
        <f>0</f>
        <v>0</v>
      </c>
      <c r="K48" s="103">
        <f>240*C48/1000</f>
        <v>2.4</v>
      </c>
      <c r="L48" s="103">
        <f>300*C48/1000</f>
        <v>3</v>
      </c>
      <c r="M48" s="103">
        <f>2*C48/1000</f>
        <v>0.02</v>
      </c>
    </row>
    <row r="49" spans="1:13" ht="16" customHeight="1">
      <c r="A49" s="104"/>
      <c r="B49" s="100" t="s">
        <v>42</v>
      </c>
      <c r="C49" s="101">
        <v>200</v>
      </c>
      <c r="D49" s="111">
        <f>41*C49/1000</f>
        <v>8.1999999999999993</v>
      </c>
      <c r="E49" s="111">
        <f>15*C49/1000</f>
        <v>3</v>
      </c>
      <c r="F49" s="111">
        <f>59*C49/1000</f>
        <v>11.8</v>
      </c>
      <c r="G49" s="111">
        <f>570*C49/1000</f>
        <v>114</v>
      </c>
      <c r="H49" s="111">
        <f>100*C49/1000</f>
        <v>20</v>
      </c>
      <c r="I49" s="111">
        <f>0.3*C49/1000</f>
        <v>0.06</v>
      </c>
      <c r="J49" s="111">
        <f>6*C49/1000</f>
        <v>1.2</v>
      </c>
      <c r="K49" s="111">
        <f>1240*C49/1000</f>
        <v>248</v>
      </c>
      <c r="L49" s="111">
        <f>950*C49/1000</f>
        <v>190</v>
      </c>
      <c r="M49" s="111">
        <f>1*C49/1000</f>
        <v>0.2</v>
      </c>
    </row>
    <row r="50" spans="1:13">
      <c r="A50" s="99"/>
      <c r="B50" s="100"/>
      <c r="C50" s="100"/>
      <c r="D50" s="102"/>
      <c r="E50" s="102"/>
      <c r="F50" s="102"/>
      <c r="G50" s="102"/>
      <c r="H50" s="102"/>
      <c r="I50" s="102"/>
      <c r="J50" s="102"/>
      <c r="K50" s="102"/>
      <c r="L50" s="102"/>
      <c r="M50" s="102"/>
    </row>
    <row r="51" spans="1:13">
      <c r="A51" s="99"/>
      <c r="B51" s="105" t="s">
        <v>28</v>
      </c>
      <c r="C51" s="126">
        <f t="shared" ref="C51:M51" si="3">SUM(C44:C50)</f>
        <v>640</v>
      </c>
      <c r="D51" s="107">
        <f t="shared" si="3"/>
        <v>21.105</v>
      </c>
      <c r="E51" s="107">
        <f t="shared" si="3"/>
        <v>22.234000000000002</v>
      </c>
      <c r="F51" s="107">
        <f t="shared" si="3"/>
        <v>88.567999999999998</v>
      </c>
      <c r="G51" s="107">
        <f t="shared" si="3"/>
        <v>656.8</v>
      </c>
      <c r="H51" s="107">
        <f t="shared" si="3"/>
        <v>109.32</v>
      </c>
      <c r="I51" s="107">
        <f t="shared" si="3"/>
        <v>0.39500000000000002</v>
      </c>
      <c r="J51" s="107">
        <f t="shared" si="3"/>
        <v>5.0439999999999996</v>
      </c>
      <c r="K51" s="107">
        <f t="shared" si="3"/>
        <v>448.80200000000002</v>
      </c>
      <c r="L51" s="107">
        <f t="shared" si="3"/>
        <v>460.27</v>
      </c>
      <c r="M51" s="107">
        <f t="shared" si="3"/>
        <v>4.3319999999999999</v>
      </c>
    </row>
    <row r="52" spans="1:13" ht="18">
      <c r="A52" s="99"/>
      <c r="B52" s="108" t="s">
        <v>29</v>
      </c>
      <c r="C52" s="109"/>
      <c r="D52" s="102"/>
      <c r="E52" s="102"/>
      <c r="F52" s="102"/>
      <c r="G52" s="102"/>
      <c r="H52" s="102"/>
      <c r="I52" s="102"/>
      <c r="J52" s="102"/>
      <c r="K52" s="102"/>
      <c r="L52" s="102"/>
      <c r="M52" s="102"/>
    </row>
    <row r="53" spans="1:13">
      <c r="A53" s="99">
        <v>46</v>
      </c>
      <c r="B53" s="100" t="s">
        <v>43</v>
      </c>
      <c r="C53" s="101">
        <v>60</v>
      </c>
      <c r="D53" s="102">
        <f>13.1*C53/1000</f>
        <v>0.78600000000000003</v>
      </c>
      <c r="E53" s="102">
        <f>32.5*C53/1000</f>
        <v>1.95</v>
      </c>
      <c r="F53" s="102">
        <f>64.7*C53/1000</f>
        <v>3.8820000000000001</v>
      </c>
      <c r="G53" s="102">
        <f>604*C53/1000</f>
        <v>36.24</v>
      </c>
      <c r="H53" s="102">
        <f>0</f>
        <v>0</v>
      </c>
      <c r="I53" s="102">
        <f>0.2*C53/1000</f>
        <v>1.2E-2</v>
      </c>
      <c r="J53" s="102">
        <f>171*C53/1000</f>
        <v>10.26</v>
      </c>
      <c r="K53" s="102">
        <f>249.7*C53/1000</f>
        <v>14.981999999999999</v>
      </c>
      <c r="L53" s="102">
        <f>283.1*C53/1000</f>
        <v>16.986000000000001</v>
      </c>
      <c r="M53" s="102">
        <f>4.7*C53/1000</f>
        <v>0.28199999999999997</v>
      </c>
    </row>
    <row r="54" spans="1:13">
      <c r="A54" s="99">
        <v>96</v>
      </c>
      <c r="B54" s="100" t="s">
        <v>44</v>
      </c>
      <c r="C54" s="101">
        <v>200</v>
      </c>
      <c r="D54" s="102">
        <f>8.1*C54/1000</f>
        <v>1.62</v>
      </c>
      <c r="E54" s="102">
        <f>20.4*C54/1000</f>
        <v>4.08</v>
      </c>
      <c r="F54" s="102">
        <f>47.9*C54/1000</f>
        <v>9.58</v>
      </c>
      <c r="G54" s="102">
        <f>429*C54/1000</f>
        <v>85.8</v>
      </c>
      <c r="H54" s="102">
        <f>0</f>
        <v>0</v>
      </c>
      <c r="I54" s="102">
        <f>0.4*C54/1000</f>
        <v>0.08</v>
      </c>
      <c r="J54" s="102">
        <f>33.5*C54/1000</f>
        <v>6.7</v>
      </c>
      <c r="K54" s="102">
        <f>116.6*C54/1000</f>
        <v>23.32</v>
      </c>
      <c r="L54" s="102">
        <f>226.9*C54/1000</f>
        <v>45.38</v>
      </c>
      <c r="M54" s="102">
        <f>3.7*C54/1000</f>
        <v>0.74</v>
      </c>
    </row>
    <row r="55" spans="1:13">
      <c r="A55" s="99">
        <v>291</v>
      </c>
      <c r="B55" s="100" t="s">
        <v>45</v>
      </c>
      <c r="C55" s="101">
        <v>250</v>
      </c>
      <c r="D55" s="102">
        <f>90.1*C55/1000</f>
        <v>22.524999999999999</v>
      </c>
      <c r="E55" s="102">
        <f>44.7*C55/1000</f>
        <v>11.175000000000001</v>
      </c>
      <c r="F55" s="102">
        <f>182.3*C55/1000</f>
        <v>45.575000000000003</v>
      </c>
      <c r="G55" s="102">
        <f>1493.3*C55/1000</f>
        <v>373.32499999999999</v>
      </c>
      <c r="H55" s="102">
        <f>140*C55/1000</f>
        <v>35</v>
      </c>
      <c r="I55" s="102">
        <f>0.7*C55/1000</f>
        <v>0.17499999999999999</v>
      </c>
      <c r="J55" s="102">
        <f>32.7*C55/1000</f>
        <v>8.1750000000000007</v>
      </c>
      <c r="K55" s="102">
        <f>180.5*C55/1000</f>
        <v>45.125</v>
      </c>
      <c r="L55" s="102">
        <f>946.7*C55/1000</f>
        <v>236.67500000000001</v>
      </c>
      <c r="M55" s="102">
        <f>9.3*C55/1000</f>
        <v>2.3250000000000002</v>
      </c>
    </row>
    <row r="56" spans="1:13">
      <c r="A56" s="99">
        <v>379</v>
      </c>
      <c r="B56" s="100" t="s">
        <v>23</v>
      </c>
      <c r="C56" s="101">
        <v>200</v>
      </c>
      <c r="D56" s="103">
        <f>15.8*C56/1000</f>
        <v>3.16</v>
      </c>
      <c r="E56" s="103">
        <f>13.4*C56/1000</f>
        <v>2.68</v>
      </c>
      <c r="F56" s="103">
        <f>79.7*C56/1000</f>
        <v>15.94</v>
      </c>
      <c r="G56" s="103">
        <f>503*C56/1000</f>
        <v>100.6</v>
      </c>
      <c r="H56" s="103">
        <f>100*C56/1000</f>
        <v>20</v>
      </c>
      <c r="I56" s="103">
        <f>0.22*C56/1000</f>
        <v>4.3999999999999997E-2</v>
      </c>
      <c r="J56" s="103">
        <f>6.5*C56/1000</f>
        <v>1.3</v>
      </c>
      <c r="K56" s="103">
        <f>628.9*C56/1000</f>
        <v>125.78</v>
      </c>
      <c r="L56" s="103">
        <f>450*C56/1000</f>
        <v>90</v>
      </c>
      <c r="M56" s="103">
        <f>0.7*C56/1000</f>
        <v>0.14000000000000001</v>
      </c>
    </row>
    <row r="57" spans="1:13">
      <c r="A57" s="104"/>
      <c r="B57" s="100" t="s">
        <v>25</v>
      </c>
      <c r="C57" s="101">
        <v>30</v>
      </c>
      <c r="D57" s="102">
        <f>107*C57/1000</f>
        <v>3.21</v>
      </c>
      <c r="E57" s="102">
        <f>45*C57/1000</f>
        <v>1.35</v>
      </c>
      <c r="F57" s="102">
        <f>435*C57/1000</f>
        <v>13.05</v>
      </c>
      <c r="G57" s="102">
        <f>2740*C57/1000</f>
        <v>82.2</v>
      </c>
      <c r="H57" s="102">
        <f>0</f>
        <v>0</v>
      </c>
      <c r="I57" s="102">
        <f>4.1*C57/1000</f>
        <v>0.123</v>
      </c>
      <c r="J57" s="102">
        <f>2*C57/1000</f>
        <v>0.06</v>
      </c>
      <c r="K57" s="102">
        <f>1250*C57/1000</f>
        <v>37.5</v>
      </c>
      <c r="L57" s="102">
        <f>1290*C57/1000</f>
        <v>38.700000000000003</v>
      </c>
      <c r="M57" s="102">
        <f>36*C57/1000</f>
        <v>1.08</v>
      </c>
    </row>
    <row r="58" spans="1:13">
      <c r="A58" s="110"/>
      <c r="B58" s="100" t="s">
        <v>26</v>
      </c>
      <c r="C58" s="101">
        <v>20</v>
      </c>
      <c r="D58" s="103">
        <f>85*C58/1000</f>
        <v>1.7</v>
      </c>
      <c r="E58" s="103">
        <f>33*C58/1000</f>
        <v>0.66</v>
      </c>
      <c r="F58" s="103">
        <f>425*C58/1000</f>
        <v>8.5</v>
      </c>
      <c r="G58" s="103">
        <f>2590*C58/1000</f>
        <v>51.8</v>
      </c>
      <c r="H58" s="103">
        <f>0</f>
        <v>0</v>
      </c>
      <c r="I58" s="103">
        <f>4.3*C58/1000</f>
        <v>8.5999999999999993E-2</v>
      </c>
      <c r="J58" s="103">
        <f>4*C58/1000</f>
        <v>0.08</v>
      </c>
      <c r="K58" s="103">
        <f>730*C58/1000</f>
        <v>14.6</v>
      </c>
      <c r="L58" s="103">
        <f>1250*C58/1000</f>
        <v>25</v>
      </c>
      <c r="M58" s="103">
        <f>28.3*C58/1000</f>
        <v>0.56599999999999995</v>
      </c>
    </row>
    <row r="59" spans="1:13">
      <c r="A59" s="127"/>
      <c r="B59" s="105" t="s">
        <v>28</v>
      </c>
      <c r="C59" s="126">
        <f t="shared" ref="C59:M59" si="4">SUM(C53:C58)</f>
        <v>760</v>
      </c>
      <c r="D59" s="107">
        <f t="shared" si="4"/>
        <v>33.000999999999998</v>
      </c>
      <c r="E59" s="107">
        <f t="shared" si="4"/>
        <v>21.895</v>
      </c>
      <c r="F59" s="107">
        <f t="shared" si="4"/>
        <v>96.527000000000001</v>
      </c>
      <c r="G59" s="107">
        <f t="shared" si="4"/>
        <v>729.96500000000003</v>
      </c>
      <c r="H59" s="107">
        <f t="shared" si="4"/>
        <v>55</v>
      </c>
      <c r="I59" s="107">
        <f t="shared" si="4"/>
        <v>0.52</v>
      </c>
      <c r="J59" s="107">
        <f t="shared" si="4"/>
        <v>26.574999999999999</v>
      </c>
      <c r="K59" s="107">
        <f t="shared" si="4"/>
        <v>261.30700000000002</v>
      </c>
      <c r="L59" s="107">
        <f t="shared" si="4"/>
        <v>452.74099999999999</v>
      </c>
      <c r="M59" s="107">
        <f t="shared" si="4"/>
        <v>5.133</v>
      </c>
    </row>
    <row r="60" spans="1:13">
      <c r="A60" s="127"/>
      <c r="B60" s="105"/>
      <c r="C60" s="126"/>
      <c r="D60" s="107"/>
      <c r="E60" s="107"/>
      <c r="F60" s="107"/>
      <c r="G60" s="107"/>
      <c r="H60" s="107"/>
      <c r="I60" s="107"/>
      <c r="J60" s="107"/>
      <c r="K60" s="107"/>
      <c r="L60" s="107"/>
      <c r="M60" s="107"/>
    </row>
    <row r="61" spans="1:13" ht="18.75" customHeight="1">
      <c r="A61" s="127"/>
      <c r="B61" s="112" t="s">
        <v>36</v>
      </c>
      <c r="C61" s="128">
        <f t="shared" ref="C61:M61" si="5">C51+C59</f>
        <v>1400</v>
      </c>
      <c r="D61" s="114">
        <f t="shared" si="5"/>
        <v>54.106000000000002</v>
      </c>
      <c r="E61" s="114">
        <f t="shared" si="5"/>
        <v>44.128999999999998</v>
      </c>
      <c r="F61" s="114">
        <f t="shared" si="5"/>
        <v>185.095</v>
      </c>
      <c r="G61" s="114">
        <f t="shared" si="5"/>
        <v>1386.7650000000001</v>
      </c>
      <c r="H61" s="114">
        <f t="shared" si="5"/>
        <v>164.32</v>
      </c>
      <c r="I61" s="114">
        <f t="shared" si="5"/>
        <v>0.91500000000000004</v>
      </c>
      <c r="J61" s="114">
        <f t="shared" si="5"/>
        <v>31.619</v>
      </c>
      <c r="K61" s="114">
        <f t="shared" si="5"/>
        <v>710.10900000000004</v>
      </c>
      <c r="L61" s="114">
        <f t="shared" si="5"/>
        <v>913.01099999999997</v>
      </c>
      <c r="M61" s="114">
        <f t="shared" si="5"/>
        <v>9.4649999999999999</v>
      </c>
    </row>
    <row r="62" spans="1:13" ht="15.5">
      <c r="A62" s="115"/>
      <c r="B62" s="116" t="s">
        <v>37</v>
      </c>
      <c r="C62" s="117">
        <v>1200</v>
      </c>
      <c r="D62" s="118">
        <v>42.4</v>
      </c>
      <c r="E62" s="118">
        <v>43.5</v>
      </c>
      <c r="F62" s="118">
        <v>184.3</v>
      </c>
      <c r="G62" s="118">
        <v>1292.5</v>
      </c>
      <c r="H62" s="118">
        <v>385</v>
      </c>
      <c r="I62" s="118">
        <v>0.7</v>
      </c>
      <c r="J62" s="118">
        <v>33</v>
      </c>
      <c r="K62" s="118">
        <v>605</v>
      </c>
      <c r="L62" s="118">
        <v>605</v>
      </c>
      <c r="M62" s="118">
        <v>6.6</v>
      </c>
    </row>
    <row r="63" spans="1:13" ht="15.5">
      <c r="A63" s="129"/>
      <c r="B63" s="120"/>
      <c r="C63" s="130"/>
      <c r="D63" s="122"/>
      <c r="E63" s="122"/>
      <c r="F63" s="122"/>
      <c r="G63" s="122"/>
      <c r="H63" s="122"/>
      <c r="I63" s="131"/>
      <c r="J63" s="122"/>
      <c r="K63" s="122"/>
      <c r="L63" s="122"/>
      <c r="M63" s="122"/>
    </row>
    <row r="64" spans="1:13" ht="15.5">
      <c r="A64" s="129"/>
      <c r="B64" s="120"/>
      <c r="C64" s="130"/>
      <c r="D64" s="122"/>
      <c r="E64" s="122"/>
      <c r="F64" s="122"/>
      <c r="G64" s="122"/>
      <c r="H64" s="122"/>
      <c r="I64" s="131"/>
      <c r="J64" s="122"/>
      <c r="K64" s="122"/>
      <c r="L64" s="122"/>
      <c r="M64" s="122"/>
    </row>
    <row r="65" spans="1:13" ht="15.5">
      <c r="A65" s="129"/>
      <c r="B65" s="120"/>
      <c r="C65" s="130"/>
      <c r="D65" s="122"/>
      <c r="E65" s="122"/>
      <c r="F65" s="122"/>
      <c r="G65" s="122"/>
      <c r="H65" s="122"/>
      <c r="I65" s="131"/>
      <c r="J65" s="122"/>
      <c r="K65" s="122"/>
      <c r="L65" s="122"/>
      <c r="M65" s="122"/>
    </row>
    <row r="66" spans="1:13" ht="15.5">
      <c r="A66" s="129"/>
      <c r="B66" s="120"/>
      <c r="C66" s="130"/>
      <c r="D66" s="122"/>
      <c r="E66" s="122"/>
      <c r="F66" s="122"/>
      <c r="G66" s="122"/>
      <c r="H66" s="122"/>
      <c r="I66" s="131"/>
      <c r="J66" s="122"/>
      <c r="K66" s="122"/>
      <c r="L66" s="122"/>
      <c r="M66" s="122"/>
    </row>
    <row r="67" spans="1:13" ht="15.5">
      <c r="A67" s="129"/>
      <c r="B67" s="120"/>
      <c r="C67" s="130"/>
      <c r="D67" s="122"/>
      <c r="E67" s="122"/>
      <c r="F67" s="122"/>
      <c r="G67" s="122"/>
      <c r="H67" s="122"/>
      <c r="I67" s="131"/>
      <c r="J67" s="122"/>
      <c r="K67" s="122"/>
      <c r="L67" s="122"/>
      <c r="M67" s="122"/>
    </row>
    <row r="68" spans="1:13" ht="15.5">
      <c r="A68" s="129"/>
      <c r="B68" s="120"/>
      <c r="C68" s="130"/>
      <c r="D68" s="122"/>
      <c r="E68" s="122"/>
      <c r="F68" s="122"/>
      <c r="G68" s="122"/>
      <c r="H68" s="122"/>
      <c r="I68" s="131"/>
      <c r="J68" s="122"/>
      <c r="K68" s="122"/>
      <c r="L68" s="122"/>
      <c r="M68" s="122"/>
    </row>
    <row r="69" spans="1:13" ht="15.5">
      <c r="A69" s="129"/>
      <c r="B69" s="120"/>
      <c r="C69" s="130"/>
      <c r="D69" s="122"/>
      <c r="E69" s="122"/>
      <c r="F69" s="122"/>
      <c r="G69" s="122"/>
      <c r="H69" s="122"/>
      <c r="I69" s="131"/>
      <c r="J69" s="122"/>
      <c r="K69" s="122"/>
      <c r="L69" s="122"/>
      <c r="M69" s="122"/>
    </row>
    <row r="70" spans="1:13" ht="15.5">
      <c r="A70" s="129"/>
      <c r="B70" s="120"/>
      <c r="C70" s="130"/>
      <c r="D70" s="122"/>
      <c r="E70" s="122"/>
      <c r="F70" s="122"/>
      <c r="G70" s="122"/>
      <c r="H70" s="122"/>
      <c r="I70" s="131"/>
      <c r="J70" s="122"/>
      <c r="K70" s="122"/>
      <c r="L70" s="122"/>
      <c r="M70" s="122"/>
    </row>
    <row r="71" spans="1:13" ht="15.5">
      <c r="A71" s="129"/>
      <c r="B71" s="120"/>
      <c r="C71" s="130"/>
      <c r="D71" s="122"/>
      <c r="E71" s="122"/>
      <c r="F71" s="122"/>
      <c r="G71" s="122"/>
      <c r="H71" s="122"/>
      <c r="I71" s="131"/>
      <c r="J71" s="122"/>
      <c r="K71" s="122"/>
      <c r="L71" s="122"/>
      <c r="M71" s="122"/>
    </row>
    <row r="72" spans="1:13" ht="15.5">
      <c r="A72" s="129"/>
      <c r="B72" s="120"/>
      <c r="C72" s="130"/>
      <c r="D72" s="122"/>
      <c r="E72" s="122"/>
      <c r="F72" s="122"/>
      <c r="G72" s="122"/>
      <c r="H72" s="122"/>
      <c r="I72" s="131"/>
      <c r="J72" s="122"/>
      <c r="K72" s="122"/>
      <c r="L72" s="122"/>
      <c r="M72" s="122"/>
    </row>
    <row r="73" spans="1:13" ht="15.5">
      <c r="A73" s="129"/>
      <c r="B73" s="120"/>
      <c r="C73" s="130"/>
      <c r="D73" s="122"/>
      <c r="E73" s="122"/>
      <c r="F73" s="122"/>
      <c r="G73" s="122"/>
      <c r="H73" s="122"/>
      <c r="I73" s="131"/>
      <c r="J73" s="122"/>
      <c r="K73" s="122"/>
      <c r="L73" s="122"/>
      <c r="M73" s="122"/>
    </row>
    <row r="74" spans="1:13" ht="17.5">
      <c r="A74" s="160" t="s">
        <v>46</v>
      </c>
      <c r="B74" s="160"/>
      <c r="D74" s="123"/>
      <c r="E74" s="123"/>
      <c r="F74" s="123"/>
      <c r="G74" s="123"/>
      <c r="H74" s="123"/>
      <c r="I74" s="123"/>
      <c r="J74" s="123"/>
      <c r="K74" s="123"/>
      <c r="L74" s="123"/>
      <c r="M74" s="123"/>
    </row>
    <row r="75" spans="1:13">
      <c r="A75" s="160" t="s">
        <v>1</v>
      </c>
      <c r="B75" s="160"/>
      <c r="D75" s="123"/>
      <c r="E75" s="123"/>
      <c r="F75" s="123"/>
      <c r="G75" s="123"/>
      <c r="H75" s="123"/>
      <c r="I75" s="123"/>
      <c r="J75" s="123"/>
      <c r="K75" s="123"/>
      <c r="L75" s="123"/>
      <c r="M75" s="123"/>
    </row>
    <row r="76" spans="1:13">
      <c r="A76" s="162" t="s">
        <v>2</v>
      </c>
      <c r="B76" s="162"/>
      <c r="D76" s="123"/>
      <c r="E76" s="123"/>
      <c r="F76" s="123"/>
      <c r="G76" s="123"/>
      <c r="H76" s="123"/>
      <c r="I76" s="123"/>
      <c r="J76" s="123"/>
      <c r="K76" s="123"/>
      <c r="L76" s="123"/>
      <c r="M76" s="123"/>
    </row>
    <row r="77" spans="1:13" ht="15" customHeight="1">
      <c r="A77" s="157" t="s">
        <v>3</v>
      </c>
      <c r="B77" s="157" t="s">
        <v>4</v>
      </c>
      <c r="C77" s="157" t="s">
        <v>5</v>
      </c>
      <c r="D77" s="142" t="s">
        <v>6</v>
      </c>
      <c r="E77" s="143"/>
      <c r="F77" s="144"/>
      <c r="G77" s="148" t="s">
        <v>7</v>
      </c>
      <c r="H77" s="142" t="s">
        <v>8</v>
      </c>
      <c r="I77" s="143"/>
      <c r="J77" s="144"/>
      <c r="K77" s="142" t="s">
        <v>9</v>
      </c>
      <c r="L77" s="143"/>
      <c r="M77" s="144"/>
    </row>
    <row r="78" spans="1:13" ht="15.75" customHeight="1">
      <c r="A78" s="158"/>
      <c r="B78" s="158"/>
      <c r="C78" s="158"/>
      <c r="D78" s="145" t="s">
        <v>10</v>
      </c>
      <c r="E78" s="146"/>
      <c r="F78" s="147"/>
      <c r="G78" s="149"/>
      <c r="H78" s="145"/>
      <c r="I78" s="146"/>
      <c r="J78" s="147"/>
      <c r="K78" s="145"/>
      <c r="L78" s="146"/>
      <c r="M78" s="147"/>
    </row>
    <row r="79" spans="1:13" ht="17">
      <c r="A79" s="159"/>
      <c r="B79" s="159"/>
      <c r="C79" s="159"/>
      <c r="D79" s="124" t="s">
        <v>11</v>
      </c>
      <c r="E79" s="124" t="s">
        <v>12</v>
      </c>
      <c r="F79" s="124" t="s">
        <v>13</v>
      </c>
      <c r="G79" s="150"/>
      <c r="H79" s="124" t="s">
        <v>14</v>
      </c>
      <c r="I79" s="124" t="s">
        <v>39</v>
      </c>
      <c r="J79" s="124" t="s">
        <v>16</v>
      </c>
      <c r="K79" s="124" t="s">
        <v>17</v>
      </c>
      <c r="L79" s="124" t="s">
        <v>18</v>
      </c>
      <c r="M79" s="124" t="s">
        <v>19</v>
      </c>
    </row>
    <row r="80" spans="1:13" ht="18">
      <c r="A80" s="96"/>
      <c r="B80" s="97" t="s">
        <v>20</v>
      </c>
      <c r="C80" s="98"/>
      <c r="D80" s="125"/>
      <c r="E80" s="125"/>
      <c r="F80" s="125"/>
      <c r="G80" s="125"/>
      <c r="H80" s="125"/>
      <c r="I80" s="125"/>
      <c r="J80" s="125"/>
      <c r="K80" s="125"/>
      <c r="L80" s="125"/>
      <c r="M80" s="125"/>
    </row>
    <row r="81" spans="1:13">
      <c r="A81" s="99">
        <v>223</v>
      </c>
      <c r="B81" s="100" t="s">
        <v>47</v>
      </c>
      <c r="C81" s="101">
        <v>210</v>
      </c>
      <c r="D81" s="103">
        <f>178.48*C81/1000</f>
        <v>37.480800000000002</v>
      </c>
      <c r="E81" s="103">
        <f>121.4*C81/1000</f>
        <v>25.494</v>
      </c>
      <c r="F81" s="103">
        <f>272.2*C81/1000</f>
        <v>57.161999999999999</v>
      </c>
      <c r="G81" s="103">
        <f>2880*C81/1000</f>
        <v>604.79999999999995</v>
      </c>
      <c r="H81" s="103">
        <f>742*C81/1000</f>
        <v>155.82</v>
      </c>
      <c r="I81" s="103">
        <f>0.6*C81/1000</f>
        <v>0.126</v>
      </c>
      <c r="J81" s="103">
        <f>8*C81/1000</f>
        <v>1.68</v>
      </c>
      <c r="K81" s="103">
        <f>1562.8*C81/1000</f>
        <v>328.18799999999999</v>
      </c>
      <c r="L81" s="103">
        <f>2165*C81/1000</f>
        <v>454.65</v>
      </c>
      <c r="M81" s="103">
        <f>11.4*C81/1000</f>
        <v>2.3940000000000001</v>
      </c>
    </row>
    <row r="82" spans="1:13">
      <c r="A82" s="99">
        <v>209</v>
      </c>
      <c r="B82" s="100" t="s">
        <v>48</v>
      </c>
      <c r="C82" s="101">
        <v>40</v>
      </c>
      <c r="D82" s="102">
        <f>5.1</f>
        <v>5.0999999999999996</v>
      </c>
      <c r="E82" s="102">
        <f>4.6</f>
        <v>4.5999999999999996</v>
      </c>
      <c r="F82" s="102">
        <f>0.3</f>
        <v>0.3</v>
      </c>
      <c r="G82" s="102">
        <f>63</f>
        <v>63</v>
      </c>
      <c r="H82" s="102">
        <f>100</f>
        <v>100</v>
      </c>
      <c r="I82" s="102">
        <f>0.03</f>
        <v>0.03</v>
      </c>
      <c r="J82" s="102">
        <f>0</f>
        <v>0</v>
      </c>
      <c r="K82" s="102">
        <f>22</f>
        <v>22</v>
      </c>
      <c r="L82" s="102">
        <f>76.8</f>
        <v>76.8</v>
      </c>
      <c r="M82" s="102">
        <f>1</f>
        <v>1</v>
      </c>
    </row>
    <row r="83" spans="1:13">
      <c r="A83" s="99"/>
      <c r="B83" s="100" t="s">
        <v>25</v>
      </c>
      <c r="C83" s="101">
        <v>30</v>
      </c>
      <c r="D83" s="102">
        <f>107*C83/1000</f>
        <v>3.21</v>
      </c>
      <c r="E83" s="102">
        <f>45*C83/1000</f>
        <v>1.35</v>
      </c>
      <c r="F83" s="102">
        <f>435*C83/1000</f>
        <v>13.05</v>
      </c>
      <c r="G83" s="102">
        <f>2740*C83/1000</f>
        <v>82.2</v>
      </c>
      <c r="H83" s="102">
        <f>0</f>
        <v>0</v>
      </c>
      <c r="I83" s="102">
        <f>4.1*C83/1000</f>
        <v>0.123</v>
      </c>
      <c r="J83" s="102">
        <f>2*C83/1000</f>
        <v>0.06</v>
      </c>
      <c r="K83" s="102">
        <f>1250*C83/1000</f>
        <v>37.5</v>
      </c>
      <c r="L83" s="102">
        <f>1290*C83/1000</f>
        <v>38.700000000000003</v>
      </c>
      <c r="M83" s="102">
        <f>36*C83/1000</f>
        <v>1.08</v>
      </c>
    </row>
    <row r="84" spans="1:13">
      <c r="A84" s="104"/>
      <c r="B84" s="100" t="s">
        <v>26</v>
      </c>
      <c r="C84" s="101">
        <v>20</v>
      </c>
      <c r="D84" s="103">
        <f>85*C84/1000</f>
        <v>1.7</v>
      </c>
      <c r="E84" s="103">
        <f>33*C84/1000</f>
        <v>0.66</v>
      </c>
      <c r="F84" s="103">
        <f>425*C84/1000</f>
        <v>8.5</v>
      </c>
      <c r="G84" s="103">
        <f>2590*C84/1000</f>
        <v>51.8</v>
      </c>
      <c r="H84" s="103">
        <f>0</f>
        <v>0</v>
      </c>
      <c r="I84" s="103">
        <f>4.3*C84/1000</f>
        <v>8.5999999999999993E-2</v>
      </c>
      <c r="J84" s="103">
        <f>4*C84/1000</f>
        <v>0.08</v>
      </c>
      <c r="K84" s="103">
        <f>730*C84/1000</f>
        <v>14.6</v>
      </c>
      <c r="L84" s="103">
        <f>1250*C84/1000</f>
        <v>25</v>
      </c>
      <c r="M84" s="103">
        <f>28.3*C84/1000</f>
        <v>0.56599999999999995</v>
      </c>
    </row>
    <row r="85" spans="1:13">
      <c r="A85" s="104">
        <v>389</v>
      </c>
      <c r="B85" s="100" t="s">
        <v>49</v>
      </c>
      <c r="C85" s="101">
        <v>200</v>
      </c>
      <c r="D85" s="102">
        <f>4*C85/1000</f>
        <v>0.8</v>
      </c>
      <c r="E85" s="102">
        <f>4*C85/1000</f>
        <v>0.8</v>
      </c>
      <c r="F85" s="102">
        <f>98*C85/1000</f>
        <v>19.600000000000001</v>
      </c>
      <c r="G85" s="102">
        <f>470*C85/1000</f>
        <v>94</v>
      </c>
      <c r="H85" s="102">
        <f>0</f>
        <v>0</v>
      </c>
      <c r="I85" s="102">
        <f>0.3*C85/1000</f>
        <v>0.06</v>
      </c>
      <c r="J85" s="102">
        <f>100*C85/1000</f>
        <v>20</v>
      </c>
      <c r="K85" s="102">
        <f>160*C85/1000</f>
        <v>32</v>
      </c>
      <c r="L85" s="102">
        <f>110*C85/1000</f>
        <v>22</v>
      </c>
      <c r="M85" s="102">
        <f>22*C85/1000</f>
        <v>4.4000000000000004</v>
      </c>
    </row>
    <row r="86" spans="1:13">
      <c r="A86" s="99"/>
      <c r="B86" s="105" t="s">
        <v>28</v>
      </c>
      <c r="C86" s="107">
        <f>SUM(C81:C85)</f>
        <v>500</v>
      </c>
      <c r="D86" s="107">
        <f t="shared" ref="D86:M86" si="6">SUM(D81:D85)</f>
        <v>48.290799999999997</v>
      </c>
      <c r="E86" s="107">
        <f t="shared" si="6"/>
        <v>32.904000000000003</v>
      </c>
      <c r="F86" s="107">
        <f t="shared" si="6"/>
        <v>98.611999999999995</v>
      </c>
      <c r="G86" s="107">
        <f t="shared" si="6"/>
        <v>895.8</v>
      </c>
      <c r="H86" s="107">
        <f t="shared" si="6"/>
        <v>255.82</v>
      </c>
      <c r="I86" s="107">
        <f t="shared" si="6"/>
        <v>0.42499999999999999</v>
      </c>
      <c r="J86" s="107">
        <f t="shared" si="6"/>
        <v>21.82</v>
      </c>
      <c r="K86" s="107">
        <f t="shared" si="6"/>
        <v>434.28800000000001</v>
      </c>
      <c r="L86" s="107">
        <f t="shared" si="6"/>
        <v>617.15</v>
      </c>
      <c r="M86" s="107">
        <f t="shared" si="6"/>
        <v>9.44</v>
      </c>
    </row>
    <row r="87" spans="1:13" ht="18">
      <c r="A87" s="99"/>
      <c r="B87" s="108" t="s">
        <v>29</v>
      </c>
      <c r="C87" s="109"/>
      <c r="D87" s="102"/>
      <c r="E87" s="102"/>
      <c r="F87" s="102"/>
      <c r="G87" s="102"/>
      <c r="H87" s="102"/>
      <c r="I87" s="102"/>
      <c r="J87" s="102"/>
      <c r="K87" s="102"/>
      <c r="L87" s="102"/>
      <c r="M87" s="102"/>
    </row>
    <row r="88" spans="1:13">
      <c r="A88" s="99">
        <v>54</v>
      </c>
      <c r="B88" s="100" t="s">
        <v>50</v>
      </c>
      <c r="C88" s="101">
        <v>60</v>
      </c>
      <c r="D88" s="102">
        <f>14*C88/1000</f>
        <v>0.84</v>
      </c>
      <c r="E88" s="102">
        <v>3.6</v>
      </c>
      <c r="F88" s="102">
        <v>6.7</v>
      </c>
      <c r="G88" s="102">
        <v>62.3</v>
      </c>
      <c r="H88" s="102">
        <f>0*C88/1000</f>
        <v>0</v>
      </c>
      <c r="I88" s="102">
        <f>0.44*C88/1000</f>
        <v>2.64E-2</v>
      </c>
      <c r="J88" s="102">
        <v>3.9</v>
      </c>
      <c r="K88" s="102">
        <f>312.4*C88/1000</f>
        <v>18.744</v>
      </c>
      <c r="L88" s="102">
        <v>19.100000000000001</v>
      </c>
      <c r="M88" s="102">
        <v>0.9</v>
      </c>
    </row>
    <row r="89" spans="1:13">
      <c r="A89" s="99">
        <v>82</v>
      </c>
      <c r="B89" s="100" t="s">
        <v>51</v>
      </c>
      <c r="C89" s="101">
        <v>200</v>
      </c>
      <c r="D89" s="102">
        <f>7.21*C89/1000</f>
        <v>1.4419999999999999</v>
      </c>
      <c r="E89" s="102">
        <f>19.7*C89/1000</f>
        <v>3.94</v>
      </c>
      <c r="F89" s="102">
        <f>43.7*C89/1000</f>
        <v>8.74</v>
      </c>
      <c r="G89" s="102">
        <f>415*C89/1000</f>
        <v>83</v>
      </c>
      <c r="H89" s="102">
        <f>0*C89/1000</f>
        <v>0</v>
      </c>
      <c r="I89" s="102">
        <f>0.2*C89/1000</f>
        <v>0.04</v>
      </c>
      <c r="J89" s="102">
        <f>42.7*C89/1000</f>
        <v>8.5399999999999991</v>
      </c>
      <c r="K89" s="102">
        <f>198.9*C89/1000</f>
        <v>39.78</v>
      </c>
      <c r="L89" s="102">
        <f>218.4*C89/1000</f>
        <v>43.68</v>
      </c>
      <c r="M89" s="102">
        <f>4.9*C89/1000</f>
        <v>0.98</v>
      </c>
    </row>
    <row r="90" spans="1:13">
      <c r="A90" s="99">
        <v>302</v>
      </c>
      <c r="B90" s="100" t="s">
        <v>52</v>
      </c>
      <c r="C90" s="101">
        <v>150</v>
      </c>
      <c r="D90" s="102">
        <f>57.32*C90/1000</f>
        <v>8.5980000000000008</v>
      </c>
      <c r="E90" s="102">
        <f>40.62*C90/1000</f>
        <v>6.093</v>
      </c>
      <c r="F90" s="102">
        <f>257.6*C90/1000</f>
        <v>38.64</v>
      </c>
      <c r="G90" s="102">
        <f>1625*C90/1000</f>
        <v>243.75</v>
      </c>
      <c r="H90" s="102">
        <f>0</f>
        <v>0</v>
      </c>
      <c r="I90" s="102">
        <f>1.4*C90/1000</f>
        <v>0.21</v>
      </c>
      <c r="J90" s="102">
        <f>0</f>
        <v>0</v>
      </c>
      <c r="K90" s="102">
        <f>98.8*C90/1000</f>
        <v>14.82</v>
      </c>
      <c r="L90" s="102">
        <f>1359.5*C90/1000</f>
        <v>203.92500000000001</v>
      </c>
      <c r="M90" s="102">
        <f>30.4*C90/1000</f>
        <v>4.5599999999999996</v>
      </c>
    </row>
    <row r="91" spans="1:13" ht="16" customHeight="1">
      <c r="A91" s="99">
        <v>255</v>
      </c>
      <c r="B91" s="100" t="s">
        <v>53</v>
      </c>
      <c r="C91" s="101">
        <v>100</v>
      </c>
      <c r="D91" s="102">
        <f>132.6*C91/1000</f>
        <v>13.26</v>
      </c>
      <c r="E91" s="102">
        <f>112.3*C91/1000</f>
        <v>11.23</v>
      </c>
      <c r="F91" s="102">
        <f>35.2*C91/1000</f>
        <v>3.52</v>
      </c>
      <c r="G91" s="102">
        <f>1850*C91/1000</f>
        <v>185</v>
      </c>
      <c r="H91" s="102">
        <f>57820*C91/1000</f>
        <v>5782</v>
      </c>
      <c r="I91" s="102">
        <f>2*C91/1000</f>
        <v>0.2</v>
      </c>
      <c r="J91" s="102">
        <f>84.2*C91/1000</f>
        <v>8.42</v>
      </c>
      <c r="K91" s="102">
        <f>332.4*C91/1000</f>
        <v>33.24</v>
      </c>
      <c r="L91" s="102">
        <f>2393.2*C91/1000</f>
        <v>239.32</v>
      </c>
      <c r="M91" s="102">
        <f>50*C91/1000</f>
        <v>5</v>
      </c>
    </row>
    <row r="92" spans="1:13">
      <c r="A92" s="99">
        <v>377</v>
      </c>
      <c r="B92" s="100" t="s">
        <v>41</v>
      </c>
      <c r="C92" s="101">
        <v>200</v>
      </c>
      <c r="D92" s="102">
        <v>0.13</v>
      </c>
      <c r="E92" s="102">
        <v>0.02</v>
      </c>
      <c r="F92" s="102">
        <v>15.2</v>
      </c>
      <c r="G92" s="102">
        <v>62</v>
      </c>
      <c r="H92" s="102">
        <v>0</v>
      </c>
      <c r="I92" s="102">
        <v>0</v>
      </c>
      <c r="J92" s="102">
        <v>2.84</v>
      </c>
      <c r="K92" s="102">
        <v>14.2</v>
      </c>
      <c r="L92" s="102">
        <v>4.4000000000000004</v>
      </c>
      <c r="M92" s="102">
        <v>0.36</v>
      </c>
    </row>
    <row r="93" spans="1:13">
      <c r="A93" s="104"/>
      <c r="B93" s="100" t="s">
        <v>25</v>
      </c>
      <c r="C93" s="101">
        <v>30</v>
      </c>
      <c r="D93" s="102">
        <f>107*C93/1000</f>
        <v>3.21</v>
      </c>
      <c r="E93" s="102">
        <f>45*C93/1000</f>
        <v>1.35</v>
      </c>
      <c r="F93" s="102">
        <f>435*C93/1000</f>
        <v>13.05</v>
      </c>
      <c r="G93" s="102">
        <f>2740*C93/1000</f>
        <v>82.2</v>
      </c>
      <c r="H93" s="102">
        <f>0</f>
        <v>0</v>
      </c>
      <c r="I93" s="102">
        <f>4.1*C93/1000</f>
        <v>0.123</v>
      </c>
      <c r="J93" s="102">
        <f>2*C93/1000</f>
        <v>0.06</v>
      </c>
      <c r="K93" s="102">
        <f>1250*C93/1000</f>
        <v>37.5</v>
      </c>
      <c r="L93" s="102">
        <f>1290*C93/1000</f>
        <v>38.700000000000003</v>
      </c>
      <c r="M93" s="102">
        <f>36*C93/1000</f>
        <v>1.08</v>
      </c>
    </row>
    <row r="94" spans="1:13">
      <c r="A94" s="110"/>
      <c r="B94" s="100" t="s">
        <v>26</v>
      </c>
      <c r="C94" s="101">
        <v>30</v>
      </c>
      <c r="D94" s="103">
        <f>85*C94/1000</f>
        <v>2.5499999999999998</v>
      </c>
      <c r="E94" s="103">
        <f>33*C94/1000</f>
        <v>0.99</v>
      </c>
      <c r="F94" s="103">
        <f>425*C94/1000</f>
        <v>12.75</v>
      </c>
      <c r="G94" s="103">
        <f>2590*C94/1000</f>
        <v>77.7</v>
      </c>
      <c r="H94" s="103">
        <f>0</f>
        <v>0</v>
      </c>
      <c r="I94" s="103">
        <f>4.3*C94/1000</f>
        <v>0.129</v>
      </c>
      <c r="J94" s="103">
        <f>4*C94/1000</f>
        <v>0.12</v>
      </c>
      <c r="K94" s="103">
        <f>730*C94/1000</f>
        <v>21.9</v>
      </c>
      <c r="L94" s="103">
        <f>1250*C94/1000</f>
        <v>37.5</v>
      </c>
      <c r="M94" s="103">
        <f>28.3*C94/1000</f>
        <v>0.84899999999999998</v>
      </c>
    </row>
    <row r="95" spans="1:13">
      <c r="A95" s="104">
        <v>338</v>
      </c>
      <c r="B95" s="100" t="s">
        <v>27</v>
      </c>
      <c r="C95" s="101">
        <v>100</v>
      </c>
      <c r="D95" s="102">
        <f>4*C95/1000</f>
        <v>0.4</v>
      </c>
      <c r="E95" s="102">
        <f>4*C95/1000</f>
        <v>0.4</v>
      </c>
      <c r="F95" s="102">
        <f>98*C95/1000</f>
        <v>9.8000000000000007</v>
      </c>
      <c r="G95" s="102">
        <f>470*C95/1000</f>
        <v>47</v>
      </c>
      <c r="H95" s="102">
        <f>0</f>
        <v>0</v>
      </c>
      <c r="I95" s="102">
        <f>0.3*C95/1000</f>
        <v>0.03</v>
      </c>
      <c r="J95" s="102">
        <f>100*C95/1000</f>
        <v>10</v>
      </c>
      <c r="K95" s="102">
        <f>160*C95/1000</f>
        <v>16</v>
      </c>
      <c r="L95" s="102">
        <f>110*C95/1000</f>
        <v>11</v>
      </c>
      <c r="M95" s="102">
        <f>22*C95/1000</f>
        <v>2.2000000000000002</v>
      </c>
    </row>
    <row r="96" spans="1:13">
      <c r="A96" s="127"/>
      <c r="B96" s="100"/>
      <c r="C96" s="100"/>
      <c r="D96" s="103"/>
      <c r="E96" s="103"/>
      <c r="F96" s="103"/>
      <c r="G96" s="103"/>
      <c r="H96" s="103"/>
      <c r="I96" s="103"/>
      <c r="J96" s="103"/>
      <c r="K96" s="103"/>
      <c r="L96" s="103"/>
      <c r="M96" s="103"/>
    </row>
    <row r="97" spans="1:13" ht="18" customHeight="1">
      <c r="A97" s="127"/>
      <c r="B97" s="105" t="s">
        <v>28</v>
      </c>
      <c r="C97" s="126">
        <f t="shared" ref="C97:M97" si="7">SUM(C88:C96)</f>
        <v>870</v>
      </c>
      <c r="D97" s="107">
        <f t="shared" si="7"/>
        <v>30.43</v>
      </c>
      <c r="E97" s="107">
        <f t="shared" si="7"/>
        <v>27.623000000000001</v>
      </c>
      <c r="F97" s="107">
        <f t="shared" si="7"/>
        <v>108.4</v>
      </c>
      <c r="G97" s="107">
        <f t="shared" si="7"/>
        <v>842.95</v>
      </c>
      <c r="H97" s="107">
        <f t="shared" si="7"/>
        <v>5782</v>
      </c>
      <c r="I97" s="107">
        <f t="shared" si="7"/>
        <v>0.75839999999999996</v>
      </c>
      <c r="J97" s="107">
        <f t="shared" si="7"/>
        <v>33.880000000000003</v>
      </c>
      <c r="K97" s="107">
        <f t="shared" si="7"/>
        <v>196.184</v>
      </c>
      <c r="L97" s="107">
        <f t="shared" si="7"/>
        <v>597.625</v>
      </c>
      <c r="M97" s="107">
        <f t="shared" si="7"/>
        <v>15.929</v>
      </c>
    </row>
    <row r="98" spans="1:13" ht="17.5">
      <c r="A98" s="127"/>
      <c r="B98" s="112" t="s">
        <v>36</v>
      </c>
      <c r="C98" s="128">
        <f t="shared" ref="C98:M98" si="8">C86+C97</f>
        <v>1370</v>
      </c>
      <c r="D98" s="114">
        <f t="shared" si="8"/>
        <v>78.720799999999997</v>
      </c>
      <c r="E98" s="114">
        <f t="shared" si="8"/>
        <v>60.527000000000001</v>
      </c>
      <c r="F98" s="114">
        <f t="shared" si="8"/>
        <v>207.012</v>
      </c>
      <c r="G98" s="114">
        <f t="shared" si="8"/>
        <v>1738.75</v>
      </c>
      <c r="H98" s="114">
        <f t="shared" si="8"/>
        <v>6037.82</v>
      </c>
      <c r="I98" s="114">
        <f t="shared" si="8"/>
        <v>1.1834</v>
      </c>
      <c r="J98" s="114">
        <f t="shared" si="8"/>
        <v>55.7</v>
      </c>
      <c r="K98" s="114">
        <f t="shared" si="8"/>
        <v>630.47199999999998</v>
      </c>
      <c r="L98" s="114">
        <f t="shared" si="8"/>
        <v>1214.7750000000001</v>
      </c>
      <c r="M98" s="114">
        <f t="shared" si="8"/>
        <v>25.369</v>
      </c>
    </row>
    <row r="99" spans="1:13" ht="15.5">
      <c r="A99" s="115"/>
      <c r="B99" s="116" t="s">
        <v>37</v>
      </c>
      <c r="C99" s="117">
        <v>1200</v>
      </c>
      <c r="D99" s="118">
        <v>42.4</v>
      </c>
      <c r="E99" s="118">
        <v>43.5</v>
      </c>
      <c r="F99" s="118">
        <v>184.3</v>
      </c>
      <c r="G99" s="118">
        <v>1292.5</v>
      </c>
      <c r="H99" s="118">
        <v>385</v>
      </c>
      <c r="I99" s="118">
        <v>0.7</v>
      </c>
      <c r="J99" s="118">
        <v>33</v>
      </c>
      <c r="K99" s="118">
        <v>605</v>
      </c>
      <c r="L99" s="118">
        <v>605</v>
      </c>
      <c r="M99" s="118">
        <v>6.6</v>
      </c>
    </row>
    <row r="100" spans="1:13" ht="15.5">
      <c r="A100" s="129"/>
      <c r="B100" s="120"/>
      <c r="C100" s="130"/>
      <c r="D100" s="122"/>
      <c r="E100" s="122"/>
      <c r="F100" s="122"/>
      <c r="G100" s="122"/>
      <c r="H100" s="122"/>
      <c r="I100" s="131"/>
      <c r="J100" s="122"/>
      <c r="K100" s="122"/>
      <c r="L100" s="122"/>
      <c r="M100" s="122"/>
    </row>
    <row r="101" spans="1:13" ht="15.5">
      <c r="A101" s="129"/>
      <c r="B101" s="120"/>
      <c r="C101" s="130"/>
      <c r="D101" s="122"/>
      <c r="E101" s="122"/>
      <c r="F101" s="122"/>
      <c r="G101" s="122"/>
      <c r="H101" s="122"/>
      <c r="I101" s="131"/>
      <c r="J101" s="122"/>
      <c r="K101" s="122"/>
      <c r="L101" s="122"/>
      <c r="M101" s="122"/>
    </row>
    <row r="102" spans="1:13" ht="15.5">
      <c r="A102" s="129"/>
      <c r="B102" s="120"/>
      <c r="C102" s="130"/>
      <c r="D102" s="122"/>
      <c r="E102" s="122"/>
      <c r="F102" s="122"/>
      <c r="G102" s="122"/>
      <c r="H102" s="122"/>
      <c r="I102" s="131"/>
      <c r="J102" s="122"/>
      <c r="K102" s="122"/>
      <c r="L102" s="122"/>
      <c r="M102" s="122"/>
    </row>
    <row r="103" spans="1:13" ht="15.5">
      <c r="A103" s="129"/>
      <c r="B103" s="120"/>
      <c r="C103" s="130"/>
      <c r="D103" s="122"/>
      <c r="E103" s="122"/>
      <c r="F103" s="122"/>
      <c r="G103" s="122"/>
      <c r="H103" s="122"/>
      <c r="I103" s="131"/>
      <c r="J103" s="122"/>
      <c r="K103" s="122"/>
      <c r="L103" s="122"/>
      <c r="M103" s="122"/>
    </row>
    <row r="104" spans="1:13" ht="15.5">
      <c r="A104" s="129"/>
      <c r="B104" s="120"/>
      <c r="C104" s="130"/>
      <c r="D104" s="122"/>
      <c r="E104" s="122"/>
      <c r="F104" s="122"/>
      <c r="G104" s="122"/>
      <c r="H104" s="122"/>
      <c r="I104" s="131"/>
      <c r="J104" s="122"/>
      <c r="K104" s="122"/>
      <c r="L104" s="122"/>
      <c r="M104" s="122"/>
    </row>
    <row r="105" spans="1:13" ht="15.5">
      <c r="A105" s="129"/>
      <c r="B105" s="120"/>
      <c r="C105" s="130"/>
      <c r="D105" s="122"/>
      <c r="E105" s="122"/>
      <c r="F105" s="122"/>
      <c r="G105" s="122"/>
      <c r="H105" s="122"/>
      <c r="I105" s="131"/>
      <c r="J105" s="122"/>
      <c r="K105" s="122"/>
      <c r="L105" s="122"/>
      <c r="M105" s="122"/>
    </row>
    <row r="106" spans="1:13" ht="15.5">
      <c r="A106" s="129"/>
      <c r="B106" s="120"/>
      <c r="C106" s="130"/>
      <c r="D106" s="122"/>
      <c r="E106" s="122"/>
      <c r="F106" s="122"/>
      <c r="G106" s="122"/>
      <c r="H106" s="122"/>
      <c r="I106" s="131"/>
      <c r="J106" s="122"/>
      <c r="K106" s="122"/>
      <c r="L106" s="122"/>
      <c r="M106" s="122"/>
    </row>
    <row r="107" spans="1:13" ht="15.5">
      <c r="A107" s="129"/>
      <c r="B107" s="120"/>
      <c r="C107" s="130"/>
      <c r="D107" s="122"/>
      <c r="E107" s="122"/>
      <c r="F107" s="122"/>
      <c r="G107" s="122"/>
      <c r="H107" s="122"/>
      <c r="I107" s="131"/>
      <c r="J107" s="122"/>
      <c r="K107" s="122"/>
      <c r="L107" s="122"/>
      <c r="M107" s="122"/>
    </row>
    <row r="108" spans="1:13" ht="15.5">
      <c r="A108" s="129"/>
      <c r="B108" s="120"/>
      <c r="C108" s="130"/>
      <c r="D108" s="122"/>
      <c r="E108" s="122"/>
      <c r="F108" s="122"/>
      <c r="G108" s="122"/>
      <c r="H108" s="122"/>
      <c r="I108" s="131"/>
      <c r="J108" s="122"/>
      <c r="K108" s="122"/>
      <c r="L108" s="122"/>
      <c r="M108" s="122"/>
    </row>
    <row r="109" spans="1:13" ht="15.5">
      <c r="A109" s="129"/>
      <c r="B109" s="120"/>
      <c r="C109" s="130"/>
      <c r="D109" s="122"/>
      <c r="E109" s="122"/>
      <c r="F109" s="122"/>
      <c r="G109" s="122"/>
      <c r="H109" s="122"/>
      <c r="I109" s="131"/>
      <c r="J109" s="122"/>
      <c r="K109" s="122"/>
      <c r="L109" s="122"/>
      <c r="M109" s="122"/>
    </row>
    <row r="110" spans="1:13" ht="15.5">
      <c r="A110" s="129"/>
      <c r="B110" s="120"/>
      <c r="C110" s="130"/>
      <c r="D110" s="122"/>
      <c r="E110" s="122"/>
      <c r="F110" s="122"/>
      <c r="G110" s="122"/>
      <c r="H110" s="122"/>
      <c r="I110" s="131"/>
      <c r="J110" s="122"/>
      <c r="K110" s="122"/>
      <c r="L110" s="122"/>
      <c r="M110" s="122"/>
    </row>
    <row r="111" spans="1:13" ht="17.5">
      <c r="A111" s="160" t="s">
        <v>54</v>
      </c>
      <c r="B111" s="161"/>
      <c r="D111" s="123"/>
      <c r="E111" s="123"/>
      <c r="F111" s="123"/>
      <c r="G111" s="123"/>
      <c r="H111" s="123"/>
      <c r="I111" s="123"/>
      <c r="J111" s="123"/>
      <c r="K111" s="123"/>
      <c r="L111" s="123"/>
      <c r="M111" s="123"/>
    </row>
    <row r="112" spans="1:13">
      <c r="A112" s="160" t="s">
        <v>1</v>
      </c>
      <c r="B112" s="161"/>
      <c r="D112" s="123"/>
      <c r="E112" s="123"/>
      <c r="F112" s="123"/>
      <c r="G112" s="123"/>
      <c r="H112" s="123"/>
      <c r="I112" s="123"/>
      <c r="J112" s="123"/>
      <c r="K112" s="123"/>
      <c r="L112" s="123"/>
      <c r="M112" s="123"/>
    </row>
    <row r="113" spans="1:13">
      <c r="A113" s="162" t="s">
        <v>55</v>
      </c>
      <c r="B113" s="163"/>
      <c r="D113" s="123"/>
      <c r="E113" s="123"/>
      <c r="F113" s="123"/>
      <c r="G113" s="123"/>
      <c r="H113" s="123"/>
      <c r="I113" s="123"/>
      <c r="J113" s="123"/>
      <c r="K113" s="123"/>
      <c r="L113" s="123"/>
      <c r="M113" s="123"/>
    </row>
    <row r="114" spans="1:13">
      <c r="A114" s="157" t="s">
        <v>3</v>
      </c>
      <c r="B114" s="157" t="s">
        <v>4</v>
      </c>
      <c r="C114" s="157" t="s">
        <v>5</v>
      </c>
      <c r="D114" s="142" t="s">
        <v>6</v>
      </c>
      <c r="E114" s="143"/>
      <c r="F114" s="144"/>
      <c r="G114" s="148" t="s">
        <v>7</v>
      </c>
      <c r="H114" s="142" t="s">
        <v>8</v>
      </c>
      <c r="I114" s="143"/>
      <c r="J114" s="144"/>
      <c r="K114" s="142" t="s">
        <v>9</v>
      </c>
      <c r="L114" s="143"/>
      <c r="M114" s="144"/>
    </row>
    <row r="115" spans="1:13">
      <c r="A115" s="167"/>
      <c r="B115" s="158"/>
      <c r="C115" s="158"/>
      <c r="D115" s="145" t="s">
        <v>10</v>
      </c>
      <c r="E115" s="146"/>
      <c r="F115" s="147"/>
      <c r="G115" s="149"/>
      <c r="H115" s="145"/>
      <c r="I115" s="146"/>
      <c r="J115" s="147"/>
      <c r="K115" s="145"/>
      <c r="L115" s="146"/>
      <c r="M115" s="147"/>
    </row>
    <row r="116" spans="1:13" ht="17">
      <c r="A116" s="168"/>
      <c r="B116" s="159"/>
      <c r="C116" s="159"/>
      <c r="D116" s="124" t="s">
        <v>11</v>
      </c>
      <c r="E116" s="124" t="s">
        <v>12</v>
      </c>
      <c r="F116" s="124" t="s">
        <v>13</v>
      </c>
      <c r="G116" s="150"/>
      <c r="H116" s="124" t="s">
        <v>14</v>
      </c>
      <c r="I116" s="124" t="s">
        <v>39</v>
      </c>
      <c r="J116" s="124" t="s">
        <v>16</v>
      </c>
      <c r="K116" s="124" t="s">
        <v>17</v>
      </c>
      <c r="L116" s="124" t="s">
        <v>18</v>
      </c>
      <c r="M116" s="124" t="s">
        <v>19</v>
      </c>
    </row>
    <row r="117" spans="1:13" ht="18">
      <c r="A117" s="96"/>
      <c r="B117" s="97" t="s">
        <v>20</v>
      </c>
      <c r="C117" s="98"/>
      <c r="D117" s="125"/>
      <c r="E117" s="125"/>
      <c r="F117" s="125"/>
      <c r="G117" s="125"/>
      <c r="H117" s="125"/>
      <c r="I117" s="125"/>
      <c r="J117" s="125"/>
      <c r="K117" s="125"/>
      <c r="L117" s="125"/>
      <c r="M117" s="125"/>
    </row>
    <row r="118" spans="1:13">
      <c r="A118" s="99">
        <v>263</v>
      </c>
      <c r="B118" s="100" t="s">
        <v>56</v>
      </c>
      <c r="C118" s="101">
        <v>200</v>
      </c>
      <c r="D118" s="102">
        <f>66.7*C118/1000</f>
        <v>13.34</v>
      </c>
      <c r="E118" s="102">
        <f>171.8*C118/1000</f>
        <v>34.36</v>
      </c>
      <c r="F118" s="102">
        <f>98.3*C118/1000</f>
        <v>19.66</v>
      </c>
      <c r="G118" s="102">
        <f>2160*C118/1000</f>
        <v>432</v>
      </c>
      <c r="H118" s="102">
        <f>0*C118/1000</f>
        <v>0</v>
      </c>
      <c r="I118" s="102">
        <f>2.3*C118/1000</f>
        <v>0.46</v>
      </c>
      <c r="J118" s="102">
        <f>35*C118/1000</f>
        <v>7</v>
      </c>
      <c r="K118" s="102">
        <f>122.8*C118/1000</f>
        <v>24.56</v>
      </c>
      <c r="L118" s="102">
        <f>995*C118/1000</f>
        <v>199</v>
      </c>
      <c r="M118" s="102">
        <f>12.3*C118/1000</f>
        <v>2.46</v>
      </c>
    </row>
    <row r="119" spans="1:13">
      <c r="A119" s="99">
        <v>382</v>
      </c>
      <c r="B119" s="100" t="s">
        <v>57</v>
      </c>
      <c r="C119" s="101">
        <v>200</v>
      </c>
      <c r="D119" s="103">
        <f>20.4*C119/1000</f>
        <v>4.08</v>
      </c>
      <c r="E119" s="103">
        <f>17.7*C119/1000</f>
        <v>3.54</v>
      </c>
      <c r="F119" s="103">
        <f>87.9*C119/1000</f>
        <v>17.579999999999998</v>
      </c>
      <c r="G119" s="103">
        <f>593*C119/1000</f>
        <v>118.6</v>
      </c>
      <c r="H119" s="103">
        <f>122*C119/1000</f>
        <v>24.4</v>
      </c>
      <c r="I119" s="103">
        <f>0.28*C119/1000</f>
        <v>5.6000000000000001E-2</v>
      </c>
      <c r="J119" s="103">
        <f>7.9*C119/1000</f>
        <v>1.58</v>
      </c>
      <c r="K119" s="103">
        <f>761.1*C119/1000</f>
        <v>152.22</v>
      </c>
      <c r="L119" s="103">
        <f>622.8*C119/1000</f>
        <v>124.56</v>
      </c>
      <c r="M119" s="103">
        <f>2.4*C119/1000</f>
        <v>0.48</v>
      </c>
    </row>
    <row r="120" spans="1:13">
      <c r="A120" s="127">
        <v>14</v>
      </c>
      <c r="B120" s="100" t="s">
        <v>24</v>
      </c>
      <c r="C120" s="101">
        <v>10</v>
      </c>
      <c r="D120" s="103">
        <f>8*C120/1000</f>
        <v>0.08</v>
      </c>
      <c r="E120" s="103">
        <f>725*C120/1000</f>
        <v>7.25</v>
      </c>
      <c r="F120" s="103">
        <f>13*C120/1000</f>
        <v>0.13</v>
      </c>
      <c r="G120" s="103">
        <f>6600*C120/1000</f>
        <v>66</v>
      </c>
      <c r="H120" s="103">
        <f>4000*C120/1000</f>
        <v>40</v>
      </c>
      <c r="I120" s="103">
        <f>0</f>
        <v>0</v>
      </c>
      <c r="J120" s="103">
        <f>0</f>
        <v>0</v>
      </c>
      <c r="K120" s="103">
        <f>240*C120/1000</f>
        <v>2.4</v>
      </c>
      <c r="L120" s="103">
        <f>300*C120/1000</f>
        <v>3</v>
      </c>
      <c r="M120" s="103">
        <f>2*C120/1000</f>
        <v>0.02</v>
      </c>
    </row>
    <row r="121" spans="1:13">
      <c r="A121" s="104"/>
      <c r="B121" s="100" t="s">
        <v>25</v>
      </c>
      <c r="C121" s="101">
        <v>30</v>
      </c>
      <c r="D121" s="102">
        <f>107*C121/1000</f>
        <v>3.21</v>
      </c>
      <c r="E121" s="102">
        <f>45*C121/1000</f>
        <v>1.35</v>
      </c>
      <c r="F121" s="102">
        <f>435*C121/1000</f>
        <v>13.05</v>
      </c>
      <c r="G121" s="102">
        <f>2740*C121/1000</f>
        <v>82.2</v>
      </c>
      <c r="H121" s="102">
        <f>0</f>
        <v>0</v>
      </c>
      <c r="I121" s="102">
        <f>4.1*C121/1000</f>
        <v>0.123</v>
      </c>
      <c r="J121" s="102">
        <f>2*C121/1000</f>
        <v>0.06</v>
      </c>
      <c r="K121" s="102">
        <f>1250*C121/1000</f>
        <v>37.5</v>
      </c>
      <c r="L121" s="102">
        <f>1290*C121/1000</f>
        <v>38.700000000000003</v>
      </c>
      <c r="M121" s="102">
        <f>36*C121/1000</f>
        <v>1.08</v>
      </c>
    </row>
    <row r="122" spans="1:13">
      <c r="A122" s="104"/>
      <c r="B122" s="100" t="s">
        <v>26</v>
      </c>
      <c r="C122" s="101">
        <v>20</v>
      </c>
      <c r="D122" s="103">
        <f>85*C122/1000</f>
        <v>1.7</v>
      </c>
      <c r="E122" s="103">
        <f>33*C122/1000</f>
        <v>0.66</v>
      </c>
      <c r="F122" s="103">
        <f>425*C122/1000</f>
        <v>8.5</v>
      </c>
      <c r="G122" s="103">
        <f>2590*C122/1000</f>
        <v>51.8</v>
      </c>
      <c r="H122" s="103">
        <f>0</f>
        <v>0</v>
      </c>
      <c r="I122" s="103">
        <f>4.3*C122/1000</f>
        <v>8.5999999999999993E-2</v>
      </c>
      <c r="J122" s="103">
        <f>4*C122/1000</f>
        <v>0.08</v>
      </c>
      <c r="K122" s="103">
        <f>730*C122/1000</f>
        <v>14.6</v>
      </c>
      <c r="L122" s="103">
        <f>1250*C122/1000</f>
        <v>25</v>
      </c>
      <c r="M122" s="103">
        <f>28.3*C122/1000</f>
        <v>0.56599999999999995</v>
      </c>
    </row>
    <row r="123" spans="1:13" ht="16" customHeight="1">
      <c r="A123" s="99">
        <v>15</v>
      </c>
      <c r="B123" s="100" t="s">
        <v>35</v>
      </c>
      <c r="C123" s="101">
        <v>10</v>
      </c>
      <c r="D123" s="111">
        <f>232*C123/1000</f>
        <v>2.3199999999999998</v>
      </c>
      <c r="E123" s="111">
        <f>295*C123/1000</f>
        <v>2.95</v>
      </c>
      <c r="F123" s="111">
        <f>0</f>
        <v>0</v>
      </c>
      <c r="G123" s="111">
        <f>3600*C123/1000</f>
        <v>36</v>
      </c>
      <c r="H123" s="111">
        <f>2600*C123/1000</f>
        <v>26</v>
      </c>
      <c r="I123" s="111">
        <f>0.3*C123/1000</f>
        <v>3.0000000000000001E-3</v>
      </c>
      <c r="J123" s="111">
        <f>7*C123/1000</f>
        <v>7.0000000000000007E-2</v>
      </c>
      <c r="K123" s="111">
        <f>8800*C123/1000</f>
        <v>88</v>
      </c>
      <c r="L123" s="111">
        <f>5000*C123/1000</f>
        <v>50</v>
      </c>
      <c r="M123" s="111">
        <f>10*C123/1000</f>
        <v>0.1</v>
      </c>
    </row>
    <row r="124" spans="1:13">
      <c r="A124" s="99"/>
      <c r="B124" s="105" t="s">
        <v>28</v>
      </c>
      <c r="C124" s="126">
        <f t="shared" ref="C124:M124" si="9">SUM(C118:C123)</f>
        <v>470</v>
      </c>
      <c r="D124" s="107">
        <f t="shared" si="9"/>
        <v>24.73</v>
      </c>
      <c r="E124" s="107">
        <f t="shared" si="9"/>
        <v>50.11</v>
      </c>
      <c r="F124" s="107">
        <f t="shared" si="9"/>
        <v>58.92</v>
      </c>
      <c r="G124" s="107">
        <f t="shared" si="9"/>
        <v>786.6</v>
      </c>
      <c r="H124" s="107">
        <f t="shared" si="9"/>
        <v>90.4</v>
      </c>
      <c r="I124" s="107">
        <f t="shared" si="9"/>
        <v>0.72799999999999998</v>
      </c>
      <c r="J124" s="107">
        <f t="shared" si="9"/>
        <v>8.7899999999999991</v>
      </c>
      <c r="K124" s="107">
        <f t="shared" si="9"/>
        <v>319.27999999999997</v>
      </c>
      <c r="L124" s="107">
        <f t="shared" si="9"/>
        <v>440.26</v>
      </c>
      <c r="M124" s="107">
        <f t="shared" si="9"/>
        <v>4.7060000000000004</v>
      </c>
    </row>
    <row r="125" spans="1:13">
      <c r="A125" s="104">
        <v>70</v>
      </c>
      <c r="B125" s="100" t="s">
        <v>58</v>
      </c>
      <c r="C125" s="101">
        <v>60</v>
      </c>
      <c r="D125" s="102">
        <f>8*C125/1000</f>
        <v>0.48</v>
      </c>
      <c r="E125" s="102">
        <f>1*C125/1000</f>
        <v>0.06</v>
      </c>
      <c r="F125" s="102">
        <f>17*C125/1000</f>
        <v>1.02</v>
      </c>
      <c r="G125" s="102">
        <f>100*C125/1000</f>
        <v>6</v>
      </c>
      <c r="H125" s="102">
        <f>0*C125/1000</f>
        <v>0</v>
      </c>
      <c r="I125" s="102">
        <f>0.4*C125/1000</f>
        <v>2.4E-2</v>
      </c>
      <c r="J125" s="102">
        <f>35*C125/1000</f>
        <v>2.1</v>
      </c>
      <c r="K125" s="102">
        <f>230*C125/1000</f>
        <v>13.8</v>
      </c>
      <c r="L125" s="102">
        <f>240*C125/1000</f>
        <v>14.4</v>
      </c>
      <c r="M125" s="102">
        <f>6*C125/1000</f>
        <v>0.36</v>
      </c>
    </row>
    <row r="126" spans="1:13">
      <c r="A126" s="99">
        <v>101</v>
      </c>
      <c r="B126" s="100" t="s">
        <v>59</v>
      </c>
      <c r="C126" s="101">
        <v>200</v>
      </c>
      <c r="D126" s="102">
        <f>7.89*C126/1000</f>
        <v>1.5780000000000001</v>
      </c>
      <c r="E126" s="102">
        <f>10.85*C126/1000</f>
        <v>2.17</v>
      </c>
      <c r="F126" s="102">
        <f>48.45*C126/1000</f>
        <v>9.69</v>
      </c>
      <c r="G126" s="102">
        <f>343*C126/1000</f>
        <v>68.599999999999994</v>
      </c>
      <c r="H126" s="102">
        <f>0*C126/1000</f>
        <v>0</v>
      </c>
      <c r="I126" s="102">
        <f>0.36*C126/1000</f>
        <v>7.1999999999999995E-2</v>
      </c>
      <c r="J126" s="102">
        <f>33*C126/1000</f>
        <v>6.6</v>
      </c>
      <c r="K126" s="102">
        <f>106.8*C126/1000</f>
        <v>21.36</v>
      </c>
      <c r="L126" s="102">
        <f>223.9*C126/1000</f>
        <v>44.78</v>
      </c>
      <c r="M126" s="102">
        <f>3.5*C126/1000</f>
        <v>0.7</v>
      </c>
    </row>
    <row r="127" spans="1:13">
      <c r="A127" s="99">
        <v>304</v>
      </c>
      <c r="B127" s="100" t="s">
        <v>21</v>
      </c>
      <c r="C127" s="101">
        <v>150</v>
      </c>
      <c r="D127" s="102">
        <f>24.3*C127/1000</f>
        <v>3.645</v>
      </c>
      <c r="E127" s="102">
        <f>35.8*C127/1000</f>
        <v>5.37</v>
      </c>
      <c r="F127" s="102">
        <f>244.6*C127/1000</f>
        <v>36.69</v>
      </c>
      <c r="G127" s="102">
        <f>1398*C127/1000</f>
        <v>209.7</v>
      </c>
      <c r="H127" s="102">
        <f>0</f>
        <v>0</v>
      </c>
      <c r="I127" s="102">
        <f>0.2*C127/1000</f>
        <v>0.03</v>
      </c>
      <c r="J127" s="102">
        <f>0</f>
        <v>0</v>
      </c>
      <c r="K127" s="102">
        <f>9.1*C127/1000</f>
        <v>1.365</v>
      </c>
      <c r="L127" s="102">
        <f>406.3*C127/1000</f>
        <v>60.945</v>
      </c>
      <c r="M127" s="102">
        <f>3.5*C127/1000</f>
        <v>0.52500000000000002</v>
      </c>
    </row>
    <row r="128" spans="1:13">
      <c r="A128" s="99">
        <v>229</v>
      </c>
      <c r="B128" s="100" t="s">
        <v>22</v>
      </c>
      <c r="C128" s="101">
        <v>100</v>
      </c>
      <c r="D128" s="102">
        <f>97.5*C128/1000</f>
        <v>9.75</v>
      </c>
      <c r="E128" s="102">
        <f>49.5*C128/1000</f>
        <v>4.95</v>
      </c>
      <c r="F128" s="102">
        <f>38*C128/1000</f>
        <v>3.8</v>
      </c>
      <c r="G128" s="102">
        <f>1050*C128/1000</f>
        <v>105</v>
      </c>
      <c r="H128" s="102">
        <f>58.2*C128/1000</f>
        <v>5.82</v>
      </c>
      <c r="I128" s="102">
        <f>0.5*C128/1000</f>
        <v>0.05</v>
      </c>
      <c r="J128" s="102">
        <f>37.3*C128/1000</f>
        <v>3.73</v>
      </c>
      <c r="K128" s="102">
        <f>390.7*C128/1000</f>
        <v>39.07</v>
      </c>
      <c r="L128" s="102">
        <f>1621.9*C128/1000</f>
        <v>162.19</v>
      </c>
      <c r="M128" s="102">
        <f>8.5*C128/1000</f>
        <v>0.85</v>
      </c>
    </row>
    <row r="129" spans="1:13">
      <c r="A129" s="99">
        <v>349</v>
      </c>
      <c r="B129" s="100" t="s">
        <v>60</v>
      </c>
      <c r="C129" s="101">
        <v>200</v>
      </c>
      <c r="D129" s="102">
        <f>3.3*C129/1000</f>
        <v>0.66</v>
      </c>
      <c r="E129" s="102">
        <f>0.5*C129/1000</f>
        <v>0.1</v>
      </c>
      <c r="F129" s="102">
        <f>160.1*C129/1000</f>
        <v>32.020000000000003</v>
      </c>
      <c r="G129" s="102">
        <f>664*C129/1000</f>
        <v>132.80000000000001</v>
      </c>
      <c r="H129" s="102">
        <f>0</f>
        <v>0</v>
      </c>
      <c r="I129" s="102">
        <f>0.1*C129/1000</f>
        <v>0.02</v>
      </c>
      <c r="J129" s="102">
        <f>5.6*C129/1000</f>
        <v>1.1200000000000001</v>
      </c>
      <c r="K129" s="102">
        <f>162.4*C129/1000</f>
        <v>32.479999999999997</v>
      </c>
      <c r="L129" s="102">
        <f>117.2*C129/1000</f>
        <v>23.44</v>
      </c>
      <c r="M129" s="102">
        <f>3.5*C129/1000</f>
        <v>0.7</v>
      </c>
    </row>
    <row r="130" spans="1:13">
      <c r="A130" s="104"/>
      <c r="B130" s="100" t="s">
        <v>25</v>
      </c>
      <c r="C130" s="101">
        <v>30</v>
      </c>
      <c r="D130" s="102">
        <f>107*C130/1000</f>
        <v>3.21</v>
      </c>
      <c r="E130" s="102">
        <f>45*C130/1000</f>
        <v>1.35</v>
      </c>
      <c r="F130" s="102">
        <f>435*C130/1000</f>
        <v>13.05</v>
      </c>
      <c r="G130" s="102">
        <f>2740*C130/1000</f>
        <v>82.2</v>
      </c>
      <c r="H130" s="102">
        <f>0</f>
        <v>0</v>
      </c>
      <c r="I130" s="102">
        <f>4.1*C130/1000</f>
        <v>0.123</v>
      </c>
      <c r="J130" s="102">
        <f>2*C130/1000</f>
        <v>0.06</v>
      </c>
      <c r="K130" s="102">
        <f>1250*C130/1000</f>
        <v>37.5</v>
      </c>
      <c r="L130" s="102">
        <f>1290*C130/1000</f>
        <v>38.700000000000003</v>
      </c>
      <c r="M130" s="102">
        <f>36*C130/1000</f>
        <v>1.08</v>
      </c>
    </row>
    <row r="131" spans="1:13">
      <c r="A131" s="110"/>
      <c r="B131" s="100" t="s">
        <v>26</v>
      </c>
      <c r="C131" s="101">
        <v>30</v>
      </c>
      <c r="D131" s="103">
        <f>85*C131/1000</f>
        <v>2.5499999999999998</v>
      </c>
      <c r="E131" s="103">
        <f>33*C131/1000</f>
        <v>0.99</v>
      </c>
      <c r="F131" s="103">
        <f>425*C131/1000</f>
        <v>12.75</v>
      </c>
      <c r="G131" s="103">
        <f>2590*C131/1000</f>
        <v>77.7</v>
      </c>
      <c r="H131" s="103">
        <f>0</f>
        <v>0</v>
      </c>
      <c r="I131" s="103">
        <f>4.3*C131/1000</f>
        <v>0.129</v>
      </c>
      <c r="J131" s="103">
        <f>4*C131/1000</f>
        <v>0.12</v>
      </c>
      <c r="K131" s="103">
        <f>730*C131/1000</f>
        <v>21.9</v>
      </c>
      <c r="L131" s="103">
        <f>1250*C131/1000</f>
        <v>37.5</v>
      </c>
      <c r="M131" s="103">
        <f>28.3*C131/1000</f>
        <v>0.84899999999999998</v>
      </c>
    </row>
    <row r="132" spans="1:13">
      <c r="A132" s="104">
        <v>338</v>
      </c>
      <c r="B132" s="100" t="s">
        <v>27</v>
      </c>
      <c r="C132" s="101">
        <v>100</v>
      </c>
      <c r="D132" s="102">
        <f>4*C132/1000</f>
        <v>0.4</v>
      </c>
      <c r="E132" s="102">
        <f>4*C132/1000</f>
        <v>0.4</v>
      </c>
      <c r="F132" s="102">
        <f>98*C132/1000</f>
        <v>9.8000000000000007</v>
      </c>
      <c r="G132" s="102">
        <f>470*C132/1000</f>
        <v>47</v>
      </c>
      <c r="H132" s="102">
        <f>0</f>
        <v>0</v>
      </c>
      <c r="I132" s="102">
        <f>0.3*C132/1000</f>
        <v>0.03</v>
      </c>
      <c r="J132" s="102">
        <f>100*C132/1000</f>
        <v>10</v>
      </c>
      <c r="K132" s="102">
        <f>160*C132/1000</f>
        <v>16</v>
      </c>
      <c r="L132" s="102">
        <f>110*C132/1000</f>
        <v>11</v>
      </c>
      <c r="M132" s="102">
        <f>22*C132/1000</f>
        <v>2.2000000000000002</v>
      </c>
    </row>
    <row r="133" spans="1:13" ht="17.25" customHeight="1">
      <c r="A133" s="127"/>
      <c r="B133" s="105" t="s">
        <v>28</v>
      </c>
      <c r="C133" s="126">
        <f t="shared" ref="C133:M133" si="10">SUM(C125:C131)</f>
        <v>770</v>
      </c>
      <c r="D133" s="107">
        <f t="shared" si="10"/>
        <v>21.873000000000001</v>
      </c>
      <c r="E133" s="107">
        <f t="shared" si="10"/>
        <v>14.99</v>
      </c>
      <c r="F133" s="107">
        <f t="shared" si="10"/>
        <v>109.02</v>
      </c>
      <c r="G133" s="107">
        <f t="shared" si="10"/>
        <v>682</v>
      </c>
      <c r="H133" s="107">
        <f t="shared" si="10"/>
        <v>5.82</v>
      </c>
      <c r="I133" s="107">
        <f t="shared" si="10"/>
        <v>0.44800000000000001</v>
      </c>
      <c r="J133" s="107">
        <f t="shared" si="10"/>
        <v>13.73</v>
      </c>
      <c r="K133" s="107">
        <f t="shared" si="10"/>
        <v>167.47499999999999</v>
      </c>
      <c r="L133" s="107">
        <f t="shared" si="10"/>
        <v>381.95499999999998</v>
      </c>
      <c r="M133" s="107">
        <f t="shared" si="10"/>
        <v>5.0640000000000001</v>
      </c>
    </row>
    <row r="134" spans="1:13" ht="17.5">
      <c r="A134" s="127"/>
      <c r="B134" s="112" t="s">
        <v>36</v>
      </c>
      <c r="C134" s="128">
        <f t="shared" ref="C134:M134" si="11">C124+C133</f>
        <v>1240</v>
      </c>
      <c r="D134" s="114">
        <f t="shared" si="11"/>
        <v>46.603000000000002</v>
      </c>
      <c r="E134" s="114">
        <f t="shared" si="11"/>
        <v>65.099999999999994</v>
      </c>
      <c r="F134" s="114">
        <f t="shared" si="11"/>
        <v>167.94</v>
      </c>
      <c r="G134" s="114">
        <f t="shared" si="11"/>
        <v>1468.6</v>
      </c>
      <c r="H134" s="114">
        <f t="shared" si="11"/>
        <v>96.22</v>
      </c>
      <c r="I134" s="114">
        <f t="shared" si="11"/>
        <v>1.1759999999999999</v>
      </c>
      <c r="J134" s="114">
        <f t="shared" si="11"/>
        <v>22.52</v>
      </c>
      <c r="K134" s="114">
        <f t="shared" si="11"/>
        <v>486.755</v>
      </c>
      <c r="L134" s="114">
        <f t="shared" si="11"/>
        <v>822.21500000000003</v>
      </c>
      <c r="M134" s="114">
        <f t="shared" si="11"/>
        <v>9.77</v>
      </c>
    </row>
    <row r="135" spans="1:13" ht="15.5">
      <c r="A135" s="115"/>
      <c r="B135" s="116" t="s">
        <v>37</v>
      </c>
      <c r="C135" s="117">
        <v>1200</v>
      </c>
      <c r="D135" s="118">
        <v>42.4</v>
      </c>
      <c r="E135" s="118">
        <v>43.5</v>
      </c>
      <c r="F135" s="118">
        <v>184.3</v>
      </c>
      <c r="G135" s="118">
        <v>1292.5</v>
      </c>
      <c r="H135" s="118">
        <v>385</v>
      </c>
      <c r="I135" s="118">
        <v>0.7</v>
      </c>
      <c r="J135" s="118">
        <v>33</v>
      </c>
      <c r="K135" s="118">
        <v>605</v>
      </c>
      <c r="L135" s="118">
        <v>605</v>
      </c>
      <c r="M135" s="118">
        <v>6.6</v>
      </c>
    </row>
    <row r="136" spans="1:13" ht="15.5">
      <c r="A136" s="129"/>
      <c r="B136" s="120"/>
      <c r="C136" s="130"/>
      <c r="D136" s="122"/>
      <c r="E136" s="122"/>
      <c r="F136" s="122"/>
      <c r="G136" s="122"/>
      <c r="H136" s="122"/>
      <c r="I136" s="131"/>
      <c r="J136" s="122"/>
      <c r="K136" s="122"/>
      <c r="L136" s="122"/>
      <c r="M136" s="122"/>
    </row>
    <row r="137" spans="1:13" ht="15.5">
      <c r="A137" s="129"/>
      <c r="B137" s="120"/>
      <c r="C137" s="130"/>
      <c r="D137" s="122"/>
      <c r="E137" s="122"/>
      <c r="F137" s="122"/>
      <c r="G137" s="122"/>
      <c r="H137" s="122"/>
      <c r="I137" s="131"/>
      <c r="J137" s="122"/>
      <c r="K137" s="122"/>
      <c r="L137" s="122"/>
      <c r="M137" s="122"/>
    </row>
    <row r="138" spans="1:13" ht="15.5">
      <c r="A138" s="129"/>
      <c r="B138" s="120"/>
      <c r="C138" s="130"/>
      <c r="D138" s="122"/>
      <c r="E138" s="122"/>
      <c r="F138" s="122"/>
      <c r="G138" s="122"/>
      <c r="H138" s="122"/>
      <c r="I138" s="131"/>
      <c r="J138" s="122"/>
      <c r="K138" s="122"/>
      <c r="L138" s="122"/>
      <c r="M138" s="122"/>
    </row>
    <row r="139" spans="1:13" ht="15.5">
      <c r="A139" s="129"/>
      <c r="B139" s="120"/>
      <c r="C139" s="130"/>
      <c r="D139" s="122"/>
      <c r="E139" s="122"/>
      <c r="F139" s="122"/>
      <c r="G139" s="122"/>
      <c r="H139" s="122"/>
      <c r="I139" s="131"/>
      <c r="J139" s="122"/>
      <c r="K139" s="122"/>
      <c r="L139" s="122"/>
      <c r="M139" s="122"/>
    </row>
    <row r="140" spans="1:13" ht="15.5">
      <c r="A140" s="129"/>
      <c r="B140" s="120"/>
      <c r="C140" s="130"/>
      <c r="D140" s="122"/>
      <c r="E140" s="122"/>
      <c r="F140" s="122"/>
      <c r="G140" s="122"/>
      <c r="H140" s="122"/>
      <c r="I140" s="131"/>
      <c r="J140" s="122"/>
      <c r="K140" s="122"/>
      <c r="L140" s="122"/>
      <c r="M140" s="122"/>
    </row>
    <row r="141" spans="1:13" ht="15.5">
      <c r="A141" s="129"/>
      <c r="B141" s="120"/>
      <c r="C141" s="130"/>
      <c r="D141" s="122"/>
      <c r="E141" s="122"/>
      <c r="F141" s="122"/>
      <c r="G141" s="122"/>
      <c r="H141" s="122"/>
      <c r="I141" s="131"/>
      <c r="J141" s="122"/>
      <c r="K141" s="122"/>
      <c r="L141" s="122"/>
      <c r="M141" s="122"/>
    </row>
    <row r="142" spans="1:13" ht="15.5">
      <c r="A142" s="129"/>
      <c r="B142" s="120"/>
      <c r="C142" s="130"/>
      <c r="D142" s="122"/>
      <c r="E142" s="122"/>
      <c r="F142" s="122"/>
      <c r="G142" s="122"/>
      <c r="H142" s="122"/>
      <c r="I142" s="131"/>
      <c r="J142" s="122"/>
      <c r="K142" s="122"/>
      <c r="L142" s="122"/>
      <c r="M142" s="122"/>
    </row>
    <row r="143" spans="1:13" ht="15.5">
      <c r="A143" s="129"/>
      <c r="B143" s="120"/>
      <c r="C143" s="130"/>
      <c r="D143" s="122"/>
      <c r="E143" s="122"/>
      <c r="F143" s="122"/>
      <c r="G143" s="122"/>
      <c r="H143" s="122"/>
      <c r="I143" s="131"/>
      <c r="J143" s="122"/>
      <c r="K143" s="122"/>
      <c r="L143" s="122"/>
      <c r="M143" s="122"/>
    </row>
    <row r="144" spans="1:13" ht="15.5">
      <c r="A144" s="129"/>
      <c r="B144" s="120"/>
      <c r="C144" s="130"/>
      <c r="D144" s="122"/>
      <c r="E144" s="122"/>
      <c r="F144" s="122"/>
      <c r="G144" s="122"/>
      <c r="H144" s="122"/>
      <c r="I144" s="131"/>
      <c r="J144" s="122"/>
      <c r="K144" s="122"/>
      <c r="L144" s="122"/>
      <c r="M144" s="122"/>
    </row>
    <row r="145" spans="1:13" ht="15.5">
      <c r="A145" s="129"/>
      <c r="B145" s="120"/>
      <c r="C145" s="130"/>
      <c r="D145" s="122"/>
      <c r="E145" s="122"/>
      <c r="F145" s="122"/>
      <c r="G145" s="122"/>
      <c r="H145" s="122"/>
      <c r="I145" s="131"/>
      <c r="J145" s="122"/>
      <c r="K145" s="122"/>
      <c r="L145" s="122"/>
      <c r="M145" s="122"/>
    </row>
    <row r="146" spans="1:13" ht="15.5">
      <c r="A146" s="129"/>
      <c r="B146" s="120"/>
      <c r="C146" s="130"/>
      <c r="D146" s="122"/>
      <c r="E146" s="122"/>
      <c r="F146" s="122"/>
      <c r="G146" s="122"/>
      <c r="H146" s="122"/>
      <c r="I146" s="131"/>
      <c r="J146" s="122"/>
      <c r="K146" s="122"/>
      <c r="L146" s="122"/>
      <c r="M146" s="122"/>
    </row>
    <row r="147" spans="1:13" ht="15.5">
      <c r="A147" s="129"/>
      <c r="B147" s="120"/>
      <c r="C147" s="130"/>
      <c r="D147" s="122"/>
      <c r="E147" s="122"/>
      <c r="F147" s="122"/>
      <c r="G147" s="122"/>
      <c r="H147" s="122"/>
      <c r="I147" s="131"/>
      <c r="J147" s="122"/>
      <c r="K147" s="122"/>
      <c r="L147" s="122"/>
      <c r="M147" s="122"/>
    </row>
    <row r="148" spans="1:13" ht="17.5">
      <c r="A148" s="160" t="s">
        <v>61</v>
      </c>
      <c r="B148" s="161"/>
      <c r="D148" s="123"/>
      <c r="E148" s="123"/>
      <c r="F148" s="123"/>
      <c r="G148" s="123"/>
      <c r="H148" s="123"/>
      <c r="I148" s="123"/>
      <c r="J148" s="123"/>
      <c r="K148" s="123"/>
      <c r="L148" s="123"/>
      <c r="M148" s="123"/>
    </row>
    <row r="149" spans="1:13">
      <c r="A149" s="160" t="s">
        <v>1</v>
      </c>
      <c r="B149" s="161"/>
      <c r="D149" s="123"/>
      <c r="E149" s="123"/>
      <c r="F149" s="123"/>
      <c r="G149" s="123"/>
      <c r="H149" s="123"/>
      <c r="I149" s="123"/>
      <c r="J149" s="123"/>
      <c r="K149" s="123"/>
      <c r="L149" s="123"/>
      <c r="M149" s="123"/>
    </row>
    <row r="150" spans="1:13">
      <c r="A150" s="162" t="s">
        <v>2</v>
      </c>
      <c r="B150" s="163"/>
      <c r="D150" s="123"/>
      <c r="E150" s="123"/>
      <c r="F150" s="123"/>
      <c r="G150" s="123"/>
      <c r="H150" s="123"/>
      <c r="I150" s="123"/>
      <c r="J150" s="123"/>
      <c r="K150" s="123"/>
      <c r="L150" s="123"/>
      <c r="M150" s="123"/>
    </row>
    <row r="151" spans="1:13">
      <c r="A151" s="157" t="s">
        <v>3</v>
      </c>
      <c r="B151" s="157" t="s">
        <v>4</v>
      </c>
      <c r="C151" s="157" t="s">
        <v>5</v>
      </c>
      <c r="D151" s="142" t="s">
        <v>6</v>
      </c>
      <c r="E151" s="143"/>
      <c r="F151" s="144"/>
      <c r="G151" s="148" t="s">
        <v>7</v>
      </c>
      <c r="H151" s="142" t="s">
        <v>8</v>
      </c>
      <c r="I151" s="143"/>
      <c r="J151" s="144"/>
      <c r="K151" s="142" t="s">
        <v>9</v>
      </c>
      <c r="L151" s="143"/>
      <c r="M151" s="144"/>
    </row>
    <row r="152" spans="1:13">
      <c r="A152" s="167"/>
      <c r="B152" s="158"/>
      <c r="C152" s="158"/>
      <c r="D152" s="145" t="s">
        <v>10</v>
      </c>
      <c r="E152" s="146"/>
      <c r="F152" s="147"/>
      <c r="G152" s="149"/>
      <c r="H152" s="145"/>
      <c r="I152" s="146"/>
      <c r="J152" s="147"/>
      <c r="K152" s="145"/>
      <c r="L152" s="146"/>
      <c r="M152" s="147"/>
    </row>
    <row r="153" spans="1:13" ht="17">
      <c r="A153" s="168"/>
      <c r="B153" s="159"/>
      <c r="C153" s="159"/>
      <c r="D153" s="124" t="s">
        <v>11</v>
      </c>
      <c r="E153" s="124" t="s">
        <v>12</v>
      </c>
      <c r="F153" s="124" t="s">
        <v>13</v>
      </c>
      <c r="G153" s="150"/>
      <c r="H153" s="124" t="s">
        <v>14</v>
      </c>
      <c r="I153" s="124" t="s">
        <v>39</v>
      </c>
      <c r="J153" s="124" t="s">
        <v>16</v>
      </c>
      <c r="K153" s="124" t="s">
        <v>17</v>
      </c>
      <c r="L153" s="124" t="s">
        <v>18</v>
      </c>
      <c r="M153" s="124" t="s">
        <v>19</v>
      </c>
    </row>
    <row r="154" spans="1:13" ht="18">
      <c r="A154" s="96"/>
      <c r="B154" s="97" t="s">
        <v>20</v>
      </c>
      <c r="C154" s="98"/>
      <c r="D154" s="125"/>
      <c r="E154" s="125"/>
      <c r="F154" s="125"/>
      <c r="G154" s="125"/>
      <c r="H154" s="125"/>
      <c r="I154" s="125"/>
      <c r="J154" s="125"/>
      <c r="K154" s="125"/>
      <c r="L154" s="125"/>
      <c r="M154" s="125"/>
    </row>
    <row r="155" spans="1:13">
      <c r="A155" s="127">
        <v>309</v>
      </c>
      <c r="B155" s="100" t="s">
        <v>62</v>
      </c>
      <c r="C155" s="101">
        <v>150</v>
      </c>
      <c r="D155" s="102">
        <f>36.8*C155/1000</f>
        <v>5.52</v>
      </c>
      <c r="E155" s="102">
        <f>30.1*C155/1000</f>
        <v>4.5149999999999997</v>
      </c>
      <c r="F155" s="102">
        <f>176.3*C155/1000</f>
        <v>26.445</v>
      </c>
      <c r="G155" s="102">
        <f>1123*C155/1000</f>
        <v>168.45</v>
      </c>
      <c r="H155" s="102">
        <f>0</f>
        <v>0</v>
      </c>
      <c r="I155" s="102">
        <f>0.4*C155/1000</f>
        <v>0.06</v>
      </c>
      <c r="J155" s="102">
        <f>0</f>
        <v>0</v>
      </c>
      <c r="K155" s="102">
        <f>32.4*C155/1000</f>
        <v>4.8600000000000003</v>
      </c>
      <c r="L155" s="102">
        <f>247.8*C155/1000</f>
        <v>37.17</v>
      </c>
      <c r="M155" s="102">
        <f>7.4*C155/1000</f>
        <v>1.1100000000000001</v>
      </c>
    </row>
    <row r="156" spans="1:13">
      <c r="A156" s="99">
        <v>268</v>
      </c>
      <c r="B156" s="100" t="s">
        <v>33</v>
      </c>
      <c r="C156" s="101">
        <v>90</v>
      </c>
      <c r="D156" s="102">
        <f>129*C156/1000</f>
        <v>11.61</v>
      </c>
      <c r="E156" s="102">
        <f>334.2*C156/1000</f>
        <v>30.077999999999999</v>
      </c>
      <c r="F156" s="102">
        <f>132.2*C156/1000</f>
        <v>11.898</v>
      </c>
      <c r="G156" s="102">
        <f>4080*C156/1000</f>
        <v>367.2</v>
      </c>
      <c r="H156" s="102">
        <f>400*C156/1000</f>
        <v>36</v>
      </c>
      <c r="I156" s="102">
        <f>3.6*C156/1000</f>
        <v>0.32400000000000001</v>
      </c>
      <c r="J156" s="102">
        <f>42.8*C156/1000</f>
        <v>3.8519999999999999</v>
      </c>
      <c r="K156" s="102">
        <f>115*C156/1000</f>
        <v>10.35</v>
      </c>
      <c r="L156" s="102">
        <f>1541.6*C156/1000</f>
        <v>138.744</v>
      </c>
      <c r="M156" s="102">
        <f>32*C156/1000</f>
        <v>2.88</v>
      </c>
    </row>
    <row r="157" spans="1:13">
      <c r="A157" s="127">
        <v>376</v>
      </c>
      <c r="B157" s="100" t="s">
        <v>41</v>
      </c>
      <c r="C157" s="101">
        <v>200</v>
      </c>
      <c r="D157" s="132">
        <f>0.35*C157/1000</f>
        <v>7.0000000000000007E-2</v>
      </c>
      <c r="E157" s="132">
        <f>0.1*C157/1000</f>
        <v>0.02</v>
      </c>
      <c r="F157" s="132">
        <f>75*C157/1000</f>
        <v>15</v>
      </c>
      <c r="G157" s="132">
        <f>300*C157/1000</f>
        <v>60</v>
      </c>
      <c r="H157" s="132">
        <f>0*C157/1000</f>
        <v>0</v>
      </c>
      <c r="I157" s="132">
        <f>0</f>
        <v>0</v>
      </c>
      <c r="J157" s="132">
        <f>0.2*C157/1000</f>
        <v>0.04</v>
      </c>
      <c r="K157" s="132">
        <f>55.5*C157/1000</f>
        <v>11.1</v>
      </c>
      <c r="L157" s="132">
        <f>14*C157/1000</f>
        <v>2.8</v>
      </c>
      <c r="M157" s="132">
        <f>1.4*C157/1000</f>
        <v>0.28000000000000003</v>
      </c>
    </row>
    <row r="158" spans="1:13">
      <c r="A158" s="104"/>
      <c r="B158" s="100" t="s">
        <v>25</v>
      </c>
      <c r="C158" s="101">
        <v>30</v>
      </c>
      <c r="D158" s="102">
        <f>107*C158/1000</f>
        <v>3.21</v>
      </c>
      <c r="E158" s="102">
        <f>45*C158/1000</f>
        <v>1.35</v>
      </c>
      <c r="F158" s="102">
        <f>435*C158/1000</f>
        <v>13.05</v>
      </c>
      <c r="G158" s="102">
        <f>2740*C158/1000</f>
        <v>82.2</v>
      </c>
      <c r="H158" s="102">
        <f>0</f>
        <v>0</v>
      </c>
      <c r="I158" s="102">
        <f>4.1*C158/1000</f>
        <v>0.123</v>
      </c>
      <c r="J158" s="102">
        <f>2*C158/1000</f>
        <v>0.06</v>
      </c>
      <c r="K158" s="102">
        <f>1250*C158/1000</f>
        <v>37.5</v>
      </c>
      <c r="L158" s="102">
        <f>1290*C158/1000</f>
        <v>38.700000000000003</v>
      </c>
      <c r="M158" s="102">
        <f>36*C158/1000</f>
        <v>1.08</v>
      </c>
    </row>
    <row r="159" spans="1:13">
      <c r="A159" s="104"/>
      <c r="B159" s="100" t="s">
        <v>26</v>
      </c>
      <c r="C159" s="101">
        <v>20</v>
      </c>
      <c r="D159" s="103">
        <f>85*C159/1000</f>
        <v>1.7</v>
      </c>
      <c r="E159" s="103">
        <f>33*C159/1000</f>
        <v>0.66</v>
      </c>
      <c r="F159" s="103">
        <f>425*C159/1000</f>
        <v>8.5</v>
      </c>
      <c r="G159" s="103">
        <f>2590*C159/1000</f>
        <v>51.8</v>
      </c>
      <c r="H159" s="103">
        <f>0</f>
        <v>0</v>
      </c>
      <c r="I159" s="103">
        <f>4.3*C159/1000</f>
        <v>8.5999999999999993E-2</v>
      </c>
      <c r="J159" s="103">
        <f>4*C159/1000</f>
        <v>0.08</v>
      </c>
      <c r="K159" s="103">
        <f>730*C159/1000</f>
        <v>14.6</v>
      </c>
      <c r="L159" s="103">
        <f>1250*C159/1000</f>
        <v>25</v>
      </c>
      <c r="M159" s="103">
        <f>28.3*C159/1000</f>
        <v>0.56599999999999995</v>
      </c>
    </row>
    <row r="160" spans="1:13">
      <c r="A160" s="99"/>
      <c r="B160" s="105" t="s">
        <v>28</v>
      </c>
      <c r="C160" s="126">
        <v>550</v>
      </c>
      <c r="D160" s="107">
        <f t="shared" ref="D160:M160" si="12">SUM(D157:D159)</f>
        <v>4.9800000000000004</v>
      </c>
      <c r="E160" s="107">
        <f t="shared" si="12"/>
        <v>2.0299999999999998</v>
      </c>
      <c r="F160" s="107">
        <f t="shared" si="12"/>
        <v>36.549999999999997</v>
      </c>
      <c r="G160" s="107">
        <f t="shared" si="12"/>
        <v>194</v>
      </c>
      <c r="H160" s="107">
        <f t="shared" si="12"/>
        <v>0</v>
      </c>
      <c r="I160" s="107">
        <f t="shared" si="12"/>
        <v>0.20899999999999999</v>
      </c>
      <c r="J160" s="107">
        <f t="shared" si="12"/>
        <v>0.18</v>
      </c>
      <c r="K160" s="107">
        <f t="shared" si="12"/>
        <v>63.2</v>
      </c>
      <c r="L160" s="107">
        <f t="shared" si="12"/>
        <v>66.5</v>
      </c>
      <c r="M160" s="107">
        <f t="shared" si="12"/>
        <v>1.9259999999999999</v>
      </c>
    </row>
    <row r="161" spans="1:13" ht="18">
      <c r="A161" s="99"/>
      <c r="B161" s="108" t="s">
        <v>29</v>
      </c>
      <c r="C161" s="109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</row>
    <row r="162" spans="1:13">
      <c r="A162" s="99">
        <v>67</v>
      </c>
      <c r="B162" s="100" t="s">
        <v>63</v>
      </c>
      <c r="C162" s="101">
        <v>60</v>
      </c>
      <c r="D162" s="102">
        <f>14*C162/1000</f>
        <v>0.84</v>
      </c>
      <c r="E162" s="102">
        <f>100.4*C162/1000</f>
        <v>6.024</v>
      </c>
      <c r="F162" s="102">
        <f>72.9*C162/1000</f>
        <v>4.3739999999999997</v>
      </c>
      <c r="G162" s="102">
        <f>1251*C162/1000</f>
        <v>75.06</v>
      </c>
      <c r="H162" s="102">
        <f>0*C162/1000</f>
        <v>0</v>
      </c>
      <c r="I162" s="102">
        <f>0.44*C162/1000</f>
        <v>2.64E-2</v>
      </c>
      <c r="J162" s="102">
        <f>96.3*C162/1000</f>
        <v>5.7779999999999996</v>
      </c>
      <c r="K162" s="102">
        <f>312.4*C162/1000</f>
        <v>18.744</v>
      </c>
      <c r="L162" s="102">
        <f>432.7*C162/1000</f>
        <v>25.962</v>
      </c>
      <c r="M162" s="102">
        <f>8.3*C162/1000</f>
        <v>0.498</v>
      </c>
    </row>
    <row r="163" spans="1:13">
      <c r="A163" s="99">
        <v>101</v>
      </c>
      <c r="B163" s="100" t="s">
        <v>59</v>
      </c>
      <c r="C163" s="101">
        <v>200</v>
      </c>
      <c r="D163" s="102">
        <f>7.89*C163/1000</f>
        <v>1.5780000000000001</v>
      </c>
      <c r="E163" s="102">
        <f>10.85*C163/1000</f>
        <v>2.17</v>
      </c>
      <c r="F163" s="102">
        <f>48.45*C163/1000</f>
        <v>9.69</v>
      </c>
      <c r="G163" s="102">
        <f>343*C163/1000</f>
        <v>68.599999999999994</v>
      </c>
      <c r="H163" s="102">
        <f>0*C163/1000</f>
        <v>0</v>
      </c>
      <c r="I163" s="102">
        <f>0.36*C163/1000</f>
        <v>7.1999999999999995E-2</v>
      </c>
      <c r="J163" s="102">
        <f>33*C163/1000</f>
        <v>6.6</v>
      </c>
      <c r="K163" s="102">
        <f>106.8*C163/1000</f>
        <v>21.36</v>
      </c>
      <c r="L163" s="102">
        <f>223.9*C163/1000</f>
        <v>44.78</v>
      </c>
      <c r="M163" s="102">
        <f>3.5*C163/1000</f>
        <v>0.7</v>
      </c>
    </row>
    <row r="164" spans="1:13">
      <c r="A164" s="99">
        <v>209</v>
      </c>
      <c r="B164" s="100" t="s">
        <v>48</v>
      </c>
      <c r="C164" s="101">
        <v>40</v>
      </c>
      <c r="D164" s="102">
        <f>5.1</f>
        <v>5.0999999999999996</v>
      </c>
      <c r="E164" s="102">
        <f>4.6</f>
        <v>4.5999999999999996</v>
      </c>
      <c r="F164" s="102">
        <f>0.3</f>
        <v>0.3</v>
      </c>
      <c r="G164" s="102">
        <f>63</f>
        <v>63</v>
      </c>
      <c r="H164" s="102">
        <f>100</f>
        <v>100</v>
      </c>
      <c r="I164" s="102">
        <f>0.03</f>
        <v>0.03</v>
      </c>
      <c r="J164" s="102">
        <f>0</f>
        <v>0</v>
      </c>
      <c r="K164" s="102">
        <f>22</f>
        <v>22</v>
      </c>
      <c r="L164" s="102">
        <f>76.8</f>
        <v>76.8</v>
      </c>
      <c r="M164" s="102">
        <f>1</f>
        <v>1</v>
      </c>
    </row>
    <row r="165" spans="1:13">
      <c r="A165" s="99"/>
      <c r="B165" s="100" t="s">
        <v>64</v>
      </c>
      <c r="C165" s="101">
        <v>200</v>
      </c>
      <c r="D165" s="103">
        <f>29*C165/1000</f>
        <v>5.8</v>
      </c>
      <c r="E165" s="103">
        <f>25*C165/1000</f>
        <v>5</v>
      </c>
      <c r="F165" s="103">
        <f>40*C165/1000</f>
        <v>8</v>
      </c>
      <c r="G165" s="103">
        <f>500*C165/1000</f>
        <v>100</v>
      </c>
      <c r="H165" s="103">
        <f>200*C165/1000</f>
        <v>40</v>
      </c>
      <c r="I165" s="103">
        <f>0.4*C165/1000</f>
        <v>0.08</v>
      </c>
      <c r="J165" s="103">
        <f>7*C165/1000</f>
        <v>1.4</v>
      </c>
      <c r="K165" s="103">
        <f>1200*C165/1000</f>
        <v>240</v>
      </c>
      <c r="L165" s="103">
        <f>900*C165/1000</f>
        <v>180</v>
      </c>
      <c r="M165" s="103">
        <f>1*C165/1000</f>
        <v>0.2</v>
      </c>
    </row>
    <row r="166" spans="1:13">
      <c r="A166" s="104"/>
      <c r="B166" s="100" t="s">
        <v>25</v>
      </c>
      <c r="C166" s="101">
        <v>30</v>
      </c>
      <c r="D166" s="102">
        <f>107*C166/1000</f>
        <v>3.21</v>
      </c>
      <c r="E166" s="102">
        <f>45*C166/1000</f>
        <v>1.35</v>
      </c>
      <c r="F166" s="102">
        <f>435*C166/1000</f>
        <v>13.05</v>
      </c>
      <c r="G166" s="102">
        <f>2740*C166/1000</f>
        <v>82.2</v>
      </c>
      <c r="H166" s="102">
        <f>0</f>
        <v>0</v>
      </c>
      <c r="I166" s="102">
        <f>4.1*C166/1000</f>
        <v>0.123</v>
      </c>
      <c r="J166" s="102">
        <f>2*C166/1000</f>
        <v>0.06</v>
      </c>
      <c r="K166" s="102">
        <f>1250*C166/1000</f>
        <v>37.5</v>
      </c>
      <c r="L166" s="102">
        <f>1290*C166/1000</f>
        <v>38.700000000000003</v>
      </c>
      <c r="M166" s="102">
        <f>36*C166/1000</f>
        <v>1.08</v>
      </c>
    </row>
    <row r="167" spans="1:13">
      <c r="A167" s="99">
        <v>173</v>
      </c>
      <c r="B167" s="100" t="s">
        <v>65</v>
      </c>
      <c r="C167" s="101">
        <v>150</v>
      </c>
      <c r="D167" s="102">
        <f>57.32*C167/1000</f>
        <v>8.5980000000000008</v>
      </c>
      <c r="E167" s="102">
        <f>40.62*C167/1000</f>
        <v>6.093</v>
      </c>
      <c r="F167" s="102">
        <f>257.6*C167/1000</f>
        <v>38.64</v>
      </c>
      <c r="G167" s="102">
        <f>1625*C167/1000</f>
        <v>243.75</v>
      </c>
      <c r="H167" s="102">
        <f>0</f>
        <v>0</v>
      </c>
      <c r="I167" s="102">
        <f>1.4*C167/1000</f>
        <v>0.21</v>
      </c>
      <c r="J167" s="102">
        <f>0</f>
        <v>0</v>
      </c>
      <c r="K167" s="102">
        <f>98.8*C167/1000</f>
        <v>14.82</v>
      </c>
      <c r="L167" s="102">
        <f>1359.5*C167/1000</f>
        <v>203.92500000000001</v>
      </c>
      <c r="M167" s="102">
        <f>30.4*C167/1000</f>
        <v>4.5599999999999996</v>
      </c>
    </row>
    <row r="168" spans="1:13">
      <c r="A168" s="110"/>
      <c r="B168" s="100" t="s">
        <v>26</v>
      </c>
      <c r="C168" s="101">
        <v>30</v>
      </c>
      <c r="D168" s="103">
        <f>85*C168/1000</f>
        <v>2.5499999999999998</v>
      </c>
      <c r="E168" s="103">
        <f>33*C168/1000</f>
        <v>0.99</v>
      </c>
      <c r="F168" s="103">
        <f>425*C168/1000</f>
        <v>12.75</v>
      </c>
      <c r="G168" s="103">
        <f>2590*C168/1000</f>
        <v>77.7</v>
      </c>
      <c r="H168" s="103">
        <f>0</f>
        <v>0</v>
      </c>
      <c r="I168" s="103">
        <f>4.3*C168/1000</f>
        <v>0.129</v>
      </c>
      <c r="J168" s="103">
        <f>4*C168/1000</f>
        <v>0.12</v>
      </c>
      <c r="K168" s="103">
        <f>730*C168/1000</f>
        <v>21.9</v>
      </c>
      <c r="L168" s="103">
        <f>1250*C168/1000</f>
        <v>37.5</v>
      </c>
      <c r="M168" s="103">
        <f>28.3*C168/1000</f>
        <v>0.84899999999999998</v>
      </c>
    </row>
    <row r="169" spans="1:13">
      <c r="A169" s="104">
        <v>338</v>
      </c>
      <c r="B169" s="100" t="s">
        <v>27</v>
      </c>
      <c r="C169" s="101">
        <v>100</v>
      </c>
      <c r="D169" s="102">
        <f>4*C169/1000</f>
        <v>0.4</v>
      </c>
      <c r="E169" s="102">
        <f>4*C169/1000</f>
        <v>0.4</v>
      </c>
      <c r="F169" s="102">
        <f>98*C169/1000</f>
        <v>9.8000000000000007</v>
      </c>
      <c r="G169" s="102">
        <f>470*C169/1000</f>
        <v>47</v>
      </c>
      <c r="H169" s="102">
        <f>0</f>
        <v>0</v>
      </c>
      <c r="I169" s="102">
        <f>0.3*C169/1000</f>
        <v>0.03</v>
      </c>
      <c r="J169" s="102">
        <f>100*C169/1000</f>
        <v>10</v>
      </c>
      <c r="K169" s="102">
        <f>160*C169/1000</f>
        <v>16</v>
      </c>
      <c r="L169" s="102">
        <f>110*C169/1000</f>
        <v>11</v>
      </c>
      <c r="M169" s="102">
        <f>22*C169/1000</f>
        <v>2.2000000000000002</v>
      </c>
    </row>
    <row r="170" spans="1:13" ht="17.25" customHeight="1">
      <c r="A170" s="127"/>
      <c r="B170" s="105" t="s">
        <v>28</v>
      </c>
      <c r="C170" s="126">
        <f>SUM(C162:C168)</f>
        <v>710</v>
      </c>
      <c r="D170" s="107">
        <f t="shared" ref="D170:M170" si="13">SUM(D162:D168)</f>
        <v>27.675999999999998</v>
      </c>
      <c r="E170" s="107">
        <f t="shared" si="13"/>
        <v>26.227</v>
      </c>
      <c r="F170" s="107">
        <f t="shared" si="13"/>
        <v>86.804000000000002</v>
      </c>
      <c r="G170" s="107">
        <f t="shared" si="13"/>
        <v>710.31</v>
      </c>
      <c r="H170" s="107">
        <f t="shared" si="13"/>
        <v>140</v>
      </c>
      <c r="I170" s="107">
        <f t="shared" si="13"/>
        <v>0.6704</v>
      </c>
      <c r="J170" s="107">
        <f t="shared" si="13"/>
        <v>13.958</v>
      </c>
      <c r="K170" s="107">
        <f t="shared" si="13"/>
        <v>376.32400000000001</v>
      </c>
      <c r="L170" s="107">
        <f t="shared" si="13"/>
        <v>607.66700000000003</v>
      </c>
      <c r="M170" s="107">
        <f t="shared" si="13"/>
        <v>8.8870000000000005</v>
      </c>
    </row>
    <row r="171" spans="1:13" ht="17.25" customHeight="1">
      <c r="A171" s="127"/>
      <c r="B171" s="112" t="s">
        <v>36</v>
      </c>
      <c r="C171" s="128">
        <f t="shared" ref="C171:M171" si="14">C160+C170</f>
        <v>1260</v>
      </c>
      <c r="D171" s="114">
        <f t="shared" si="14"/>
        <v>32.655999999999999</v>
      </c>
      <c r="E171" s="114">
        <f t="shared" si="14"/>
        <v>28.257000000000001</v>
      </c>
      <c r="F171" s="114">
        <f t="shared" si="14"/>
        <v>123.354</v>
      </c>
      <c r="G171" s="114">
        <f t="shared" si="14"/>
        <v>904.31</v>
      </c>
      <c r="H171" s="114">
        <f t="shared" si="14"/>
        <v>140</v>
      </c>
      <c r="I171" s="114">
        <f t="shared" si="14"/>
        <v>0.87939999999999996</v>
      </c>
      <c r="J171" s="114">
        <f t="shared" si="14"/>
        <v>14.138</v>
      </c>
      <c r="K171" s="114">
        <f t="shared" si="14"/>
        <v>439.524</v>
      </c>
      <c r="L171" s="114">
        <f t="shared" si="14"/>
        <v>674.16700000000003</v>
      </c>
      <c r="M171" s="114">
        <f t="shared" si="14"/>
        <v>10.813000000000001</v>
      </c>
    </row>
    <row r="172" spans="1:13" ht="17.25" customHeight="1">
      <c r="A172" s="115"/>
      <c r="B172" s="116" t="s">
        <v>37</v>
      </c>
      <c r="C172" s="117">
        <v>1200</v>
      </c>
      <c r="D172" s="118">
        <v>42.4</v>
      </c>
      <c r="E172" s="118">
        <v>43.5</v>
      </c>
      <c r="F172" s="118">
        <v>184.3</v>
      </c>
      <c r="G172" s="118">
        <v>1292.5</v>
      </c>
      <c r="H172" s="118">
        <v>385</v>
      </c>
      <c r="I172" s="118">
        <v>0.7</v>
      </c>
      <c r="J172" s="118">
        <v>33</v>
      </c>
      <c r="K172" s="118">
        <v>605</v>
      </c>
      <c r="L172" s="118">
        <v>605</v>
      </c>
      <c r="M172" s="118">
        <v>6.6</v>
      </c>
    </row>
    <row r="173" spans="1:13" ht="17.25" customHeight="1">
      <c r="A173" s="119"/>
      <c r="B173" s="120"/>
      <c r="C173" s="121"/>
      <c r="D173" s="131"/>
      <c r="E173" s="131"/>
      <c r="F173" s="131"/>
      <c r="G173" s="131"/>
      <c r="H173" s="131"/>
      <c r="I173" s="131"/>
      <c r="J173" s="131"/>
      <c r="K173" s="131"/>
      <c r="L173" s="131"/>
      <c r="M173" s="131"/>
    </row>
    <row r="174" spans="1:13" ht="17.25" customHeight="1">
      <c r="A174" s="119"/>
      <c r="B174" s="120"/>
      <c r="C174" s="121"/>
      <c r="D174" s="131"/>
      <c r="E174" s="131"/>
      <c r="F174" s="131"/>
      <c r="G174" s="131"/>
      <c r="H174" s="131"/>
      <c r="I174" s="131"/>
      <c r="J174" s="131"/>
      <c r="K174" s="131"/>
      <c r="L174" s="131"/>
      <c r="M174" s="131"/>
    </row>
    <row r="175" spans="1:13" ht="17.25" customHeight="1"/>
    <row r="176" spans="1:13" ht="17.25" customHeight="1"/>
    <row r="177" spans="1:13" ht="17.25" customHeight="1">
      <c r="A177" s="119"/>
      <c r="B177" s="120"/>
      <c r="C177" s="121"/>
      <c r="D177" s="131"/>
      <c r="E177" s="131"/>
      <c r="F177" s="131"/>
      <c r="G177" s="131"/>
      <c r="H177" s="131"/>
      <c r="I177" s="131"/>
      <c r="J177" s="131"/>
      <c r="K177" s="131"/>
      <c r="L177" s="131"/>
      <c r="M177" s="131"/>
    </row>
    <row r="178" spans="1:13" ht="17.25" customHeight="1">
      <c r="A178" s="119"/>
      <c r="B178" s="120"/>
      <c r="C178" s="121"/>
      <c r="D178" s="131"/>
      <c r="E178" s="131"/>
      <c r="F178" s="131"/>
      <c r="G178" s="131"/>
      <c r="H178" s="131"/>
      <c r="I178" s="131"/>
      <c r="J178" s="131"/>
      <c r="K178" s="131"/>
      <c r="L178" s="131"/>
      <c r="M178" s="131"/>
    </row>
    <row r="179" spans="1:13" ht="17.25" customHeight="1">
      <c r="A179" s="119"/>
      <c r="B179" s="120"/>
      <c r="C179" s="121"/>
      <c r="D179" s="131"/>
      <c r="E179" s="131"/>
      <c r="F179" s="131"/>
      <c r="G179" s="131"/>
      <c r="H179" s="131"/>
      <c r="I179" s="131"/>
      <c r="J179" s="131"/>
      <c r="K179" s="131"/>
      <c r="L179" s="131"/>
      <c r="M179" s="131"/>
    </row>
    <row r="180" spans="1:13" ht="17.25" customHeight="1">
      <c r="A180" s="119"/>
      <c r="B180" s="120"/>
      <c r="C180" s="121"/>
      <c r="D180" s="131"/>
      <c r="E180" s="131"/>
      <c r="F180" s="131"/>
      <c r="G180" s="131"/>
      <c r="H180" s="131"/>
      <c r="I180" s="131"/>
      <c r="J180" s="131"/>
      <c r="K180" s="131"/>
      <c r="L180" s="131"/>
      <c r="M180" s="131"/>
    </row>
    <row r="181" spans="1:13" ht="17.25" customHeight="1">
      <c r="A181" s="119"/>
      <c r="B181" s="120"/>
      <c r="C181" s="121"/>
      <c r="D181" s="131"/>
      <c r="E181" s="131"/>
      <c r="F181" s="131"/>
      <c r="G181" s="131"/>
      <c r="H181" s="131"/>
      <c r="I181" s="131"/>
      <c r="J181" s="131"/>
      <c r="K181" s="131"/>
      <c r="L181" s="131"/>
      <c r="M181" s="131"/>
    </row>
    <row r="182" spans="1:13" ht="15.5">
      <c r="A182" s="119"/>
      <c r="B182" s="120"/>
      <c r="C182" s="121"/>
      <c r="D182" s="131"/>
      <c r="E182" s="131"/>
      <c r="F182" s="131"/>
      <c r="G182" s="131"/>
      <c r="H182" s="131"/>
      <c r="I182" s="131"/>
      <c r="J182" s="131"/>
      <c r="K182" s="131"/>
      <c r="L182" s="131"/>
      <c r="M182" s="131"/>
    </row>
    <row r="183" spans="1:13" ht="15.5">
      <c r="A183" s="119"/>
      <c r="B183" s="120"/>
      <c r="C183" s="121"/>
      <c r="D183" s="131"/>
      <c r="E183" s="131"/>
      <c r="F183" s="131"/>
      <c r="G183" s="131"/>
      <c r="H183" s="131"/>
      <c r="I183" s="131"/>
      <c r="J183" s="131"/>
      <c r="K183" s="131"/>
      <c r="L183" s="131"/>
      <c r="M183" s="131"/>
    </row>
    <row r="184" spans="1:13" ht="15.5">
      <c r="A184" s="129"/>
      <c r="B184" s="120"/>
      <c r="C184" s="130"/>
      <c r="D184" s="122"/>
      <c r="E184" s="122"/>
      <c r="F184" s="122"/>
      <c r="G184" s="122"/>
      <c r="H184" s="122"/>
      <c r="I184" s="131"/>
      <c r="J184" s="122"/>
      <c r="K184" s="122"/>
      <c r="L184" s="122"/>
      <c r="M184" s="122"/>
    </row>
    <row r="185" spans="1:13">
      <c r="A185" s="160" t="s">
        <v>66</v>
      </c>
      <c r="B185" s="160"/>
      <c r="D185" s="123"/>
      <c r="E185" s="123"/>
      <c r="F185" s="123"/>
      <c r="G185" s="123"/>
      <c r="H185" s="123"/>
      <c r="I185" s="123"/>
      <c r="J185" s="123"/>
      <c r="K185" s="123"/>
      <c r="L185" s="123"/>
      <c r="M185" s="123"/>
    </row>
    <row r="186" spans="1:13">
      <c r="A186" s="160" t="s">
        <v>67</v>
      </c>
      <c r="B186" s="160"/>
      <c r="D186" s="123"/>
      <c r="E186" s="123"/>
      <c r="F186" s="123"/>
      <c r="G186" s="123"/>
      <c r="H186" s="123"/>
      <c r="I186" s="123"/>
      <c r="J186" s="123"/>
      <c r="K186" s="123"/>
      <c r="L186" s="123"/>
      <c r="M186" s="123"/>
    </row>
    <row r="187" spans="1:13">
      <c r="A187" s="162" t="s">
        <v>2</v>
      </c>
      <c r="B187" s="163"/>
      <c r="D187" s="123"/>
      <c r="E187" s="123"/>
      <c r="F187" s="123"/>
      <c r="G187" s="123"/>
      <c r="H187" s="123"/>
      <c r="I187" s="123"/>
      <c r="J187" s="123"/>
      <c r="K187" s="123"/>
      <c r="L187" s="123"/>
      <c r="M187" s="123"/>
    </row>
    <row r="188" spans="1:13">
      <c r="A188" s="157" t="s">
        <v>3</v>
      </c>
      <c r="B188" s="157" t="s">
        <v>4</v>
      </c>
      <c r="C188" s="157" t="s">
        <v>5</v>
      </c>
      <c r="D188" s="142" t="s">
        <v>6</v>
      </c>
      <c r="E188" s="143"/>
      <c r="F188" s="144"/>
      <c r="G188" s="148" t="s">
        <v>7</v>
      </c>
      <c r="H188" s="142" t="s">
        <v>8</v>
      </c>
      <c r="I188" s="143"/>
      <c r="J188" s="144"/>
      <c r="K188" s="142" t="s">
        <v>9</v>
      </c>
      <c r="L188" s="143"/>
      <c r="M188" s="144"/>
    </row>
    <row r="189" spans="1:13">
      <c r="A189" s="167"/>
      <c r="B189" s="158"/>
      <c r="C189" s="158"/>
      <c r="D189" s="145" t="s">
        <v>10</v>
      </c>
      <c r="E189" s="146"/>
      <c r="F189" s="147"/>
      <c r="G189" s="149"/>
      <c r="H189" s="145"/>
      <c r="I189" s="146"/>
      <c r="J189" s="147"/>
      <c r="K189" s="145"/>
      <c r="L189" s="146"/>
      <c r="M189" s="147"/>
    </row>
    <row r="190" spans="1:13" ht="17">
      <c r="A190" s="168"/>
      <c r="B190" s="159"/>
      <c r="C190" s="159"/>
      <c r="D190" s="124" t="s">
        <v>11</v>
      </c>
      <c r="E190" s="124" t="s">
        <v>12</v>
      </c>
      <c r="F190" s="124" t="s">
        <v>13</v>
      </c>
      <c r="G190" s="150"/>
      <c r="H190" s="124" t="s">
        <v>14</v>
      </c>
      <c r="I190" s="124" t="s">
        <v>39</v>
      </c>
      <c r="J190" s="124" t="s">
        <v>16</v>
      </c>
      <c r="K190" s="124" t="s">
        <v>17</v>
      </c>
      <c r="L190" s="124" t="s">
        <v>18</v>
      </c>
      <c r="M190" s="124" t="s">
        <v>19</v>
      </c>
    </row>
    <row r="191" spans="1:13" ht="18">
      <c r="A191" s="96"/>
      <c r="B191" s="97" t="s">
        <v>20</v>
      </c>
      <c r="C191" s="98"/>
      <c r="D191" s="125"/>
      <c r="E191" s="125"/>
      <c r="F191" s="125"/>
      <c r="G191" s="125"/>
      <c r="H191" s="125"/>
      <c r="I191" s="125"/>
      <c r="J191" s="125"/>
      <c r="K191" s="125"/>
      <c r="L191" s="125"/>
      <c r="M191" s="125"/>
    </row>
    <row r="192" spans="1:13">
      <c r="A192" s="127">
        <v>309</v>
      </c>
      <c r="B192" s="100" t="s">
        <v>62</v>
      </c>
      <c r="C192" s="101">
        <v>150</v>
      </c>
      <c r="D192" s="102">
        <f>36.8*C192/1000</f>
        <v>5.52</v>
      </c>
      <c r="E192" s="102">
        <f>30.1*C192/1000</f>
        <v>4.5149999999999997</v>
      </c>
      <c r="F192" s="102">
        <f>176.3*C192/1000</f>
        <v>26.445</v>
      </c>
      <c r="G192" s="102">
        <f>1123*C192/1000</f>
        <v>168.45</v>
      </c>
      <c r="H192" s="102">
        <f>0</f>
        <v>0</v>
      </c>
      <c r="I192" s="102">
        <f>0.4*C192/1000</f>
        <v>0.06</v>
      </c>
      <c r="J192" s="102">
        <f>0</f>
        <v>0</v>
      </c>
      <c r="K192" s="102">
        <f>32.4*C192/1000</f>
        <v>4.8600000000000003</v>
      </c>
      <c r="L192" s="102">
        <f>247.8*C192/1000</f>
        <v>37.17</v>
      </c>
      <c r="M192" s="102">
        <f>7.4*C192/1000</f>
        <v>1.1100000000000001</v>
      </c>
    </row>
    <row r="193" spans="1:13">
      <c r="A193" s="99">
        <v>379</v>
      </c>
      <c r="B193" s="100" t="s">
        <v>23</v>
      </c>
      <c r="C193" s="101">
        <v>200</v>
      </c>
      <c r="D193" s="103">
        <f>15.8*C193/1000</f>
        <v>3.16</v>
      </c>
      <c r="E193" s="103">
        <f>13.4*C193/1000</f>
        <v>2.68</v>
      </c>
      <c r="F193" s="103">
        <f>79.7*C193/1000</f>
        <v>15.94</v>
      </c>
      <c r="G193" s="103">
        <f>503*C193/1000</f>
        <v>100.6</v>
      </c>
      <c r="H193" s="103">
        <f>100*C193/1000</f>
        <v>20</v>
      </c>
      <c r="I193" s="103">
        <f>0.22*C193/1000</f>
        <v>4.3999999999999997E-2</v>
      </c>
      <c r="J193" s="103">
        <f>6.5*C193/1000</f>
        <v>1.3</v>
      </c>
      <c r="K193" s="103">
        <f>628.9*C193/1000</f>
        <v>125.78</v>
      </c>
      <c r="L193" s="103">
        <f>450*C193/1000</f>
        <v>90</v>
      </c>
      <c r="M193" s="103">
        <f>0.7*C193/1000</f>
        <v>0.14000000000000001</v>
      </c>
    </row>
    <row r="194" spans="1:13">
      <c r="A194" s="127">
        <v>14</v>
      </c>
      <c r="B194" s="100" t="s">
        <v>24</v>
      </c>
      <c r="C194" s="101">
        <v>10</v>
      </c>
      <c r="D194" s="103">
        <f>8*C194/1000</f>
        <v>0.08</v>
      </c>
      <c r="E194" s="103">
        <f>725*C194/1000</f>
        <v>7.25</v>
      </c>
      <c r="F194" s="103">
        <f>13*C194/1000</f>
        <v>0.13</v>
      </c>
      <c r="G194" s="103">
        <f>6600*C194/1000</f>
        <v>66</v>
      </c>
      <c r="H194" s="103">
        <f>4000*C194/1000</f>
        <v>40</v>
      </c>
      <c r="I194" s="103">
        <f>0</f>
        <v>0</v>
      </c>
      <c r="J194" s="103">
        <f>0</f>
        <v>0</v>
      </c>
      <c r="K194" s="103">
        <f>240*C194/1000</f>
        <v>2.4</v>
      </c>
      <c r="L194" s="103">
        <f>300*C194/1000</f>
        <v>3</v>
      </c>
      <c r="M194" s="103">
        <f>2*C194/1000</f>
        <v>0.02</v>
      </c>
    </row>
    <row r="195" spans="1:13">
      <c r="A195" s="110"/>
      <c r="B195" s="100" t="s">
        <v>25</v>
      </c>
      <c r="C195" s="101">
        <v>30</v>
      </c>
      <c r="D195" s="102">
        <f>107*C195/1000</f>
        <v>3.21</v>
      </c>
      <c r="E195" s="102">
        <f>45*C195/1000</f>
        <v>1.35</v>
      </c>
      <c r="F195" s="102">
        <f>435*C195/1000</f>
        <v>13.05</v>
      </c>
      <c r="G195" s="102">
        <f>2740*C195/1000</f>
        <v>82.2</v>
      </c>
      <c r="H195" s="102">
        <f>0</f>
        <v>0</v>
      </c>
      <c r="I195" s="102">
        <f>4.1*C195/1000</f>
        <v>0.123</v>
      </c>
      <c r="J195" s="102">
        <f>2*C195/1000</f>
        <v>0.06</v>
      </c>
      <c r="K195" s="102">
        <f>1250*C195/1000</f>
        <v>37.5</v>
      </c>
      <c r="L195" s="102">
        <f>1290*C195/1000</f>
        <v>38.700000000000003</v>
      </c>
      <c r="M195" s="102">
        <f>36*C195/1000</f>
        <v>1.08</v>
      </c>
    </row>
    <row r="196" spans="1:13">
      <c r="A196" s="110"/>
      <c r="B196" s="100" t="s">
        <v>26</v>
      </c>
      <c r="C196" s="101">
        <v>20</v>
      </c>
      <c r="D196" s="103">
        <f>85*C196/1000</f>
        <v>1.7</v>
      </c>
      <c r="E196" s="103">
        <f>33*C196/1000</f>
        <v>0.66</v>
      </c>
      <c r="F196" s="103">
        <f>425*C196/1000</f>
        <v>8.5</v>
      </c>
      <c r="G196" s="103">
        <f>2590*C196/1000</f>
        <v>51.8</v>
      </c>
      <c r="H196" s="103">
        <f>0</f>
        <v>0</v>
      </c>
      <c r="I196" s="103">
        <f>4.3*C196/1000</f>
        <v>8.5999999999999993E-2</v>
      </c>
      <c r="J196" s="103">
        <f>4*C196/1000</f>
        <v>0.08</v>
      </c>
      <c r="K196" s="103">
        <f>730*C196/1000</f>
        <v>14.6</v>
      </c>
      <c r="L196" s="103">
        <f>1250*C196/1000</f>
        <v>25</v>
      </c>
      <c r="M196" s="103">
        <f>28.3*C196/1000</f>
        <v>0.56599999999999995</v>
      </c>
    </row>
    <row r="197" spans="1:13">
      <c r="A197" s="99">
        <v>389</v>
      </c>
      <c r="B197" s="100" t="s">
        <v>68</v>
      </c>
      <c r="C197" s="101">
        <v>200</v>
      </c>
      <c r="D197" s="102">
        <f>5*C197/1000</f>
        <v>1</v>
      </c>
      <c r="E197" s="102">
        <f>0</f>
        <v>0</v>
      </c>
      <c r="F197" s="102">
        <f>101*C197/1000</f>
        <v>20.2</v>
      </c>
      <c r="G197" s="102">
        <f>424*C197/1000</f>
        <v>84.8</v>
      </c>
      <c r="H197" s="102">
        <f>0</f>
        <v>0</v>
      </c>
      <c r="I197" s="102">
        <f>0.1*C197/1000</f>
        <v>0.02</v>
      </c>
      <c r="J197" s="102">
        <f>20*C197/1000</f>
        <v>4</v>
      </c>
      <c r="K197" s="102">
        <f>70*C197/1000</f>
        <v>14</v>
      </c>
      <c r="L197" s="102">
        <f>70*C197/1000</f>
        <v>14</v>
      </c>
      <c r="M197" s="102">
        <f>14*C197/1000</f>
        <v>2.8</v>
      </c>
    </row>
    <row r="198" spans="1:13">
      <c r="A198" s="99">
        <v>234</v>
      </c>
      <c r="B198" s="100" t="s">
        <v>69</v>
      </c>
      <c r="C198" s="101">
        <v>100</v>
      </c>
      <c r="D198" s="102">
        <f>130*C198/1000</f>
        <v>13</v>
      </c>
      <c r="E198" s="102">
        <f>154.6*C198/1000</f>
        <v>15.46</v>
      </c>
      <c r="F198" s="102">
        <f>159.8*C198/1000</f>
        <v>15.98</v>
      </c>
      <c r="G198" s="102">
        <f>2560*C198/1000</f>
        <v>256</v>
      </c>
      <c r="H198" s="102">
        <f>494*C198/1000</f>
        <v>49.4</v>
      </c>
      <c r="I198" s="102">
        <f>0.8*C198/1000</f>
        <v>0.08</v>
      </c>
      <c r="J198" s="102">
        <f>6.6*C198/1000</f>
        <v>0.66</v>
      </c>
      <c r="K198" s="102">
        <f>742.8*C198/1000</f>
        <v>74.28</v>
      </c>
      <c r="L198" s="102">
        <f>1884.6*C198/1000</f>
        <v>188.46</v>
      </c>
      <c r="M198" s="102">
        <f>14.8*C198/1000</f>
        <v>1.48</v>
      </c>
    </row>
    <row r="199" spans="1:13">
      <c r="A199" s="99"/>
      <c r="B199" s="105" t="s">
        <v>28</v>
      </c>
      <c r="C199" s="126">
        <f t="shared" ref="C199:M199" si="15">SUM(C192:C198)</f>
        <v>710</v>
      </c>
      <c r="D199" s="107">
        <f t="shared" si="15"/>
        <v>27.67</v>
      </c>
      <c r="E199" s="107">
        <f t="shared" si="15"/>
        <v>31.914999999999999</v>
      </c>
      <c r="F199" s="107">
        <f t="shared" si="15"/>
        <v>100.245</v>
      </c>
      <c r="G199" s="107">
        <f t="shared" si="15"/>
        <v>809.85</v>
      </c>
      <c r="H199" s="107">
        <f t="shared" si="15"/>
        <v>109.4</v>
      </c>
      <c r="I199" s="107">
        <f t="shared" si="15"/>
        <v>0.41299999999999998</v>
      </c>
      <c r="J199" s="107">
        <f t="shared" si="15"/>
        <v>6.1</v>
      </c>
      <c r="K199" s="107">
        <f t="shared" si="15"/>
        <v>273.42</v>
      </c>
      <c r="L199" s="107">
        <f t="shared" si="15"/>
        <v>396.33</v>
      </c>
      <c r="M199" s="107">
        <f t="shared" si="15"/>
        <v>7.1959999999999997</v>
      </c>
    </row>
    <row r="200" spans="1:13" ht="18">
      <c r="A200" s="99"/>
      <c r="B200" s="108" t="s">
        <v>29</v>
      </c>
      <c r="C200" s="109"/>
      <c r="D200" s="102"/>
      <c r="E200" s="102"/>
      <c r="F200" s="102"/>
      <c r="G200" s="102"/>
      <c r="H200" s="102"/>
      <c r="I200" s="102"/>
      <c r="J200" s="102"/>
      <c r="K200" s="102"/>
      <c r="L200" s="102"/>
      <c r="M200" s="102"/>
    </row>
    <row r="201" spans="1:13">
      <c r="A201" s="99">
        <v>45</v>
      </c>
      <c r="B201" s="100" t="s">
        <v>70</v>
      </c>
      <c r="C201" s="101">
        <v>60</v>
      </c>
      <c r="D201" s="102">
        <f>13.1*C201/1000</f>
        <v>0.78600000000000003</v>
      </c>
      <c r="E201" s="102">
        <f>32.5*C201/1000</f>
        <v>1.95</v>
      </c>
      <c r="F201" s="102">
        <f>64.7*C201/1000</f>
        <v>3.8820000000000001</v>
      </c>
      <c r="G201" s="102">
        <f>604*C201/1000</f>
        <v>36.24</v>
      </c>
      <c r="H201" s="102">
        <f>0</f>
        <v>0</v>
      </c>
      <c r="I201" s="102">
        <f>0.2*C201/1000</f>
        <v>1.2E-2</v>
      </c>
      <c r="J201" s="102">
        <f>171*C201/1000</f>
        <v>10.26</v>
      </c>
      <c r="K201" s="102">
        <f>249.7*C201/1000</f>
        <v>14.981999999999999</v>
      </c>
      <c r="L201" s="102">
        <f>283.1*C201/1000</f>
        <v>16.986000000000001</v>
      </c>
      <c r="M201" s="102">
        <f>4.7*C201/1000</f>
        <v>0.28199999999999997</v>
      </c>
    </row>
    <row r="202" spans="1:13">
      <c r="A202" s="99">
        <v>96</v>
      </c>
      <c r="B202" s="100" t="s">
        <v>44</v>
      </c>
      <c r="C202" s="101">
        <v>200</v>
      </c>
      <c r="D202" s="102">
        <f>8.1*C202/1000</f>
        <v>1.62</v>
      </c>
      <c r="E202" s="102">
        <f>20.4*C202/1000</f>
        <v>4.08</v>
      </c>
      <c r="F202" s="102">
        <f>47.9*C202/1000</f>
        <v>9.58</v>
      </c>
      <c r="G202" s="102">
        <f>429*C202/1000</f>
        <v>85.8</v>
      </c>
      <c r="H202" s="102">
        <f>0</f>
        <v>0</v>
      </c>
      <c r="I202" s="102">
        <f>0.4*C202/1000</f>
        <v>0.08</v>
      </c>
      <c r="J202" s="102">
        <f>33.5*C202/1000</f>
        <v>6.7</v>
      </c>
      <c r="K202" s="102">
        <f>116.6*C202/1000</f>
        <v>23.32</v>
      </c>
      <c r="L202" s="102">
        <f>226.9*C202/1000</f>
        <v>45.38</v>
      </c>
      <c r="M202" s="102">
        <f>3.7*C202/1000</f>
        <v>0.74</v>
      </c>
    </row>
    <row r="203" spans="1:13">
      <c r="A203" s="99">
        <v>312</v>
      </c>
      <c r="B203" s="100" t="s">
        <v>32</v>
      </c>
      <c r="C203" s="101">
        <v>150</v>
      </c>
      <c r="D203" s="102">
        <f>20.4*C203/1000</f>
        <v>3.06</v>
      </c>
      <c r="E203" s="102">
        <f>32*C203/1000</f>
        <v>4.8</v>
      </c>
      <c r="F203" s="102">
        <f>136.3*C203/1000</f>
        <v>20.445</v>
      </c>
      <c r="G203" s="102">
        <f>915*C203/1000</f>
        <v>137.25</v>
      </c>
      <c r="H203" s="102">
        <f>0</f>
        <v>0</v>
      </c>
      <c r="I203" s="102">
        <f>0.9*C203/1000</f>
        <v>0.13500000000000001</v>
      </c>
      <c r="J203" s="102">
        <f>121.1*C203/1000</f>
        <v>18.164999999999999</v>
      </c>
      <c r="K203" s="102">
        <f>246.5*C203/1000</f>
        <v>36.975000000000001</v>
      </c>
      <c r="L203" s="102">
        <f>577.3*C203/1000</f>
        <v>86.594999999999999</v>
      </c>
      <c r="M203" s="102">
        <f>6.7*C203/1000</f>
        <v>1.0049999999999999</v>
      </c>
    </row>
    <row r="204" spans="1:13">
      <c r="A204" s="99">
        <v>268</v>
      </c>
      <c r="B204" s="100" t="s">
        <v>33</v>
      </c>
      <c r="C204" s="101">
        <v>90</v>
      </c>
      <c r="D204" s="102">
        <f>129*C204/1000</f>
        <v>11.61</v>
      </c>
      <c r="E204" s="102">
        <f>334.2*C204/1000</f>
        <v>30.077999999999999</v>
      </c>
      <c r="F204" s="102">
        <f>132.2*C204/1000</f>
        <v>11.898</v>
      </c>
      <c r="G204" s="102">
        <f>4080*C204/1000</f>
        <v>367.2</v>
      </c>
      <c r="H204" s="102">
        <f>400*C204/1000</f>
        <v>36</v>
      </c>
      <c r="I204" s="102">
        <f>3.6*C204/1000</f>
        <v>0.32400000000000001</v>
      </c>
      <c r="J204" s="102">
        <f>42.8*C204/1000</f>
        <v>3.8519999999999999</v>
      </c>
      <c r="K204" s="102">
        <f>115*C204/1000</f>
        <v>10.35</v>
      </c>
      <c r="L204" s="102">
        <f>1541.6*C204/1000</f>
        <v>138.744</v>
      </c>
      <c r="M204" s="102">
        <f>32*C204/1000</f>
        <v>2.88</v>
      </c>
    </row>
    <row r="205" spans="1:13">
      <c r="A205" s="99">
        <v>377</v>
      </c>
      <c r="B205" s="100" t="s">
        <v>41</v>
      </c>
      <c r="C205" s="101">
        <v>200</v>
      </c>
      <c r="D205" s="102">
        <v>0.13</v>
      </c>
      <c r="E205" s="102">
        <v>0.02</v>
      </c>
      <c r="F205" s="102">
        <v>15.2</v>
      </c>
      <c r="G205" s="102">
        <v>62</v>
      </c>
      <c r="H205" s="102">
        <v>0</v>
      </c>
      <c r="I205" s="102">
        <v>0</v>
      </c>
      <c r="J205" s="102">
        <v>2.84</v>
      </c>
      <c r="K205" s="102">
        <v>14.2</v>
      </c>
      <c r="L205" s="102">
        <v>4.4000000000000004</v>
      </c>
      <c r="M205" s="102">
        <v>0.36</v>
      </c>
    </row>
    <row r="206" spans="1:13">
      <c r="A206" s="104"/>
      <c r="B206" s="100" t="s">
        <v>25</v>
      </c>
      <c r="C206" s="101">
        <v>30</v>
      </c>
      <c r="D206" s="102">
        <f>107*C206/1000</f>
        <v>3.21</v>
      </c>
      <c r="E206" s="102">
        <f>45*C206/1000</f>
        <v>1.35</v>
      </c>
      <c r="F206" s="102">
        <f>435*C206/1000</f>
        <v>13.05</v>
      </c>
      <c r="G206" s="102">
        <f>2740*C206/1000</f>
        <v>82.2</v>
      </c>
      <c r="H206" s="102">
        <f>0</f>
        <v>0</v>
      </c>
      <c r="I206" s="102">
        <f>4.1*C206/1000</f>
        <v>0.123</v>
      </c>
      <c r="J206" s="102">
        <f>2*C206/1000</f>
        <v>0.06</v>
      </c>
      <c r="K206" s="102">
        <f>1250*C206/1000</f>
        <v>37.5</v>
      </c>
      <c r="L206" s="102">
        <f>1290*C206/1000</f>
        <v>38.700000000000003</v>
      </c>
      <c r="M206" s="102">
        <f>36*C206/1000</f>
        <v>1.08</v>
      </c>
    </row>
    <row r="207" spans="1:13">
      <c r="A207" s="110"/>
      <c r="B207" s="100" t="s">
        <v>26</v>
      </c>
      <c r="C207" s="101">
        <v>30</v>
      </c>
      <c r="D207" s="103">
        <f>85*C207/1000</f>
        <v>2.5499999999999998</v>
      </c>
      <c r="E207" s="103">
        <f>33*C207/1000</f>
        <v>0.99</v>
      </c>
      <c r="F207" s="103">
        <f>425*C207/1000</f>
        <v>12.75</v>
      </c>
      <c r="G207" s="103">
        <f>2590*C207/1000</f>
        <v>77.7</v>
      </c>
      <c r="H207" s="103">
        <f>0</f>
        <v>0</v>
      </c>
      <c r="I207" s="103">
        <f>4.3*C207/1000</f>
        <v>0.129</v>
      </c>
      <c r="J207" s="103">
        <f>4*C207/1000</f>
        <v>0.12</v>
      </c>
      <c r="K207" s="103">
        <f>730*C207/1000</f>
        <v>21.9</v>
      </c>
      <c r="L207" s="103">
        <f>1250*C207/1000</f>
        <v>37.5</v>
      </c>
      <c r="M207" s="103">
        <f>28.3*C207/1000</f>
        <v>0.84899999999999998</v>
      </c>
    </row>
    <row r="208" spans="1:13">
      <c r="A208" s="104">
        <v>338</v>
      </c>
      <c r="B208" s="100" t="s">
        <v>27</v>
      </c>
      <c r="C208" s="101">
        <v>100</v>
      </c>
      <c r="D208" s="102">
        <f>4*C208/1000</f>
        <v>0.4</v>
      </c>
      <c r="E208" s="102">
        <f>4*C208/1000</f>
        <v>0.4</v>
      </c>
      <c r="F208" s="102">
        <f>98*C208/1000</f>
        <v>9.8000000000000007</v>
      </c>
      <c r="G208" s="102">
        <f>470*C208/1000</f>
        <v>47</v>
      </c>
      <c r="H208" s="102">
        <f>0</f>
        <v>0</v>
      </c>
      <c r="I208" s="102">
        <f>0.3*C208/1000</f>
        <v>0.03</v>
      </c>
      <c r="J208" s="102">
        <f>100*C208/1000</f>
        <v>10</v>
      </c>
      <c r="K208" s="102">
        <f>160*C208/1000</f>
        <v>16</v>
      </c>
      <c r="L208" s="102">
        <f>110*C208/1000</f>
        <v>11</v>
      </c>
      <c r="M208" s="102">
        <f>22*C208/1000</f>
        <v>2.2000000000000002</v>
      </c>
    </row>
    <row r="209" spans="1:13" ht="18" customHeight="1">
      <c r="A209" s="127"/>
      <c r="B209" s="105" t="s">
        <v>28</v>
      </c>
      <c r="C209" s="126">
        <f t="shared" ref="C209:M209" si="16">SUM(C201:C208)</f>
        <v>860</v>
      </c>
      <c r="D209" s="107">
        <f t="shared" si="16"/>
        <v>23.366</v>
      </c>
      <c r="E209" s="107">
        <f t="shared" si="16"/>
        <v>43.667999999999999</v>
      </c>
      <c r="F209" s="107">
        <f t="shared" si="16"/>
        <v>96.605000000000004</v>
      </c>
      <c r="G209" s="107">
        <f t="shared" si="16"/>
        <v>895.39</v>
      </c>
      <c r="H209" s="107">
        <f t="shared" si="16"/>
        <v>36</v>
      </c>
      <c r="I209" s="107">
        <f t="shared" si="16"/>
        <v>0.83299999999999996</v>
      </c>
      <c r="J209" s="107">
        <f t="shared" si="16"/>
        <v>51.997</v>
      </c>
      <c r="K209" s="107">
        <f t="shared" si="16"/>
        <v>175.227</v>
      </c>
      <c r="L209" s="107">
        <f t="shared" si="16"/>
        <v>379.30500000000001</v>
      </c>
      <c r="M209" s="107">
        <f t="shared" si="16"/>
        <v>9.3960000000000008</v>
      </c>
    </row>
    <row r="210" spans="1:13" ht="18" customHeight="1">
      <c r="A210" s="127"/>
      <c r="B210" s="112" t="s">
        <v>36</v>
      </c>
      <c r="C210" s="128">
        <f t="shared" ref="C210:M210" si="17">C199+C209</f>
        <v>1570</v>
      </c>
      <c r="D210" s="114">
        <f t="shared" si="17"/>
        <v>51.036000000000001</v>
      </c>
      <c r="E210" s="114">
        <f t="shared" si="17"/>
        <v>75.582999999999998</v>
      </c>
      <c r="F210" s="114">
        <f t="shared" si="17"/>
        <v>196.85</v>
      </c>
      <c r="G210" s="114">
        <f t="shared" si="17"/>
        <v>1705.24</v>
      </c>
      <c r="H210" s="114">
        <f t="shared" si="17"/>
        <v>145.4</v>
      </c>
      <c r="I210" s="114">
        <f t="shared" si="17"/>
        <v>1.246</v>
      </c>
      <c r="J210" s="114">
        <f t="shared" si="17"/>
        <v>58.097000000000001</v>
      </c>
      <c r="K210" s="114">
        <f t="shared" si="17"/>
        <v>448.64699999999999</v>
      </c>
      <c r="L210" s="114">
        <f t="shared" si="17"/>
        <v>775.63499999999999</v>
      </c>
      <c r="M210" s="114">
        <f t="shared" si="17"/>
        <v>16.591999999999999</v>
      </c>
    </row>
    <row r="211" spans="1:13" ht="18" customHeight="1">
      <c r="A211" s="115"/>
      <c r="B211" s="116" t="s">
        <v>37</v>
      </c>
      <c r="C211" s="117">
        <v>1200</v>
      </c>
      <c r="D211" s="118">
        <v>42.4</v>
      </c>
      <c r="E211" s="118">
        <v>43.5</v>
      </c>
      <c r="F211" s="118">
        <v>184.3</v>
      </c>
      <c r="G211" s="118">
        <v>1292.5</v>
      </c>
      <c r="H211" s="118">
        <v>385</v>
      </c>
      <c r="I211" s="118">
        <v>0.7</v>
      </c>
      <c r="J211" s="118">
        <v>33</v>
      </c>
      <c r="K211" s="118">
        <v>605</v>
      </c>
      <c r="L211" s="118">
        <v>605</v>
      </c>
      <c r="M211" s="118">
        <v>6.6</v>
      </c>
    </row>
    <row r="212" spans="1:13" ht="18" customHeight="1">
      <c r="A212" s="119"/>
      <c r="B212" s="120"/>
      <c r="C212" s="121"/>
      <c r="D212" s="131"/>
      <c r="E212" s="131"/>
      <c r="F212" s="131"/>
      <c r="G212" s="131"/>
      <c r="H212" s="131"/>
      <c r="I212" s="131"/>
      <c r="J212" s="131"/>
      <c r="K212" s="131"/>
      <c r="L212" s="131"/>
      <c r="M212" s="131"/>
    </row>
    <row r="213" spans="1:13" ht="18" customHeight="1">
      <c r="A213" s="119"/>
      <c r="B213" s="120"/>
      <c r="C213" s="121"/>
      <c r="D213" s="131"/>
      <c r="E213" s="131"/>
      <c r="F213" s="131"/>
      <c r="G213" s="131"/>
      <c r="H213" s="131"/>
      <c r="I213" s="131"/>
      <c r="J213" s="131"/>
      <c r="K213" s="131"/>
      <c r="L213" s="131"/>
      <c r="M213" s="131"/>
    </row>
    <row r="214" spans="1:13" ht="18" customHeight="1">
      <c r="A214" s="119"/>
      <c r="B214" s="120"/>
      <c r="C214" s="121"/>
      <c r="D214" s="131"/>
      <c r="E214" s="131"/>
      <c r="F214" s="131"/>
      <c r="G214" s="131"/>
      <c r="H214" s="131"/>
      <c r="I214" s="131"/>
      <c r="J214" s="131"/>
      <c r="K214" s="131"/>
      <c r="L214" s="131"/>
      <c r="M214" s="131"/>
    </row>
    <row r="215" spans="1:13" ht="18" customHeight="1">
      <c r="A215" s="119"/>
      <c r="B215" s="120"/>
      <c r="C215" s="121"/>
      <c r="D215" s="131"/>
      <c r="E215" s="131"/>
      <c r="F215" s="131"/>
      <c r="G215" s="131"/>
      <c r="H215" s="131"/>
      <c r="I215" s="131"/>
      <c r="J215" s="131"/>
      <c r="K215" s="131"/>
      <c r="L215" s="131"/>
      <c r="M215" s="131"/>
    </row>
    <row r="216" spans="1:13" ht="18" customHeight="1">
      <c r="A216" s="119"/>
      <c r="B216" s="120"/>
      <c r="C216" s="121"/>
      <c r="D216" s="131"/>
      <c r="E216" s="131"/>
      <c r="F216" s="131"/>
      <c r="G216" s="131"/>
      <c r="H216" s="131"/>
      <c r="I216" s="131"/>
      <c r="J216" s="131"/>
      <c r="K216" s="131"/>
      <c r="L216" s="131"/>
      <c r="M216" s="131"/>
    </row>
    <row r="217" spans="1:13" ht="18" customHeight="1">
      <c r="A217" s="119"/>
      <c r="B217" s="120"/>
      <c r="C217" s="121"/>
      <c r="D217" s="131"/>
      <c r="E217" s="131"/>
      <c r="F217" s="131"/>
      <c r="G217" s="131"/>
      <c r="H217" s="131"/>
      <c r="I217" s="131"/>
      <c r="J217" s="131"/>
      <c r="K217" s="131"/>
      <c r="L217" s="131"/>
      <c r="M217" s="131"/>
    </row>
    <row r="218" spans="1:13" ht="15.5">
      <c r="A218" s="119"/>
      <c r="B218" s="120"/>
      <c r="C218" s="121"/>
      <c r="D218" s="131"/>
      <c r="E218" s="131"/>
      <c r="F218" s="131"/>
      <c r="G218" s="131"/>
      <c r="H218" s="131"/>
      <c r="I218" s="131"/>
      <c r="J218" s="131"/>
      <c r="K218" s="131"/>
      <c r="L218" s="131"/>
      <c r="M218" s="131"/>
    </row>
    <row r="219" spans="1:13" ht="15.5">
      <c r="A219" s="119"/>
      <c r="B219" s="120"/>
      <c r="C219" s="121"/>
      <c r="D219" s="131"/>
      <c r="E219" s="131"/>
      <c r="F219" s="131"/>
      <c r="G219" s="131"/>
      <c r="H219" s="131"/>
      <c r="I219" s="131"/>
      <c r="J219" s="131"/>
      <c r="K219" s="131"/>
      <c r="L219" s="131"/>
      <c r="M219" s="131"/>
    </row>
    <row r="220" spans="1:13">
      <c r="D220" s="123"/>
      <c r="E220" s="123"/>
      <c r="F220" s="123"/>
      <c r="G220" s="123"/>
      <c r="H220" s="123"/>
      <c r="I220" s="123"/>
      <c r="J220" s="123"/>
      <c r="K220" s="123"/>
      <c r="L220" s="123"/>
      <c r="M220" s="123"/>
    </row>
    <row r="221" spans="1:13">
      <c r="A221" s="160" t="s">
        <v>71</v>
      </c>
      <c r="B221" s="161"/>
      <c r="D221" s="123"/>
      <c r="E221" s="123"/>
      <c r="F221" s="123"/>
      <c r="G221" s="123"/>
      <c r="H221" s="123"/>
      <c r="I221" s="123"/>
      <c r="J221" s="123"/>
      <c r="K221" s="123"/>
      <c r="L221" s="123"/>
      <c r="M221" s="123"/>
    </row>
    <row r="222" spans="1:13">
      <c r="A222" s="160" t="s">
        <v>67</v>
      </c>
      <c r="B222" s="161"/>
      <c r="D222" s="123"/>
      <c r="E222" s="123"/>
      <c r="F222" s="123"/>
      <c r="G222" s="123"/>
      <c r="H222" s="123"/>
      <c r="I222" s="123"/>
      <c r="J222" s="123"/>
      <c r="K222" s="123"/>
      <c r="L222" s="123"/>
      <c r="M222" s="123"/>
    </row>
    <row r="223" spans="1:13">
      <c r="A223" s="162" t="s">
        <v>2</v>
      </c>
      <c r="B223" s="163"/>
      <c r="D223" s="123"/>
      <c r="E223" s="123"/>
      <c r="F223" s="123"/>
      <c r="G223" s="123"/>
      <c r="H223" s="123"/>
      <c r="I223" s="123"/>
      <c r="J223" s="123"/>
      <c r="K223" s="123"/>
      <c r="L223" s="123"/>
      <c r="M223" s="123"/>
    </row>
    <row r="224" spans="1:13">
      <c r="A224" s="157" t="s">
        <v>3</v>
      </c>
      <c r="B224" s="157" t="s">
        <v>4</v>
      </c>
      <c r="C224" s="157" t="s">
        <v>5</v>
      </c>
      <c r="D224" s="142" t="s">
        <v>6</v>
      </c>
      <c r="E224" s="143"/>
      <c r="F224" s="144"/>
      <c r="G224" s="148" t="s">
        <v>7</v>
      </c>
      <c r="H224" s="142" t="s">
        <v>8</v>
      </c>
      <c r="I224" s="143"/>
      <c r="J224" s="144"/>
      <c r="K224" s="142" t="s">
        <v>9</v>
      </c>
      <c r="L224" s="143"/>
      <c r="M224" s="144"/>
    </row>
    <row r="225" spans="1:13">
      <c r="A225" s="167"/>
      <c r="B225" s="158"/>
      <c r="C225" s="158"/>
      <c r="D225" s="145" t="s">
        <v>10</v>
      </c>
      <c r="E225" s="146"/>
      <c r="F225" s="147"/>
      <c r="G225" s="149"/>
      <c r="H225" s="145"/>
      <c r="I225" s="146"/>
      <c r="J225" s="147"/>
      <c r="K225" s="145"/>
      <c r="L225" s="146"/>
      <c r="M225" s="147"/>
    </row>
    <row r="226" spans="1:13" ht="17">
      <c r="A226" s="168"/>
      <c r="B226" s="159"/>
      <c r="C226" s="159"/>
      <c r="D226" s="124" t="s">
        <v>11</v>
      </c>
      <c r="E226" s="124" t="s">
        <v>12</v>
      </c>
      <c r="F226" s="124" t="s">
        <v>13</v>
      </c>
      <c r="G226" s="150"/>
      <c r="H226" s="124" t="s">
        <v>14</v>
      </c>
      <c r="I226" s="124" t="s">
        <v>39</v>
      </c>
      <c r="J226" s="124" t="s">
        <v>16</v>
      </c>
      <c r="K226" s="124" t="s">
        <v>17</v>
      </c>
      <c r="L226" s="124" t="s">
        <v>18</v>
      </c>
      <c r="M226" s="124" t="s">
        <v>19</v>
      </c>
    </row>
    <row r="227" spans="1:13" ht="18">
      <c r="A227" s="96"/>
      <c r="B227" s="97" t="s">
        <v>20</v>
      </c>
      <c r="C227" s="98"/>
      <c r="D227" s="125"/>
      <c r="E227" s="125"/>
      <c r="F227" s="125"/>
      <c r="G227" s="125"/>
      <c r="H227" s="125"/>
      <c r="I227" s="125"/>
      <c r="J227" s="125"/>
      <c r="K227" s="125"/>
      <c r="L227" s="125"/>
      <c r="M227" s="125"/>
    </row>
    <row r="228" spans="1:13" ht="13.5" customHeight="1">
      <c r="A228" s="96"/>
      <c r="B228" s="97"/>
      <c r="C228" s="98"/>
      <c r="D228" s="125"/>
      <c r="E228" s="125"/>
      <c r="F228" s="125"/>
      <c r="G228" s="125"/>
      <c r="H228" s="125"/>
      <c r="I228" s="125"/>
      <c r="J228" s="125"/>
      <c r="K228" s="125"/>
      <c r="L228" s="125"/>
      <c r="M228" s="125"/>
    </row>
    <row r="229" spans="1:13">
      <c r="A229" s="127">
        <v>210</v>
      </c>
      <c r="B229" s="100" t="s">
        <v>72</v>
      </c>
      <c r="C229" s="101">
        <v>160</v>
      </c>
      <c r="D229" s="103">
        <f>92.9*C229/1000</f>
        <v>14.864000000000001</v>
      </c>
      <c r="E229" s="103">
        <f>163.8*C229/1000</f>
        <v>26.207999999999998</v>
      </c>
      <c r="F229" s="103">
        <f>17.6*C229/1000</f>
        <v>2.8159999999999998</v>
      </c>
      <c r="G229" s="103">
        <f>1931*C229/1000</f>
        <v>308.95999999999998</v>
      </c>
      <c r="H229" s="103">
        <f>2163.8*C229/1000</f>
        <v>346.20800000000003</v>
      </c>
      <c r="I229" s="103">
        <f>0.7*C229/1000</f>
        <v>0.112</v>
      </c>
      <c r="J229" s="103">
        <f>1.7*C229/1000</f>
        <v>0.27200000000000002</v>
      </c>
      <c r="K229" s="103">
        <f>687.2*C229/1000</f>
        <v>109.952</v>
      </c>
      <c r="L229" s="103">
        <f>1505.2*C229/1000</f>
        <v>240.83199999999999</v>
      </c>
      <c r="M229" s="103">
        <f>17.6*C229/1000</f>
        <v>2.8159999999999998</v>
      </c>
    </row>
    <row r="230" spans="1:13">
      <c r="A230" s="99">
        <v>382</v>
      </c>
      <c r="B230" s="100" t="s">
        <v>57</v>
      </c>
      <c r="C230" s="101">
        <v>200</v>
      </c>
      <c r="D230" s="103">
        <f>20.4*C230/1000</f>
        <v>4.08</v>
      </c>
      <c r="E230" s="103">
        <f>17.7*C230/1000</f>
        <v>3.54</v>
      </c>
      <c r="F230" s="103">
        <f>87.9*C230/1000</f>
        <v>17.579999999999998</v>
      </c>
      <c r="G230" s="103">
        <f>593*C230/1000</f>
        <v>118.6</v>
      </c>
      <c r="H230" s="103">
        <f>122*C230/1000</f>
        <v>24.4</v>
      </c>
      <c r="I230" s="103">
        <f>0.28*C230/1000</f>
        <v>5.6000000000000001E-2</v>
      </c>
      <c r="J230" s="103">
        <f>7.9*C230/1000</f>
        <v>1.58</v>
      </c>
      <c r="K230" s="103">
        <f>761.1*C230/1000</f>
        <v>152.22</v>
      </c>
      <c r="L230" s="103">
        <f>622.8*C230/1000</f>
        <v>124.56</v>
      </c>
      <c r="M230" s="103">
        <f>2.4*C230/1000</f>
        <v>0.48</v>
      </c>
    </row>
    <row r="231" spans="1:13">
      <c r="A231" s="99"/>
      <c r="B231" s="100" t="s">
        <v>25</v>
      </c>
      <c r="C231" s="101">
        <v>30</v>
      </c>
      <c r="D231" s="102">
        <f>107*C231/1000</f>
        <v>3.21</v>
      </c>
      <c r="E231" s="102">
        <f>45*C231/1000</f>
        <v>1.35</v>
      </c>
      <c r="F231" s="102">
        <f>435*C231/1000</f>
        <v>13.05</v>
      </c>
      <c r="G231" s="102">
        <f>2740*C231/1000</f>
        <v>82.2</v>
      </c>
      <c r="H231" s="102">
        <f>0</f>
        <v>0</v>
      </c>
      <c r="I231" s="102">
        <f>4.1*C231/1000</f>
        <v>0.123</v>
      </c>
      <c r="J231" s="102">
        <f>2*C231/1000</f>
        <v>0.06</v>
      </c>
      <c r="K231" s="102">
        <f>1250*C231/1000</f>
        <v>37.5</v>
      </c>
      <c r="L231" s="102">
        <f>1290*C231/1000</f>
        <v>38.700000000000003</v>
      </c>
      <c r="M231" s="102">
        <f>36*C231/1000</f>
        <v>1.08</v>
      </c>
    </row>
    <row r="232" spans="1:13">
      <c r="A232" s="99"/>
      <c r="B232" s="100" t="s">
        <v>26</v>
      </c>
      <c r="C232" s="101">
        <v>20</v>
      </c>
      <c r="D232" s="103">
        <f>85*C232/1000</f>
        <v>1.7</v>
      </c>
      <c r="E232" s="103">
        <f>33*C232/1000</f>
        <v>0.66</v>
      </c>
      <c r="F232" s="103">
        <f>425*C232/1000</f>
        <v>8.5</v>
      </c>
      <c r="G232" s="103">
        <f>2590*C232/1000</f>
        <v>51.8</v>
      </c>
      <c r="H232" s="103">
        <f>0</f>
        <v>0</v>
      </c>
      <c r="I232" s="103">
        <f>4.3*C232/1000</f>
        <v>8.5999999999999993E-2</v>
      </c>
      <c r="J232" s="103">
        <f>4*C232/1000</f>
        <v>0.08</v>
      </c>
      <c r="K232" s="103">
        <f>730*C232/1000</f>
        <v>14.6</v>
      </c>
      <c r="L232" s="103">
        <f>1250*C232/1000</f>
        <v>25</v>
      </c>
      <c r="M232" s="103">
        <f>28.3*C232/1000</f>
        <v>0.56599999999999995</v>
      </c>
    </row>
    <row r="233" spans="1:13">
      <c r="A233" s="104">
        <v>338</v>
      </c>
      <c r="B233" s="100" t="s">
        <v>27</v>
      </c>
      <c r="C233" s="101">
        <v>100</v>
      </c>
      <c r="D233" s="102">
        <f>4*C233/1000</f>
        <v>0.4</v>
      </c>
      <c r="E233" s="102">
        <f>4*C233/1000</f>
        <v>0.4</v>
      </c>
      <c r="F233" s="102">
        <f>98*C233/1000</f>
        <v>9.8000000000000007</v>
      </c>
      <c r="G233" s="102">
        <f>470*C233/1000</f>
        <v>47</v>
      </c>
      <c r="H233" s="102">
        <f>0</f>
        <v>0</v>
      </c>
      <c r="I233" s="102">
        <f>0.3*C233/1000</f>
        <v>0.03</v>
      </c>
      <c r="J233" s="102">
        <f>100*C233/1000</f>
        <v>10</v>
      </c>
      <c r="K233" s="102">
        <f>160*C233/1000</f>
        <v>16</v>
      </c>
      <c r="L233" s="102">
        <f>110*C233/1000</f>
        <v>11</v>
      </c>
      <c r="M233" s="102">
        <f>22*C233/1000</f>
        <v>2.2000000000000002</v>
      </c>
    </row>
    <row r="234" spans="1:13" ht="16.5" customHeight="1">
      <c r="A234" s="99"/>
      <c r="B234" s="100"/>
      <c r="C234" s="100"/>
      <c r="D234" s="103"/>
      <c r="E234" s="103"/>
      <c r="F234" s="103"/>
      <c r="G234" s="103"/>
      <c r="H234" s="103"/>
      <c r="I234" s="103"/>
      <c r="J234" s="103"/>
      <c r="K234" s="103"/>
      <c r="L234" s="103"/>
      <c r="M234" s="103"/>
    </row>
    <row r="235" spans="1:13">
      <c r="A235" s="99"/>
      <c r="B235" s="105" t="s">
        <v>28</v>
      </c>
      <c r="C235" s="126">
        <f t="shared" ref="C235:M235" si="18">SUM(C229:C234)</f>
        <v>510</v>
      </c>
      <c r="D235" s="107">
        <f t="shared" si="18"/>
        <v>24.254000000000001</v>
      </c>
      <c r="E235" s="107">
        <f t="shared" si="18"/>
        <v>32.158000000000001</v>
      </c>
      <c r="F235" s="107">
        <f t="shared" si="18"/>
        <v>51.746000000000002</v>
      </c>
      <c r="G235" s="107">
        <f t="shared" si="18"/>
        <v>608.55999999999995</v>
      </c>
      <c r="H235" s="107">
        <f t="shared" si="18"/>
        <v>370.608</v>
      </c>
      <c r="I235" s="107">
        <f t="shared" si="18"/>
        <v>0.40699999999999997</v>
      </c>
      <c r="J235" s="107">
        <f t="shared" si="18"/>
        <v>11.992000000000001</v>
      </c>
      <c r="K235" s="107">
        <f t="shared" si="18"/>
        <v>330.27199999999999</v>
      </c>
      <c r="L235" s="107">
        <f t="shared" si="18"/>
        <v>440.09199999999998</v>
      </c>
      <c r="M235" s="107">
        <f t="shared" si="18"/>
        <v>7.1420000000000003</v>
      </c>
    </row>
    <row r="236" spans="1:13" ht="18">
      <c r="A236" s="99"/>
      <c r="B236" s="108" t="s">
        <v>29</v>
      </c>
      <c r="C236" s="109"/>
      <c r="D236" s="102"/>
      <c r="E236" s="102"/>
      <c r="F236" s="102"/>
      <c r="G236" s="102"/>
      <c r="H236" s="102"/>
      <c r="I236" s="102"/>
      <c r="J236" s="102"/>
      <c r="K236" s="102"/>
      <c r="L236" s="102"/>
      <c r="M236" s="102"/>
    </row>
    <row r="237" spans="1:13">
      <c r="A237" s="104">
        <v>70</v>
      </c>
      <c r="B237" s="100" t="s">
        <v>58</v>
      </c>
      <c r="C237" s="101">
        <v>60</v>
      </c>
      <c r="D237" s="102">
        <f>8*C237/1000</f>
        <v>0.48</v>
      </c>
      <c r="E237" s="102">
        <f>1*C237/1000</f>
        <v>0.06</v>
      </c>
      <c r="F237" s="102">
        <f>17*C237/1000</f>
        <v>1.02</v>
      </c>
      <c r="G237" s="102">
        <f>100*C237/1000</f>
        <v>6</v>
      </c>
      <c r="H237" s="102">
        <f>0*C237/1000</f>
        <v>0</v>
      </c>
      <c r="I237" s="102">
        <f>0.4*C237/1000</f>
        <v>2.4E-2</v>
      </c>
      <c r="J237" s="102">
        <f>35*C237/1000</f>
        <v>2.1</v>
      </c>
      <c r="K237" s="102">
        <f>230*C237/1000</f>
        <v>13.8</v>
      </c>
      <c r="L237" s="102">
        <f>240*C237/1000</f>
        <v>14.4</v>
      </c>
      <c r="M237" s="102">
        <f>6*C237/1000</f>
        <v>0.36</v>
      </c>
    </row>
    <row r="238" spans="1:13">
      <c r="A238" s="99">
        <v>82</v>
      </c>
      <c r="B238" s="100" t="s">
        <v>51</v>
      </c>
      <c r="C238" s="101">
        <v>200</v>
      </c>
      <c r="D238" s="102">
        <f>7.21*C238/1000</f>
        <v>1.4419999999999999</v>
      </c>
      <c r="E238" s="102">
        <f>19.7*C238/1000</f>
        <v>3.94</v>
      </c>
      <c r="F238" s="102">
        <f>43.7*C238/1000</f>
        <v>8.74</v>
      </c>
      <c r="G238" s="102">
        <f>415*C238/1000</f>
        <v>83</v>
      </c>
      <c r="H238" s="102">
        <f>0*C238/1000</f>
        <v>0</v>
      </c>
      <c r="I238" s="102">
        <f>0.2*C238/1000</f>
        <v>0.04</v>
      </c>
      <c r="J238" s="102">
        <f>42.7*C238/1000</f>
        <v>8.5399999999999991</v>
      </c>
      <c r="K238" s="102">
        <f>198.9*C238/1000</f>
        <v>39.78</v>
      </c>
      <c r="L238" s="102">
        <f>218.4*C238/1000</f>
        <v>43.68</v>
      </c>
      <c r="M238" s="102">
        <f>4.9*C238/1000</f>
        <v>0.98</v>
      </c>
    </row>
    <row r="239" spans="1:13">
      <c r="A239" s="99">
        <v>291</v>
      </c>
      <c r="B239" s="100" t="s">
        <v>45</v>
      </c>
      <c r="C239" s="101">
        <v>250</v>
      </c>
      <c r="D239" s="102">
        <f>90.1*C239/1000</f>
        <v>22.524999999999999</v>
      </c>
      <c r="E239" s="102">
        <f>44.7*C239/1000</f>
        <v>11.175000000000001</v>
      </c>
      <c r="F239" s="102">
        <f>182.3*C239/1000</f>
        <v>45.575000000000003</v>
      </c>
      <c r="G239" s="102">
        <f>1493.3*C239/1000</f>
        <v>373.32499999999999</v>
      </c>
      <c r="H239" s="102">
        <f>140*C239/1000</f>
        <v>35</v>
      </c>
      <c r="I239" s="102">
        <f>0.7*C239/1000</f>
        <v>0.17499999999999999</v>
      </c>
      <c r="J239" s="102">
        <f>32.7*C239/1000</f>
        <v>8.1750000000000007</v>
      </c>
      <c r="K239" s="102">
        <f>180.5*C239/1000</f>
        <v>45.125</v>
      </c>
      <c r="L239" s="102">
        <f>946.7*C239/1000</f>
        <v>236.67500000000001</v>
      </c>
      <c r="M239" s="102">
        <f>9.3*C239/1000</f>
        <v>2.3250000000000002</v>
      </c>
    </row>
    <row r="240" spans="1:13">
      <c r="A240" s="99">
        <v>342</v>
      </c>
      <c r="B240" s="100" t="s">
        <v>73</v>
      </c>
      <c r="C240" s="101">
        <v>200</v>
      </c>
      <c r="D240" s="102">
        <f>0.8*C240/1000</f>
        <v>0.16</v>
      </c>
      <c r="E240" s="102">
        <f>0.8*C240/1000</f>
        <v>0.16</v>
      </c>
      <c r="F240" s="102">
        <f>139.4*C240/1000</f>
        <v>27.88</v>
      </c>
      <c r="G240" s="102">
        <f>573*C240/1000</f>
        <v>114.6</v>
      </c>
      <c r="H240" s="102">
        <f>0</f>
        <v>0</v>
      </c>
      <c r="I240" s="102">
        <f>0.1*C83/1000</f>
        <v>3.0000000000000001E-3</v>
      </c>
      <c r="J240" s="102">
        <f>5.5*C240/1000</f>
        <v>1.1000000000000001</v>
      </c>
      <c r="K240" s="102">
        <f>70.9*C240/1000</f>
        <v>14.18</v>
      </c>
      <c r="L240" s="102">
        <f>22*C240/1000</f>
        <v>4.4000000000000004</v>
      </c>
      <c r="M240" s="102">
        <f>4.8*C240/1000</f>
        <v>0.96</v>
      </c>
    </row>
    <row r="241" spans="1:13">
      <c r="A241" s="104"/>
      <c r="B241" s="100" t="s">
        <v>25</v>
      </c>
      <c r="C241" s="101">
        <v>30</v>
      </c>
      <c r="D241" s="102">
        <f>107*C241/1000</f>
        <v>3.21</v>
      </c>
      <c r="E241" s="102">
        <f>45*C241/1000</f>
        <v>1.35</v>
      </c>
      <c r="F241" s="102">
        <f>435*C241/1000</f>
        <v>13.05</v>
      </c>
      <c r="G241" s="102">
        <f>2740*C241/1000</f>
        <v>82.2</v>
      </c>
      <c r="H241" s="102">
        <f>0</f>
        <v>0</v>
      </c>
      <c r="I241" s="102">
        <f>4.1*C241/1000</f>
        <v>0.123</v>
      </c>
      <c r="J241" s="102">
        <f>2*C241/1000</f>
        <v>0.06</v>
      </c>
      <c r="K241" s="102">
        <f>1250*C241/1000</f>
        <v>37.5</v>
      </c>
      <c r="L241" s="102">
        <f>1290*C241/1000</f>
        <v>38.700000000000003</v>
      </c>
      <c r="M241" s="102">
        <f>36*C241/1000</f>
        <v>1.08</v>
      </c>
    </row>
    <row r="242" spans="1:13" ht="18.75" customHeight="1">
      <c r="A242" s="110"/>
      <c r="B242" s="100" t="s">
        <v>26</v>
      </c>
      <c r="C242" s="101">
        <v>30</v>
      </c>
      <c r="D242" s="103">
        <f>85*C242/1000</f>
        <v>2.5499999999999998</v>
      </c>
      <c r="E242" s="103">
        <f>33*C242/1000</f>
        <v>0.99</v>
      </c>
      <c r="F242" s="103">
        <f>425*C242/1000</f>
        <v>12.75</v>
      </c>
      <c r="G242" s="103">
        <f>2590*C242/1000</f>
        <v>77.7</v>
      </c>
      <c r="H242" s="103">
        <f>0</f>
        <v>0</v>
      </c>
      <c r="I242" s="103">
        <f>4.3*C242/1000</f>
        <v>0.129</v>
      </c>
      <c r="J242" s="103">
        <f>4*C242/1000</f>
        <v>0.12</v>
      </c>
      <c r="K242" s="103">
        <f>730*C242/1000</f>
        <v>21.9</v>
      </c>
      <c r="L242" s="103">
        <f>1250*C242/1000</f>
        <v>37.5</v>
      </c>
      <c r="M242" s="103">
        <f>28.3*C242/1000</f>
        <v>0.84899999999999998</v>
      </c>
    </row>
    <row r="243" spans="1:13">
      <c r="A243" s="104">
        <v>338</v>
      </c>
      <c r="B243" s="100" t="s">
        <v>27</v>
      </c>
      <c r="C243" s="101">
        <v>100</v>
      </c>
      <c r="D243" s="102">
        <f>4*C243/1000</f>
        <v>0.4</v>
      </c>
      <c r="E243" s="102">
        <f>4*C243/1000</f>
        <v>0.4</v>
      </c>
      <c r="F243" s="102">
        <f>98*C243/1000</f>
        <v>9.8000000000000007</v>
      </c>
      <c r="G243" s="102">
        <f>470*C243/1000</f>
        <v>47</v>
      </c>
      <c r="H243" s="102">
        <f>0</f>
        <v>0</v>
      </c>
      <c r="I243" s="102">
        <f>0.3*C243/1000</f>
        <v>0.03</v>
      </c>
      <c r="J243" s="102">
        <f>100*C243/1000</f>
        <v>10</v>
      </c>
      <c r="K243" s="102">
        <f>160*C243/1000</f>
        <v>16</v>
      </c>
      <c r="L243" s="102">
        <f>110*C243/1000</f>
        <v>11</v>
      </c>
      <c r="M243" s="102">
        <f>22*C243/1000</f>
        <v>2.2000000000000002</v>
      </c>
    </row>
    <row r="244" spans="1:13" ht="18.75" customHeight="1">
      <c r="A244" s="127"/>
      <c r="B244" s="105" t="s">
        <v>28</v>
      </c>
      <c r="C244" s="126">
        <f t="shared" ref="C244:M244" si="19">SUM(C237:C242)</f>
        <v>770</v>
      </c>
      <c r="D244" s="107">
        <f t="shared" si="19"/>
        <v>30.367000000000001</v>
      </c>
      <c r="E244" s="107">
        <f t="shared" si="19"/>
        <v>17.675000000000001</v>
      </c>
      <c r="F244" s="107">
        <f t="shared" si="19"/>
        <v>109.015</v>
      </c>
      <c r="G244" s="107">
        <f t="shared" si="19"/>
        <v>736.82500000000005</v>
      </c>
      <c r="H244" s="107">
        <f t="shared" si="19"/>
        <v>35</v>
      </c>
      <c r="I244" s="107">
        <f t="shared" si="19"/>
        <v>0.49399999999999999</v>
      </c>
      <c r="J244" s="107">
        <f t="shared" si="19"/>
        <v>20.094999999999999</v>
      </c>
      <c r="K244" s="107">
        <f t="shared" si="19"/>
        <v>172.285</v>
      </c>
      <c r="L244" s="107">
        <f t="shared" si="19"/>
        <v>375.35500000000002</v>
      </c>
      <c r="M244" s="107">
        <f t="shared" si="19"/>
        <v>6.5540000000000003</v>
      </c>
    </row>
    <row r="245" spans="1:13" ht="18.75" customHeight="1">
      <c r="A245" s="127"/>
      <c r="B245" s="112" t="s">
        <v>36</v>
      </c>
      <c r="C245" s="128">
        <f t="shared" ref="C245:M245" si="20">C235+C244</f>
        <v>1280</v>
      </c>
      <c r="D245" s="114">
        <f t="shared" si="20"/>
        <v>54.621000000000002</v>
      </c>
      <c r="E245" s="114">
        <f t="shared" si="20"/>
        <v>49.832999999999998</v>
      </c>
      <c r="F245" s="114">
        <f t="shared" si="20"/>
        <v>160.761</v>
      </c>
      <c r="G245" s="114">
        <f t="shared" si="20"/>
        <v>1345.385</v>
      </c>
      <c r="H245" s="114">
        <f t="shared" si="20"/>
        <v>405.608</v>
      </c>
      <c r="I245" s="114">
        <f t="shared" si="20"/>
        <v>0.90100000000000002</v>
      </c>
      <c r="J245" s="114">
        <f t="shared" si="20"/>
        <v>32.087000000000003</v>
      </c>
      <c r="K245" s="114">
        <f t="shared" si="20"/>
        <v>502.55700000000002</v>
      </c>
      <c r="L245" s="114">
        <f t="shared" si="20"/>
        <v>815.447</v>
      </c>
      <c r="M245" s="114">
        <f t="shared" si="20"/>
        <v>13.696</v>
      </c>
    </row>
    <row r="246" spans="1:13" ht="18.75" customHeight="1">
      <c r="A246" s="115"/>
      <c r="B246" s="116" t="s">
        <v>37</v>
      </c>
      <c r="C246" s="117">
        <v>1200</v>
      </c>
      <c r="D246" s="118">
        <v>42.4</v>
      </c>
      <c r="E246" s="118">
        <v>43.5</v>
      </c>
      <c r="F246" s="118">
        <v>184.3</v>
      </c>
      <c r="G246" s="118">
        <v>1292.5</v>
      </c>
      <c r="H246" s="118">
        <v>385</v>
      </c>
      <c r="I246" s="118">
        <v>0.7</v>
      </c>
      <c r="J246" s="118">
        <v>33</v>
      </c>
      <c r="K246" s="118">
        <v>605</v>
      </c>
      <c r="L246" s="118">
        <v>605</v>
      </c>
      <c r="M246" s="118">
        <v>6.6</v>
      </c>
    </row>
    <row r="247" spans="1:13" ht="18.75" customHeight="1">
      <c r="A247" s="119"/>
      <c r="B247" s="120"/>
      <c r="C247" s="121"/>
      <c r="D247" s="131"/>
      <c r="E247" s="131"/>
      <c r="F247" s="131"/>
      <c r="G247" s="131"/>
      <c r="H247" s="131"/>
      <c r="I247" s="131"/>
      <c r="J247" s="131"/>
      <c r="K247" s="131"/>
      <c r="L247" s="131"/>
      <c r="M247" s="131"/>
    </row>
    <row r="248" spans="1:13" ht="18.75" customHeight="1">
      <c r="A248" s="119"/>
      <c r="B248" s="120"/>
      <c r="C248" s="121"/>
      <c r="D248" s="131"/>
      <c r="E248" s="131"/>
      <c r="F248" s="131"/>
      <c r="G248" s="131"/>
      <c r="H248" s="131"/>
      <c r="I248" s="131"/>
      <c r="J248" s="131"/>
      <c r="K248" s="131"/>
      <c r="L248" s="131"/>
      <c r="M248" s="131"/>
    </row>
    <row r="249" spans="1:13" ht="18.75" customHeight="1">
      <c r="A249" s="119"/>
      <c r="B249" s="120"/>
      <c r="C249" s="121"/>
      <c r="D249" s="131"/>
      <c r="E249" s="131"/>
      <c r="F249" s="131"/>
      <c r="G249" s="131"/>
      <c r="H249" s="131"/>
      <c r="I249" s="131"/>
      <c r="J249" s="131"/>
      <c r="K249" s="131"/>
      <c r="L249" s="131"/>
      <c r="M249" s="131"/>
    </row>
    <row r="250" spans="1:13" ht="18.75" customHeight="1">
      <c r="A250" s="119"/>
      <c r="B250" s="120"/>
      <c r="C250" s="121"/>
      <c r="D250" s="131"/>
      <c r="E250" s="131"/>
      <c r="F250" s="131"/>
      <c r="G250" s="131"/>
      <c r="H250" s="131"/>
      <c r="I250" s="131"/>
      <c r="J250" s="131"/>
      <c r="K250" s="131"/>
      <c r="L250" s="131"/>
      <c r="M250" s="131"/>
    </row>
    <row r="251" spans="1:13" ht="15.5">
      <c r="A251" s="119"/>
      <c r="B251" s="120"/>
      <c r="C251" s="121"/>
      <c r="D251" s="131"/>
      <c r="E251" s="131"/>
      <c r="F251" s="131"/>
      <c r="G251" s="131"/>
      <c r="H251" s="131"/>
      <c r="I251" s="131"/>
      <c r="J251" s="131"/>
      <c r="K251" s="131"/>
      <c r="L251" s="131"/>
      <c r="M251" s="131"/>
    </row>
    <row r="252" spans="1:13" ht="15.5">
      <c r="A252" s="119"/>
      <c r="B252" s="120"/>
      <c r="C252" s="121"/>
      <c r="D252" s="131"/>
      <c r="E252" s="131"/>
      <c r="F252" s="131"/>
      <c r="G252" s="131"/>
      <c r="H252" s="131"/>
      <c r="I252" s="131"/>
      <c r="J252" s="131"/>
      <c r="K252" s="131"/>
      <c r="L252" s="131"/>
      <c r="M252" s="131"/>
    </row>
    <row r="253" spans="1:13" ht="15.5">
      <c r="A253" s="119"/>
      <c r="B253" s="120"/>
      <c r="C253" s="121"/>
      <c r="D253" s="131"/>
      <c r="E253" s="131"/>
      <c r="F253" s="131"/>
      <c r="G253" s="131"/>
      <c r="H253" s="131"/>
      <c r="I253" s="131"/>
      <c r="J253" s="131"/>
      <c r="K253" s="131"/>
      <c r="L253" s="131"/>
      <c r="M253" s="131"/>
    </row>
    <row r="254" spans="1:13" ht="17.5">
      <c r="A254" s="160" t="s">
        <v>74</v>
      </c>
      <c r="B254" s="161"/>
      <c r="D254" s="123"/>
      <c r="E254" s="123"/>
      <c r="F254" s="123"/>
      <c r="G254" s="123"/>
      <c r="H254" s="123"/>
      <c r="I254" s="123"/>
      <c r="J254" s="123"/>
      <c r="K254" s="123"/>
      <c r="L254" s="123"/>
      <c r="M254" s="123"/>
    </row>
    <row r="255" spans="1:13">
      <c r="A255" s="160" t="s">
        <v>67</v>
      </c>
      <c r="B255" s="161"/>
      <c r="D255" s="123"/>
      <c r="E255" s="123"/>
      <c r="F255" s="123"/>
      <c r="G255" s="123"/>
      <c r="H255" s="123"/>
      <c r="I255" s="123"/>
      <c r="J255" s="123"/>
      <c r="K255" s="123"/>
      <c r="L255" s="123"/>
      <c r="M255" s="123"/>
    </row>
    <row r="256" spans="1:13">
      <c r="A256" s="162" t="s">
        <v>2</v>
      </c>
      <c r="B256" s="163"/>
      <c r="D256" s="123"/>
      <c r="E256" s="123"/>
      <c r="F256" s="123"/>
      <c r="G256" s="123"/>
      <c r="H256" s="123"/>
      <c r="I256" s="123"/>
      <c r="J256" s="123"/>
      <c r="K256" s="123"/>
      <c r="L256" s="123"/>
      <c r="M256" s="123"/>
    </row>
    <row r="257" spans="1:13">
      <c r="A257" s="157" t="s">
        <v>3</v>
      </c>
      <c r="B257" s="157" t="s">
        <v>4</v>
      </c>
      <c r="C257" s="157" t="s">
        <v>5</v>
      </c>
      <c r="D257" s="142" t="s">
        <v>6</v>
      </c>
      <c r="E257" s="143"/>
      <c r="F257" s="144"/>
      <c r="G257" s="148" t="s">
        <v>7</v>
      </c>
      <c r="H257" s="142" t="s">
        <v>8</v>
      </c>
      <c r="I257" s="143"/>
      <c r="J257" s="144"/>
      <c r="K257" s="142" t="s">
        <v>9</v>
      </c>
      <c r="L257" s="143"/>
      <c r="M257" s="144"/>
    </row>
    <row r="258" spans="1:13">
      <c r="A258" s="167"/>
      <c r="B258" s="158"/>
      <c r="C258" s="158"/>
      <c r="D258" s="145" t="s">
        <v>10</v>
      </c>
      <c r="E258" s="146"/>
      <c r="F258" s="147"/>
      <c r="G258" s="149"/>
      <c r="H258" s="145"/>
      <c r="I258" s="146"/>
      <c r="J258" s="147"/>
      <c r="K258" s="145"/>
      <c r="L258" s="146"/>
      <c r="M258" s="147"/>
    </row>
    <row r="259" spans="1:13" ht="17">
      <c r="A259" s="168"/>
      <c r="B259" s="159"/>
      <c r="C259" s="159"/>
      <c r="D259" s="124" t="s">
        <v>11</v>
      </c>
      <c r="E259" s="124" t="s">
        <v>12</v>
      </c>
      <c r="F259" s="124" t="s">
        <v>13</v>
      </c>
      <c r="G259" s="150"/>
      <c r="H259" s="124" t="s">
        <v>14</v>
      </c>
      <c r="I259" s="124" t="s">
        <v>39</v>
      </c>
      <c r="J259" s="124" t="s">
        <v>16</v>
      </c>
      <c r="K259" s="124" t="s">
        <v>17</v>
      </c>
      <c r="L259" s="124" t="s">
        <v>18</v>
      </c>
      <c r="M259" s="124" t="s">
        <v>19</v>
      </c>
    </row>
    <row r="260" spans="1:13" ht="18">
      <c r="A260" s="96"/>
      <c r="B260" s="97" t="s">
        <v>20</v>
      </c>
      <c r="C260" s="98"/>
      <c r="D260" s="125"/>
      <c r="E260" s="125"/>
      <c r="F260" s="125"/>
      <c r="G260" s="125"/>
      <c r="H260" s="125"/>
      <c r="I260" s="125"/>
      <c r="J260" s="125"/>
      <c r="K260" s="125"/>
      <c r="L260" s="125"/>
      <c r="M260" s="125"/>
    </row>
    <row r="261" spans="1:13">
      <c r="A261" s="99">
        <v>312</v>
      </c>
      <c r="B261" s="100" t="s">
        <v>32</v>
      </c>
      <c r="C261" s="101">
        <v>150</v>
      </c>
      <c r="D261" s="102">
        <f>20.4*C261/1000</f>
        <v>3.06</v>
      </c>
      <c r="E261" s="102">
        <f>32*C261/1000</f>
        <v>4.8</v>
      </c>
      <c r="F261" s="102">
        <f>136.3*C261/1000</f>
        <v>20.445</v>
      </c>
      <c r="G261" s="102">
        <f>915*C261/1000</f>
        <v>137.25</v>
      </c>
      <c r="H261" s="102">
        <f>0</f>
        <v>0</v>
      </c>
      <c r="I261" s="102">
        <f>0.9*C261/1000</f>
        <v>0.13500000000000001</v>
      </c>
      <c r="J261" s="102">
        <f>121.1*C261/1000</f>
        <v>18.164999999999999</v>
      </c>
      <c r="K261" s="102">
        <f>246.5*C261/1000</f>
        <v>36.975000000000001</v>
      </c>
      <c r="L261" s="102">
        <f>577.3*C261/1000</f>
        <v>86.594999999999999</v>
      </c>
      <c r="M261" s="102">
        <f>6.7*C261/1000</f>
        <v>1.0049999999999999</v>
      </c>
    </row>
    <row r="262" spans="1:13">
      <c r="A262" s="99">
        <v>278</v>
      </c>
      <c r="B262" s="100" t="s">
        <v>75</v>
      </c>
      <c r="C262" s="101">
        <v>100</v>
      </c>
      <c r="D262" s="102">
        <f>71.18*C262/1000</f>
        <v>7.1180000000000003</v>
      </c>
      <c r="E262" s="102">
        <f>79.5*C262/1000</f>
        <v>7.95</v>
      </c>
      <c r="F262" s="102">
        <f>93.2*C262/1000</f>
        <v>9.32</v>
      </c>
      <c r="G262" s="102">
        <f>1372.7*C262/1000</f>
        <v>137.27000000000001</v>
      </c>
      <c r="H262" s="102">
        <f>308.4*C262/1000</f>
        <v>30.84</v>
      </c>
      <c r="I262" s="102">
        <f>0.5*C262/1000</f>
        <v>0.05</v>
      </c>
      <c r="J262" s="102">
        <f>6.5*C262/1000</f>
        <v>0.65</v>
      </c>
      <c r="K262" s="102">
        <f>254.1*C262/1000</f>
        <v>25.41</v>
      </c>
      <c r="L262" s="102">
        <f>803.4*C262/1000</f>
        <v>80.34</v>
      </c>
      <c r="M262" s="102">
        <f>7.9*C262/1000</f>
        <v>0.79</v>
      </c>
    </row>
    <row r="263" spans="1:13">
      <c r="A263" s="99">
        <v>377</v>
      </c>
      <c r="B263" s="100" t="s">
        <v>41</v>
      </c>
      <c r="C263" s="101">
        <v>200</v>
      </c>
      <c r="D263" s="102">
        <v>0.13</v>
      </c>
      <c r="E263" s="102">
        <v>0.02</v>
      </c>
      <c r="F263" s="102">
        <v>15.2</v>
      </c>
      <c r="G263" s="102">
        <v>62</v>
      </c>
      <c r="H263" s="102">
        <v>0</v>
      </c>
      <c r="I263" s="102">
        <v>0</v>
      </c>
      <c r="J263" s="102">
        <v>2.84</v>
      </c>
      <c r="K263" s="102">
        <v>14.2</v>
      </c>
      <c r="L263" s="102">
        <v>4.4000000000000004</v>
      </c>
      <c r="M263" s="102">
        <v>0.36</v>
      </c>
    </row>
    <row r="264" spans="1:13">
      <c r="A264" s="104"/>
      <c r="B264" s="100" t="s">
        <v>25</v>
      </c>
      <c r="C264" s="101">
        <v>30</v>
      </c>
      <c r="D264" s="102">
        <f>107*C264/1000</f>
        <v>3.21</v>
      </c>
      <c r="E264" s="102">
        <f>45*C264/1000</f>
        <v>1.35</v>
      </c>
      <c r="F264" s="102">
        <f>435*C264/1000</f>
        <v>13.05</v>
      </c>
      <c r="G264" s="102">
        <f>2740*C264/1000</f>
        <v>82.2</v>
      </c>
      <c r="H264" s="102">
        <f>0</f>
        <v>0</v>
      </c>
      <c r="I264" s="102">
        <f>4.1*C264/1000</f>
        <v>0.123</v>
      </c>
      <c r="J264" s="102">
        <f>2*C264/1000</f>
        <v>0.06</v>
      </c>
      <c r="K264" s="102">
        <f>1250*C264/1000</f>
        <v>37.5</v>
      </c>
      <c r="L264" s="102">
        <f>1290*C264/1000</f>
        <v>38.700000000000003</v>
      </c>
      <c r="M264" s="102">
        <f>36*C264/1000</f>
        <v>1.08</v>
      </c>
    </row>
    <row r="265" spans="1:13">
      <c r="A265" s="104"/>
      <c r="B265" s="100" t="s">
        <v>26</v>
      </c>
      <c r="C265" s="101">
        <v>20</v>
      </c>
      <c r="D265" s="103">
        <f>85*C265/1000</f>
        <v>1.7</v>
      </c>
      <c r="E265" s="103">
        <f>33*C265/1000</f>
        <v>0.66</v>
      </c>
      <c r="F265" s="103">
        <f>425*C265/1000</f>
        <v>8.5</v>
      </c>
      <c r="G265" s="103">
        <f>2590*C265/1000</f>
        <v>51.8</v>
      </c>
      <c r="H265" s="103">
        <f>0</f>
        <v>0</v>
      </c>
      <c r="I265" s="103">
        <f>4.3*C265/1000</f>
        <v>8.5999999999999993E-2</v>
      </c>
      <c r="J265" s="103">
        <f>4*C265/1000</f>
        <v>0.08</v>
      </c>
      <c r="K265" s="103">
        <f>730*C265/1000</f>
        <v>14.6</v>
      </c>
      <c r="L265" s="103">
        <f>1250*C265/1000</f>
        <v>25</v>
      </c>
      <c r="M265" s="103">
        <f>28.3*C265/1000</f>
        <v>0.56599999999999995</v>
      </c>
    </row>
    <row r="266" spans="1:13">
      <c r="A266" s="127">
        <v>14</v>
      </c>
      <c r="B266" s="100" t="s">
        <v>24</v>
      </c>
      <c r="C266" s="101">
        <v>10</v>
      </c>
      <c r="D266" s="103">
        <f>8*C266/1000</f>
        <v>0.08</v>
      </c>
      <c r="E266" s="103">
        <f>725*C266/1000</f>
        <v>7.25</v>
      </c>
      <c r="F266" s="103">
        <f>13*C266/1000</f>
        <v>0.13</v>
      </c>
      <c r="G266" s="103">
        <f>6600*C266/1000</f>
        <v>66</v>
      </c>
      <c r="H266" s="103">
        <f>4000*C266/1000</f>
        <v>40</v>
      </c>
      <c r="I266" s="103">
        <f>0</f>
        <v>0</v>
      </c>
      <c r="J266" s="103">
        <f>0</f>
        <v>0</v>
      </c>
      <c r="K266" s="103">
        <f>240*C266/1000</f>
        <v>2.4</v>
      </c>
      <c r="L266" s="103">
        <f>300*C266/1000</f>
        <v>3</v>
      </c>
      <c r="M266" s="103">
        <f>2*C266/1000</f>
        <v>0.02</v>
      </c>
    </row>
    <row r="267" spans="1:13">
      <c r="A267" s="99"/>
      <c r="B267" s="100"/>
      <c r="C267" s="100"/>
      <c r="D267" s="102"/>
      <c r="E267" s="102"/>
      <c r="F267" s="102"/>
      <c r="G267" s="102"/>
      <c r="H267" s="102"/>
      <c r="I267" s="102"/>
      <c r="J267" s="102"/>
      <c r="K267" s="102"/>
      <c r="L267" s="102"/>
      <c r="M267" s="102"/>
    </row>
    <row r="268" spans="1:13">
      <c r="A268" s="99"/>
      <c r="B268" s="105" t="s">
        <v>28</v>
      </c>
      <c r="C268" s="126">
        <f t="shared" ref="C268:M268" si="21">SUM(C261:C267)</f>
        <v>510</v>
      </c>
      <c r="D268" s="107">
        <f t="shared" si="21"/>
        <v>15.298</v>
      </c>
      <c r="E268" s="107">
        <f t="shared" si="21"/>
        <v>22.03</v>
      </c>
      <c r="F268" s="107">
        <f t="shared" si="21"/>
        <v>66.644999999999996</v>
      </c>
      <c r="G268" s="107">
        <f t="shared" si="21"/>
        <v>536.52</v>
      </c>
      <c r="H268" s="107">
        <f t="shared" si="21"/>
        <v>70.84</v>
      </c>
      <c r="I268" s="107">
        <f t="shared" si="21"/>
        <v>0.39400000000000002</v>
      </c>
      <c r="J268" s="107">
        <f t="shared" si="21"/>
        <v>21.795000000000002</v>
      </c>
      <c r="K268" s="107">
        <f t="shared" si="21"/>
        <v>131.08500000000001</v>
      </c>
      <c r="L268" s="107">
        <f t="shared" si="21"/>
        <v>238.035</v>
      </c>
      <c r="M268" s="107">
        <f t="shared" si="21"/>
        <v>3.8210000000000002</v>
      </c>
    </row>
    <row r="269" spans="1:13" ht="18">
      <c r="A269" s="99"/>
      <c r="B269" s="108" t="s">
        <v>29</v>
      </c>
      <c r="C269" s="109"/>
      <c r="D269" s="102"/>
      <c r="E269" s="102"/>
      <c r="F269" s="102"/>
      <c r="G269" s="102"/>
      <c r="H269" s="102"/>
      <c r="I269" s="102"/>
      <c r="J269" s="102"/>
      <c r="K269" s="102"/>
      <c r="L269" s="102"/>
      <c r="M269" s="102"/>
    </row>
    <row r="270" spans="1:13">
      <c r="A270" s="99">
        <v>45</v>
      </c>
      <c r="B270" s="100" t="s">
        <v>70</v>
      </c>
      <c r="C270" s="101">
        <v>60</v>
      </c>
      <c r="D270" s="102">
        <f>13.1*C270/1000</f>
        <v>0.78600000000000003</v>
      </c>
      <c r="E270" s="102">
        <f>32.5*C270/1000</f>
        <v>1.95</v>
      </c>
      <c r="F270" s="102">
        <f>64.7*C270/1000</f>
        <v>3.8820000000000001</v>
      </c>
      <c r="G270" s="102">
        <f>604*C270/1000</f>
        <v>36.24</v>
      </c>
      <c r="H270" s="102">
        <f>0</f>
        <v>0</v>
      </c>
      <c r="I270" s="102">
        <f>0.2*C270/1000</f>
        <v>1.2E-2</v>
      </c>
      <c r="J270" s="102">
        <f>171*C270/1000</f>
        <v>10.26</v>
      </c>
      <c r="K270" s="102">
        <f>249.7*C270/1000</f>
        <v>14.981999999999999</v>
      </c>
      <c r="L270" s="102">
        <f>283.1*C270/1000</f>
        <v>16.986000000000001</v>
      </c>
      <c r="M270" s="102">
        <f>4.7*C270/1000</f>
        <v>0.28199999999999997</v>
      </c>
    </row>
    <row r="271" spans="1:13">
      <c r="A271" s="99">
        <v>102</v>
      </c>
      <c r="B271" s="100" t="s">
        <v>76</v>
      </c>
      <c r="C271" s="101">
        <v>200</v>
      </c>
      <c r="D271" s="102">
        <f>22*C271/1000</f>
        <v>4.4000000000000004</v>
      </c>
      <c r="E271" s="102">
        <f>21.1*C271/1000</f>
        <v>4.22</v>
      </c>
      <c r="F271" s="102">
        <f>66.1*C271/1000</f>
        <v>13.22</v>
      </c>
      <c r="G271" s="102">
        <f>593*C271/1000</f>
        <v>118.6</v>
      </c>
      <c r="H271" s="102">
        <f>0</f>
        <v>0</v>
      </c>
      <c r="I271" s="102">
        <f>0.9*C271/1000</f>
        <v>0.18</v>
      </c>
      <c r="J271" s="102">
        <f>23.3*C271/1000</f>
        <v>4.66</v>
      </c>
      <c r="K271" s="102">
        <f>170.7*C271/1000</f>
        <v>34.14</v>
      </c>
      <c r="L271" s="102">
        <f>352.4*C271/1000</f>
        <v>70.48</v>
      </c>
      <c r="M271" s="102">
        <f>8.2*C271/1000</f>
        <v>1.64</v>
      </c>
    </row>
    <row r="272" spans="1:13">
      <c r="A272" s="99">
        <v>302</v>
      </c>
      <c r="B272" s="100" t="s">
        <v>52</v>
      </c>
      <c r="C272" s="101">
        <v>150</v>
      </c>
      <c r="D272" s="102">
        <f>57.32*C272/1000</f>
        <v>8.5980000000000008</v>
      </c>
      <c r="E272" s="102">
        <f>40.62*C272/1000</f>
        <v>6.093</v>
      </c>
      <c r="F272" s="102">
        <f>257.6*C272/1000</f>
        <v>38.64</v>
      </c>
      <c r="G272" s="102">
        <f>1625*C272/1000</f>
        <v>243.75</v>
      </c>
      <c r="H272" s="102">
        <f>0</f>
        <v>0</v>
      </c>
      <c r="I272" s="102">
        <f>1.4*C272/1000</f>
        <v>0.21</v>
      </c>
      <c r="J272" s="102">
        <f>0</f>
        <v>0</v>
      </c>
      <c r="K272" s="102">
        <f>98.8*C272/1000</f>
        <v>14.82</v>
      </c>
      <c r="L272" s="102">
        <f>1359.5*C272/1000</f>
        <v>203.92500000000001</v>
      </c>
      <c r="M272" s="102">
        <f>30.4*C272/1000</f>
        <v>4.5599999999999996</v>
      </c>
    </row>
    <row r="273" spans="1:13" ht="16" customHeight="1">
      <c r="A273" s="99">
        <v>255</v>
      </c>
      <c r="B273" s="100" t="s">
        <v>53</v>
      </c>
      <c r="C273" s="101">
        <v>100</v>
      </c>
      <c r="D273" s="102">
        <f>132.6*C273/1000</f>
        <v>13.26</v>
      </c>
      <c r="E273" s="102">
        <f>112.3*C273/1000</f>
        <v>11.23</v>
      </c>
      <c r="F273" s="102">
        <f>35.2*C273/1000</f>
        <v>3.52</v>
      </c>
      <c r="G273" s="102">
        <f>1850*C273/1000</f>
        <v>185</v>
      </c>
      <c r="H273" s="102">
        <f>57820*C273/1000</f>
        <v>5782</v>
      </c>
      <c r="I273" s="102">
        <f>2*C273/1000</f>
        <v>0.2</v>
      </c>
      <c r="J273" s="102">
        <f>84.2*C273/1000</f>
        <v>8.42</v>
      </c>
      <c r="K273" s="102">
        <f>332.4*C273/1000</f>
        <v>33.24</v>
      </c>
      <c r="L273" s="102">
        <f>2393.2*C273/1000</f>
        <v>239.32</v>
      </c>
      <c r="M273" s="102">
        <f>50*C273/1000</f>
        <v>5</v>
      </c>
    </row>
    <row r="274" spans="1:13">
      <c r="A274" s="99">
        <v>359</v>
      </c>
      <c r="B274" s="100" t="s">
        <v>34</v>
      </c>
      <c r="C274" s="101">
        <v>200</v>
      </c>
      <c r="D274" s="102">
        <f>1.6*C274/1000</f>
        <v>0.32</v>
      </c>
      <c r="E274" s="102">
        <f>0</f>
        <v>0</v>
      </c>
      <c r="F274" s="102">
        <f>197*C274/1000</f>
        <v>39.4</v>
      </c>
      <c r="G274" s="102">
        <f>800*C274/1000</f>
        <v>160</v>
      </c>
      <c r="H274" s="102">
        <f>0</f>
        <v>0</v>
      </c>
      <c r="I274" s="102">
        <f>0.1*C274/1000</f>
        <v>0.02</v>
      </c>
      <c r="J274" s="102">
        <f>12*C274/1000</f>
        <v>2.4</v>
      </c>
      <c r="K274" s="102">
        <f>112.3*C274/1000</f>
        <v>22.46</v>
      </c>
      <c r="L274" s="102">
        <f>92.5*C274/1000</f>
        <v>18.5</v>
      </c>
      <c r="M274" s="102">
        <f>0.96*C274/1000</f>
        <v>0.192</v>
      </c>
    </row>
    <row r="275" spans="1:13">
      <c r="A275" s="104"/>
      <c r="B275" s="100" t="s">
        <v>25</v>
      </c>
      <c r="C275" s="101">
        <v>30</v>
      </c>
      <c r="D275" s="102">
        <f>107*C275/1000</f>
        <v>3.21</v>
      </c>
      <c r="E275" s="102">
        <f>45*C275/1000</f>
        <v>1.35</v>
      </c>
      <c r="F275" s="102">
        <f>435*C275/1000</f>
        <v>13.05</v>
      </c>
      <c r="G275" s="102">
        <f>2740*C275/1000</f>
        <v>82.2</v>
      </c>
      <c r="H275" s="102">
        <f>0</f>
        <v>0</v>
      </c>
      <c r="I275" s="102">
        <f>4.1*C275/1000</f>
        <v>0.123</v>
      </c>
      <c r="J275" s="102">
        <f>2*C275/1000</f>
        <v>0.06</v>
      </c>
      <c r="K275" s="102">
        <f>1250*C275/1000</f>
        <v>37.5</v>
      </c>
      <c r="L275" s="102">
        <f>1290*C275/1000</f>
        <v>38.700000000000003</v>
      </c>
      <c r="M275" s="102">
        <f>36*C275/1000</f>
        <v>1.08</v>
      </c>
    </row>
    <row r="276" spans="1:13">
      <c r="A276" s="110"/>
      <c r="B276" s="100" t="s">
        <v>26</v>
      </c>
      <c r="C276" s="101">
        <v>30</v>
      </c>
      <c r="D276" s="103">
        <f>85*C276/1000</f>
        <v>2.5499999999999998</v>
      </c>
      <c r="E276" s="103">
        <f>33*C276/1000</f>
        <v>0.99</v>
      </c>
      <c r="F276" s="103">
        <f>425*C276/1000</f>
        <v>12.75</v>
      </c>
      <c r="G276" s="103">
        <f>2590*C276/1000</f>
        <v>77.7</v>
      </c>
      <c r="H276" s="103">
        <f>0</f>
        <v>0</v>
      </c>
      <c r="I276" s="103">
        <f>4.3*C276/1000</f>
        <v>0.129</v>
      </c>
      <c r="J276" s="103">
        <f>4*C276/1000</f>
        <v>0.12</v>
      </c>
      <c r="K276" s="103">
        <f>730*C276/1000</f>
        <v>21.9</v>
      </c>
      <c r="L276" s="103">
        <f>1250*C276/1000</f>
        <v>37.5</v>
      </c>
      <c r="M276" s="103">
        <f>28.3*C276/1000</f>
        <v>0.84899999999999998</v>
      </c>
    </row>
    <row r="277" spans="1:13">
      <c r="A277" s="104">
        <v>338</v>
      </c>
      <c r="B277" s="100" t="s">
        <v>27</v>
      </c>
      <c r="C277" s="101">
        <v>100</v>
      </c>
      <c r="D277" s="102">
        <f>4*C277/1000</f>
        <v>0.4</v>
      </c>
      <c r="E277" s="102">
        <f>4*C277/1000</f>
        <v>0.4</v>
      </c>
      <c r="F277" s="102">
        <f>98*C277/1000</f>
        <v>9.8000000000000007</v>
      </c>
      <c r="G277" s="102">
        <f>470*C277/1000</f>
        <v>47</v>
      </c>
      <c r="H277" s="102">
        <f>0</f>
        <v>0</v>
      </c>
      <c r="I277" s="102">
        <f>0.3*C277/1000</f>
        <v>0.03</v>
      </c>
      <c r="J277" s="102">
        <f>100*C277/1000</f>
        <v>10</v>
      </c>
      <c r="K277" s="102">
        <f>160*C277/1000</f>
        <v>16</v>
      </c>
      <c r="L277" s="102">
        <f>110*C277/1000</f>
        <v>11</v>
      </c>
      <c r="M277" s="102">
        <f>22*C277/1000</f>
        <v>2.2000000000000002</v>
      </c>
    </row>
    <row r="278" spans="1:13" ht="18" customHeight="1">
      <c r="A278" s="127"/>
      <c r="B278" s="105" t="s">
        <v>28</v>
      </c>
      <c r="C278" s="107">
        <f>SUM(C270:C277)</f>
        <v>870</v>
      </c>
      <c r="D278" s="107">
        <f t="shared" ref="D278:M278" si="22">SUM(D270:D277)</f>
        <v>33.524000000000001</v>
      </c>
      <c r="E278" s="107">
        <f t="shared" si="22"/>
        <v>26.233000000000001</v>
      </c>
      <c r="F278" s="107">
        <f t="shared" si="22"/>
        <v>134.262</v>
      </c>
      <c r="G278" s="107">
        <f t="shared" si="22"/>
        <v>950.49</v>
      </c>
      <c r="H278" s="107">
        <f t="shared" si="22"/>
        <v>5782</v>
      </c>
      <c r="I278" s="107">
        <f t="shared" si="22"/>
        <v>0.90400000000000003</v>
      </c>
      <c r="J278" s="107">
        <f t="shared" si="22"/>
        <v>35.92</v>
      </c>
      <c r="K278" s="107">
        <f t="shared" si="22"/>
        <v>195.042</v>
      </c>
      <c r="L278" s="107">
        <f t="shared" si="22"/>
        <v>636.41099999999994</v>
      </c>
      <c r="M278" s="107">
        <f t="shared" si="22"/>
        <v>15.803000000000001</v>
      </c>
    </row>
    <row r="279" spans="1:13" ht="18" customHeight="1">
      <c r="A279" s="127"/>
      <c r="B279" s="112" t="s">
        <v>36</v>
      </c>
      <c r="C279" s="128">
        <f t="shared" ref="C279:M279" si="23">C268+C278</f>
        <v>1380</v>
      </c>
      <c r="D279" s="114">
        <f t="shared" si="23"/>
        <v>48.822000000000003</v>
      </c>
      <c r="E279" s="114">
        <f t="shared" si="23"/>
        <v>48.262999999999998</v>
      </c>
      <c r="F279" s="114">
        <f t="shared" si="23"/>
        <v>200.90700000000001</v>
      </c>
      <c r="G279" s="114">
        <f t="shared" si="23"/>
        <v>1487.01</v>
      </c>
      <c r="H279" s="114">
        <f t="shared" si="23"/>
        <v>5852.84</v>
      </c>
      <c r="I279" s="114">
        <f t="shared" si="23"/>
        <v>1.298</v>
      </c>
      <c r="J279" s="114">
        <f t="shared" si="23"/>
        <v>57.715000000000003</v>
      </c>
      <c r="K279" s="114">
        <f t="shared" si="23"/>
        <v>326.12700000000001</v>
      </c>
      <c r="L279" s="114">
        <f t="shared" si="23"/>
        <v>874.44600000000003</v>
      </c>
      <c r="M279" s="114">
        <f t="shared" si="23"/>
        <v>19.623999999999999</v>
      </c>
    </row>
    <row r="280" spans="1:13" ht="18" customHeight="1">
      <c r="A280" s="115"/>
      <c r="B280" s="116" t="s">
        <v>37</v>
      </c>
      <c r="C280" s="117">
        <v>1200</v>
      </c>
      <c r="D280" s="118">
        <v>42.4</v>
      </c>
      <c r="E280" s="118">
        <v>43.5</v>
      </c>
      <c r="F280" s="118">
        <v>184.3</v>
      </c>
      <c r="G280" s="118">
        <v>1292.5</v>
      </c>
      <c r="H280" s="118">
        <v>385</v>
      </c>
      <c r="I280" s="118">
        <v>0.7</v>
      </c>
      <c r="J280" s="118">
        <v>33</v>
      </c>
      <c r="K280" s="118">
        <v>605</v>
      </c>
      <c r="L280" s="118">
        <v>605</v>
      </c>
      <c r="M280" s="118">
        <v>6.6</v>
      </c>
    </row>
    <row r="281" spans="1:13" ht="18" customHeight="1">
      <c r="A281" s="119"/>
      <c r="B281" s="120"/>
      <c r="C281" s="121"/>
      <c r="D281" s="131"/>
      <c r="E281" s="131"/>
      <c r="F281" s="131"/>
      <c r="G281" s="131"/>
      <c r="H281" s="131"/>
      <c r="I281" s="131"/>
      <c r="J281" s="131"/>
      <c r="K281" s="131"/>
      <c r="L281" s="131"/>
      <c r="M281" s="131"/>
    </row>
    <row r="282" spans="1:13" ht="18" customHeight="1">
      <c r="A282" s="119"/>
      <c r="B282" s="120"/>
      <c r="C282" s="121"/>
      <c r="D282" s="131"/>
      <c r="E282" s="131"/>
      <c r="F282" s="131"/>
      <c r="G282" s="131"/>
      <c r="H282" s="131"/>
      <c r="I282" s="131"/>
      <c r="J282" s="131"/>
      <c r="K282" s="131"/>
      <c r="L282" s="131"/>
      <c r="M282" s="131"/>
    </row>
    <row r="283" spans="1:13" ht="18" customHeight="1">
      <c r="A283" s="119"/>
      <c r="B283" s="120"/>
      <c r="C283" s="121"/>
      <c r="D283" s="131"/>
      <c r="E283" s="131"/>
      <c r="F283" s="131"/>
      <c r="G283" s="131"/>
      <c r="H283" s="131"/>
      <c r="I283" s="131"/>
      <c r="J283" s="131"/>
      <c r="K283" s="131"/>
      <c r="L283" s="131"/>
      <c r="M283" s="131"/>
    </row>
    <row r="284" spans="1:13" ht="18" customHeight="1">
      <c r="A284" s="119"/>
      <c r="B284" s="120"/>
      <c r="C284" s="121"/>
      <c r="D284" s="131"/>
      <c r="E284" s="131"/>
      <c r="F284" s="131"/>
      <c r="G284" s="131"/>
      <c r="H284" s="131"/>
      <c r="I284" s="131"/>
      <c r="J284" s="131"/>
      <c r="K284" s="131"/>
      <c r="L284" s="131"/>
      <c r="M284" s="131"/>
    </row>
    <row r="285" spans="1:13" ht="15.5">
      <c r="A285" s="119"/>
      <c r="B285" s="120"/>
      <c r="C285" s="121"/>
      <c r="D285" s="131"/>
      <c r="E285" s="131"/>
      <c r="F285" s="131"/>
      <c r="G285" s="131"/>
      <c r="H285" s="131"/>
      <c r="I285" s="131"/>
      <c r="J285" s="131"/>
      <c r="K285" s="131"/>
      <c r="L285" s="131"/>
      <c r="M285" s="131"/>
    </row>
    <row r="286" spans="1:13" ht="15.5">
      <c r="A286" s="119"/>
      <c r="B286" s="120"/>
      <c r="C286" s="121"/>
      <c r="D286" s="131"/>
      <c r="E286" s="131"/>
      <c r="F286" s="131"/>
      <c r="G286" s="131"/>
      <c r="H286" s="131"/>
      <c r="I286" s="131"/>
      <c r="J286" s="131"/>
      <c r="K286" s="131"/>
      <c r="L286" s="131"/>
      <c r="M286" s="131"/>
    </row>
    <row r="287" spans="1:13" ht="15.5">
      <c r="A287" s="119"/>
      <c r="B287" s="120"/>
      <c r="C287" s="121"/>
      <c r="D287" s="131"/>
      <c r="E287" s="131"/>
      <c r="F287" s="131"/>
      <c r="G287" s="131"/>
      <c r="H287" s="131"/>
      <c r="I287" s="131"/>
      <c r="J287" s="131"/>
      <c r="K287" s="131"/>
      <c r="L287" s="131"/>
      <c r="M287" s="131"/>
    </row>
    <row r="288" spans="1:13" ht="17.5">
      <c r="A288" s="160" t="s">
        <v>77</v>
      </c>
      <c r="B288" s="161"/>
      <c r="D288" s="123"/>
      <c r="E288" s="123"/>
      <c r="F288" s="123"/>
      <c r="G288" s="123"/>
      <c r="H288" s="123"/>
      <c r="I288" s="123"/>
      <c r="J288" s="123"/>
      <c r="K288" s="123"/>
      <c r="L288" s="123"/>
      <c r="M288" s="123"/>
    </row>
    <row r="289" spans="1:13">
      <c r="A289" s="160" t="s">
        <v>67</v>
      </c>
      <c r="B289" s="161"/>
      <c r="D289" s="123"/>
      <c r="E289" s="123"/>
      <c r="F289" s="123"/>
      <c r="G289" s="123"/>
      <c r="H289" s="123"/>
      <c r="I289" s="123"/>
      <c r="J289" s="123"/>
      <c r="K289" s="123"/>
      <c r="L289" s="123"/>
      <c r="M289" s="123"/>
    </row>
    <row r="290" spans="1:13">
      <c r="A290" s="162" t="s">
        <v>55</v>
      </c>
      <c r="B290" s="163"/>
      <c r="D290" s="123"/>
      <c r="E290" s="123"/>
      <c r="F290" s="123"/>
      <c r="G290" s="123"/>
      <c r="H290" s="123"/>
      <c r="I290" s="123"/>
      <c r="J290" s="123"/>
      <c r="K290" s="123"/>
      <c r="L290" s="123"/>
      <c r="M290" s="123"/>
    </row>
    <row r="291" spans="1:13">
      <c r="A291" s="157" t="s">
        <v>3</v>
      </c>
      <c r="B291" s="157" t="s">
        <v>4</v>
      </c>
      <c r="C291" s="157" t="s">
        <v>5</v>
      </c>
      <c r="D291" s="142" t="s">
        <v>6</v>
      </c>
      <c r="E291" s="143"/>
      <c r="F291" s="144"/>
      <c r="G291" s="148" t="s">
        <v>7</v>
      </c>
      <c r="H291" s="142" t="s">
        <v>8</v>
      </c>
      <c r="I291" s="143"/>
      <c r="J291" s="144"/>
      <c r="K291" s="142" t="s">
        <v>9</v>
      </c>
      <c r="L291" s="143"/>
      <c r="M291" s="144"/>
    </row>
    <row r="292" spans="1:13">
      <c r="A292" s="167"/>
      <c r="B292" s="158"/>
      <c r="C292" s="158"/>
      <c r="D292" s="145" t="s">
        <v>10</v>
      </c>
      <c r="E292" s="146"/>
      <c r="F292" s="147"/>
      <c r="G292" s="149"/>
      <c r="H292" s="145"/>
      <c r="I292" s="146"/>
      <c r="J292" s="147"/>
      <c r="K292" s="145"/>
      <c r="L292" s="146"/>
      <c r="M292" s="147"/>
    </row>
    <row r="293" spans="1:13" ht="17">
      <c r="A293" s="168"/>
      <c r="B293" s="159"/>
      <c r="C293" s="159"/>
      <c r="D293" s="124" t="s">
        <v>11</v>
      </c>
      <c r="E293" s="124" t="s">
        <v>12</v>
      </c>
      <c r="F293" s="124" t="s">
        <v>13</v>
      </c>
      <c r="G293" s="150"/>
      <c r="H293" s="124" t="s">
        <v>14</v>
      </c>
      <c r="I293" s="124" t="s">
        <v>39</v>
      </c>
      <c r="J293" s="124" t="s">
        <v>16</v>
      </c>
      <c r="K293" s="124" t="s">
        <v>17</v>
      </c>
      <c r="L293" s="124" t="s">
        <v>18</v>
      </c>
      <c r="M293" s="124" t="s">
        <v>19</v>
      </c>
    </row>
    <row r="294" spans="1:13" ht="18">
      <c r="A294" s="96"/>
      <c r="B294" s="97" t="s">
        <v>20</v>
      </c>
      <c r="C294" s="98"/>
      <c r="D294" s="125"/>
      <c r="E294" s="125"/>
      <c r="F294" s="125"/>
      <c r="G294" s="125"/>
      <c r="H294" s="125"/>
      <c r="I294" s="125"/>
      <c r="J294" s="125"/>
      <c r="K294" s="125"/>
      <c r="L294" s="125"/>
      <c r="M294" s="125"/>
    </row>
    <row r="295" spans="1:13">
      <c r="A295" s="99">
        <v>263</v>
      </c>
      <c r="B295" s="100" t="s">
        <v>56</v>
      </c>
      <c r="C295" s="101">
        <v>200</v>
      </c>
      <c r="D295" s="102">
        <f>66.7*C295/1000</f>
        <v>13.34</v>
      </c>
      <c r="E295" s="102">
        <f>171.8*C295/1000</f>
        <v>34.36</v>
      </c>
      <c r="F295" s="102">
        <f>98.3*C295/1000</f>
        <v>19.66</v>
      </c>
      <c r="G295" s="102">
        <f>2160*C295/1000</f>
        <v>432</v>
      </c>
      <c r="H295" s="102">
        <f>0*C295/1000</f>
        <v>0</v>
      </c>
      <c r="I295" s="102">
        <f>2.3*C295/1000</f>
        <v>0.46</v>
      </c>
      <c r="J295" s="102">
        <f>35*C295/1000</f>
        <v>7</v>
      </c>
      <c r="K295" s="102">
        <f>122.8*C295/1000</f>
        <v>24.56</v>
      </c>
      <c r="L295" s="102">
        <f>995*C295/1000</f>
        <v>199</v>
      </c>
      <c r="M295" s="102">
        <f>12.3*C295/1000</f>
        <v>2.46</v>
      </c>
    </row>
    <row r="296" spans="1:13">
      <c r="A296" s="99"/>
      <c r="B296" s="100" t="s">
        <v>64</v>
      </c>
      <c r="C296" s="101">
        <v>200</v>
      </c>
      <c r="D296" s="103">
        <f>29*C296/1000</f>
        <v>5.8</v>
      </c>
      <c r="E296" s="103">
        <f>25*C296/1000</f>
        <v>5</v>
      </c>
      <c r="F296" s="103">
        <f>40*C296/1000</f>
        <v>8</v>
      </c>
      <c r="G296" s="103">
        <f>500*C296/1000</f>
        <v>100</v>
      </c>
      <c r="H296" s="103">
        <f>200*C296/1000</f>
        <v>40</v>
      </c>
      <c r="I296" s="103">
        <f>0.4*C296/1000</f>
        <v>0.08</v>
      </c>
      <c r="J296" s="103">
        <f>7*C296/1000</f>
        <v>1.4</v>
      </c>
      <c r="K296" s="103">
        <f>1200*C296/1000</f>
        <v>240</v>
      </c>
      <c r="L296" s="103">
        <f>900*C296/1000</f>
        <v>180</v>
      </c>
      <c r="M296" s="103">
        <f>1*C296/1000</f>
        <v>0.2</v>
      </c>
    </row>
    <row r="297" spans="1:13">
      <c r="A297" s="104"/>
      <c r="B297" s="100" t="s">
        <v>25</v>
      </c>
      <c r="C297" s="101">
        <v>30</v>
      </c>
      <c r="D297" s="102">
        <f>107*C297/1000</f>
        <v>3.21</v>
      </c>
      <c r="E297" s="102">
        <f>45*C297/1000</f>
        <v>1.35</v>
      </c>
      <c r="F297" s="102">
        <f>435*C297/1000</f>
        <v>13.05</v>
      </c>
      <c r="G297" s="102">
        <f>2740*C297/1000</f>
        <v>82.2</v>
      </c>
      <c r="H297" s="102">
        <f>0</f>
        <v>0</v>
      </c>
      <c r="I297" s="102">
        <f>4.1*C297/1000</f>
        <v>0.123</v>
      </c>
      <c r="J297" s="102">
        <f>2*C297/1000</f>
        <v>0.06</v>
      </c>
      <c r="K297" s="102">
        <f>1250*C297/1000</f>
        <v>37.5</v>
      </c>
      <c r="L297" s="102">
        <f>1290*C297/1000</f>
        <v>38.700000000000003</v>
      </c>
      <c r="M297" s="102">
        <f>36*C297/1000</f>
        <v>1.08</v>
      </c>
    </row>
    <row r="298" spans="1:13">
      <c r="A298" s="104"/>
      <c r="B298" s="100" t="s">
        <v>26</v>
      </c>
      <c r="C298" s="101">
        <v>20</v>
      </c>
      <c r="D298" s="103">
        <f>85*C298/1000</f>
        <v>1.7</v>
      </c>
      <c r="E298" s="103">
        <f>33*C298/1000</f>
        <v>0.66</v>
      </c>
      <c r="F298" s="103">
        <f>425*C298/1000</f>
        <v>8.5</v>
      </c>
      <c r="G298" s="103">
        <f>2590*C298/1000</f>
        <v>51.8</v>
      </c>
      <c r="H298" s="103">
        <f>0</f>
        <v>0</v>
      </c>
      <c r="I298" s="103">
        <f>4.3*C298/1000</f>
        <v>8.5999999999999993E-2</v>
      </c>
      <c r="J298" s="103">
        <f>4*C298/1000</f>
        <v>0.08</v>
      </c>
      <c r="K298" s="103">
        <f>730*C298/1000</f>
        <v>14.6</v>
      </c>
      <c r="L298" s="103">
        <f>1250*C298/1000</f>
        <v>25</v>
      </c>
      <c r="M298" s="103">
        <f>28.3*C298/1000</f>
        <v>0.56599999999999995</v>
      </c>
    </row>
    <row r="299" spans="1:13">
      <c r="A299" s="104">
        <v>338</v>
      </c>
      <c r="B299" s="100" t="s">
        <v>27</v>
      </c>
      <c r="C299" s="101">
        <v>100</v>
      </c>
      <c r="D299" s="102">
        <f>4*C299/1000</f>
        <v>0.4</v>
      </c>
      <c r="E299" s="102">
        <f>4*C299/1000</f>
        <v>0.4</v>
      </c>
      <c r="F299" s="102">
        <f>98*C299/1000</f>
        <v>9.8000000000000007</v>
      </c>
      <c r="G299" s="102">
        <f>470*C299/1000</f>
        <v>47</v>
      </c>
      <c r="H299" s="102">
        <f>0</f>
        <v>0</v>
      </c>
      <c r="I299" s="102">
        <f>0.3*C299/1000</f>
        <v>0.03</v>
      </c>
      <c r="J299" s="102">
        <f>100*C299/1000</f>
        <v>10</v>
      </c>
      <c r="K299" s="102">
        <f>160*C299/1000</f>
        <v>16</v>
      </c>
      <c r="L299" s="102">
        <f>110*C299/1000</f>
        <v>11</v>
      </c>
      <c r="M299" s="102">
        <f>22*C299/1000</f>
        <v>2.2000000000000002</v>
      </c>
    </row>
    <row r="300" spans="1:13">
      <c r="A300" s="110"/>
      <c r="B300" s="100"/>
      <c r="C300" s="101"/>
      <c r="D300" s="103"/>
      <c r="E300" s="103"/>
      <c r="F300" s="103"/>
      <c r="G300" s="103"/>
      <c r="H300" s="103"/>
      <c r="I300" s="103"/>
      <c r="J300" s="103"/>
      <c r="K300" s="103"/>
      <c r="L300" s="103"/>
      <c r="M300" s="103"/>
    </row>
    <row r="301" spans="1:13">
      <c r="A301" s="99"/>
      <c r="B301" s="105" t="s">
        <v>28</v>
      </c>
      <c r="C301" s="126">
        <f t="shared" ref="C301:M301" si="24">SUM(C295:C300)</f>
        <v>550</v>
      </c>
      <c r="D301" s="107">
        <f t="shared" si="24"/>
        <v>24.45</v>
      </c>
      <c r="E301" s="107">
        <f t="shared" si="24"/>
        <v>41.77</v>
      </c>
      <c r="F301" s="107">
        <f t="shared" si="24"/>
        <v>59.01</v>
      </c>
      <c r="G301" s="107">
        <f t="shared" si="24"/>
        <v>713</v>
      </c>
      <c r="H301" s="107">
        <f t="shared" si="24"/>
        <v>40</v>
      </c>
      <c r="I301" s="107">
        <f t="shared" si="24"/>
        <v>0.77900000000000003</v>
      </c>
      <c r="J301" s="107">
        <f t="shared" si="24"/>
        <v>18.54</v>
      </c>
      <c r="K301" s="107">
        <f t="shared" si="24"/>
        <v>332.66</v>
      </c>
      <c r="L301" s="107">
        <f t="shared" si="24"/>
        <v>453.7</v>
      </c>
      <c r="M301" s="107">
        <f t="shared" si="24"/>
        <v>6.5060000000000002</v>
      </c>
    </row>
    <row r="302" spans="1:13" ht="18">
      <c r="A302" s="99"/>
      <c r="B302" s="108" t="s">
        <v>29</v>
      </c>
      <c r="C302" s="109"/>
      <c r="D302" s="102"/>
      <c r="E302" s="102"/>
      <c r="F302" s="102"/>
      <c r="G302" s="102"/>
      <c r="H302" s="102"/>
      <c r="I302" s="102"/>
      <c r="J302" s="102"/>
      <c r="K302" s="102"/>
      <c r="L302" s="102"/>
      <c r="M302" s="102"/>
    </row>
    <row r="303" spans="1:13">
      <c r="A303" s="127">
        <v>309</v>
      </c>
      <c r="B303" s="100" t="s">
        <v>62</v>
      </c>
      <c r="C303" s="101">
        <v>150</v>
      </c>
      <c r="D303" s="102">
        <f>36.8*C303/1000</f>
        <v>5.52</v>
      </c>
      <c r="E303" s="102">
        <f>30.1*C303/1000</f>
        <v>4.5149999999999997</v>
      </c>
      <c r="F303" s="102">
        <f>176.3*C303/1000</f>
        <v>26.445</v>
      </c>
      <c r="G303" s="102">
        <f>1123*C303/1000</f>
        <v>168.45</v>
      </c>
      <c r="H303" s="102">
        <f>0</f>
        <v>0</v>
      </c>
      <c r="I303" s="102">
        <f>0.4*C303/1000</f>
        <v>0.06</v>
      </c>
      <c r="J303" s="102">
        <f>0</f>
        <v>0</v>
      </c>
      <c r="K303" s="102">
        <f>32.4*C303/1000</f>
        <v>4.8600000000000003</v>
      </c>
      <c r="L303" s="102">
        <f>247.8*C303/1000</f>
        <v>37.17</v>
      </c>
      <c r="M303" s="102">
        <f>7.4*C303/1000</f>
        <v>1.1100000000000001</v>
      </c>
    </row>
    <row r="304" spans="1:13">
      <c r="A304" s="99">
        <v>101</v>
      </c>
      <c r="B304" s="100" t="s">
        <v>59</v>
      </c>
      <c r="C304" s="101">
        <v>200</v>
      </c>
      <c r="D304" s="102">
        <f>7.89*C304/1000</f>
        <v>1.5780000000000001</v>
      </c>
      <c r="E304" s="102">
        <f>10.85*C304/1000</f>
        <v>2.17</v>
      </c>
      <c r="F304" s="102">
        <f>48.45*C304/1000</f>
        <v>9.69</v>
      </c>
      <c r="G304" s="102">
        <f>343*C304/1000</f>
        <v>68.599999999999994</v>
      </c>
      <c r="H304" s="102">
        <f>0*C304/1000</f>
        <v>0</v>
      </c>
      <c r="I304" s="102">
        <f>0.36*C304/1000</f>
        <v>7.1999999999999995E-2</v>
      </c>
      <c r="J304" s="102">
        <f>33*C304/1000</f>
        <v>6.6</v>
      </c>
      <c r="K304" s="102">
        <f>106.8*C304/1000</f>
        <v>21.36</v>
      </c>
      <c r="L304" s="102">
        <f>223.9*C304/1000</f>
        <v>44.78</v>
      </c>
      <c r="M304" s="102">
        <f>3.5*C304/1000</f>
        <v>0.7</v>
      </c>
    </row>
    <row r="305" spans="1:13">
      <c r="A305" s="99">
        <v>209</v>
      </c>
      <c r="B305" s="100" t="s">
        <v>48</v>
      </c>
      <c r="C305" s="101">
        <v>40</v>
      </c>
      <c r="D305" s="102">
        <f>5.1</f>
        <v>5.0999999999999996</v>
      </c>
      <c r="E305" s="102">
        <f>4.6</f>
        <v>4.5999999999999996</v>
      </c>
      <c r="F305" s="102">
        <f>0.3</f>
        <v>0.3</v>
      </c>
      <c r="G305" s="102">
        <f>63</f>
        <v>63</v>
      </c>
      <c r="H305" s="102">
        <f>100</f>
        <v>100</v>
      </c>
      <c r="I305" s="102">
        <f>0.03</f>
        <v>0.03</v>
      </c>
      <c r="J305" s="102">
        <f>0</f>
        <v>0</v>
      </c>
      <c r="K305" s="102">
        <f>22</f>
        <v>22</v>
      </c>
      <c r="L305" s="102">
        <f>76.8</f>
        <v>76.8</v>
      </c>
      <c r="M305" s="102">
        <f>1</f>
        <v>1</v>
      </c>
    </row>
    <row r="306" spans="1:13">
      <c r="A306" s="99">
        <v>379</v>
      </c>
      <c r="B306" s="100" t="s">
        <v>23</v>
      </c>
      <c r="C306" s="101">
        <v>200</v>
      </c>
      <c r="D306" s="103">
        <f>15.8*C306/1000</f>
        <v>3.16</v>
      </c>
      <c r="E306" s="103">
        <f>13.4*C306/1000</f>
        <v>2.68</v>
      </c>
      <c r="F306" s="103">
        <f>79.7*C306/1000</f>
        <v>15.94</v>
      </c>
      <c r="G306" s="103">
        <f>503*C306/1000</f>
        <v>100.6</v>
      </c>
      <c r="H306" s="103">
        <f>100*C306/1000</f>
        <v>20</v>
      </c>
      <c r="I306" s="103">
        <f>0.22*C306/1000</f>
        <v>4.3999999999999997E-2</v>
      </c>
      <c r="J306" s="103">
        <f>6.5*C306/1000</f>
        <v>1.3</v>
      </c>
      <c r="K306" s="103">
        <f>628.9*C306/1000</f>
        <v>125.78</v>
      </c>
      <c r="L306" s="103">
        <f>450*C306/1000</f>
        <v>90</v>
      </c>
      <c r="M306" s="103">
        <f>0.7*C306/1000</f>
        <v>0.14000000000000001</v>
      </c>
    </row>
    <row r="307" spans="1:13">
      <c r="A307" s="104"/>
      <c r="B307" s="100" t="s">
        <v>25</v>
      </c>
      <c r="C307" s="101">
        <v>30</v>
      </c>
      <c r="D307" s="102">
        <f>107*C307/1000</f>
        <v>3.21</v>
      </c>
      <c r="E307" s="102">
        <f>45*C307/1000</f>
        <v>1.35</v>
      </c>
      <c r="F307" s="102">
        <f>435*C307/1000</f>
        <v>13.05</v>
      </c>
      <c r="G307" s="102">
        <f>2740*C307/1000</f>
        <v>82.2</v>
      </c>
      <c r="H307" s="102">
        <f>0</f>
        <v>0</v>
      </c>
      <c r="I307" s="102">
        <f>4.1*C307/1000</f>
        <v>0.123</v>
      </c>
      <c r="J307" s="102">
        <f>2*C307/1000</f>
        <v>0.06</v>
      </c>
      <c r="K307" s="102">
        <f>1250*C307/1000</f>
        <v>37.5</v>
      </c>
      <c r="L307" s="102">
        <f>1290*C307/1000</f>
        <v>38.700000000000003</v>
      </c>
      <c r="M307" s="102">
        <f>36*C307/1000</f>
        <v>1.08</v>
      </c>
    </row>
    <row r="308" spans="1:13">
      <c r="A308" s="99">
        <v>67</v>
      </c>
      <c r="B308" s="100" t="s">
        <v>63</v>
      </c>
      <c r="C308" s="101">
        <v>60</v>
      </c>
      <c r="D308" s="102">
        <f>14*C308/1000</f>
        <v>0.84</v>
      </c>
      <c r="E308" s="102">
        <f>100.4*C308/1000</f>
        <v>6.024</v>
      </c>
      <c r="F308" s="102">
        <f>72.9*C308/1000</f>
        <v>4.3739999999999997</v>
      </c>
      <c r="G308" s="102">
        <f>1251*C308/1000</f>
        <v>75.06</v>
      </c>
      <c r="H308" s="102">
        <f>0*C308/1000</f>
        <v>0</v>
      </c>
      <c r="I308" s="102">
        <f>0.44*C308/1000</f>
        <v>2.64E-2</v>
      </c>
      <c r="J308" s="102">
        <f>96.3*C308/1000</f>
        <v>5.7779999999999996</v>
      </c>
      <c r="K308" s="102">
        <f>312.4*C308/1000</f>
        <v>18.744</v>
      </c>
      <c r="L308" s="102">
        <f>432.7*C308/1000</f>
        <v>25.962</v>
      </c>
      <c r="M308" s="102">
        <f>8.3*C308/1000</f>
        <v>0.498</v>
      </c>
    </row>
    <row r="309" spans="1:13" ht="18" customHeight="1">
      <c r="A309" s="110"/>
      <c r="B309" s="100" t="s">
        <v>26</v>
      </c>
      <c r="C309" s="101">
        <v>30</v>
      </c>
      <c r="D309" s="103">
        <f>85*C309/1000</f>
        <v>2.5499999999999998</v>
      </c>
      <c r="E309" s="103">
        <f>33*C309/1000</f>
        <v>0.99</v>
      </c>
      <c r="F309" s="103">
        <f>425*C309/1000</f>
        <v>12.75</v>
      </c>
      <c r="G309" s="103">
        <f>2590*C309/1000</f>
        <v>77.7</v>
      </c>
      <c r="H309" s="103">
        <f>0</f>
        <v>0</v>
      </c>
      <c r="I309" s="103">
        <f>4.3*C309/1000</f>
        <v>0.129</v>
      </c>
      <c r="J309" s="103">
        <f>4*C309/1000</f>
        <v>0.12</v>
      </c>
      <c r="K309" s="103">
        <f>730*C309/1000</f>
        <v>21.9</v>
      </c>
      <c r="L309" s="103">
        <f>1250*C309/1000</f>
        <v>37.5</v>
      </c>
      <c r="M309" s="103">
        <f>28.3*C309/1000</f>
        <v>0.84899999999999998</v>
      </c>
    </row>
    <row r="310" spans="1:13">
      <c r="A310" s="104">
        <v>338</v>
      </c>
      <c r="B310" s="100" t="s">
        <v>27</v>
      </c>
      <c r="C310" s="101">
        <v>100</v>
      </c>
      <c r="D310" s="102">
        <f>4*C310/1000</f>
        <v>0.4</v>
      </c>
      <c r="E310" s="102">
        <f>4*C310/1000</f>
        <v>0.4</v>
      </c>
      <c r="F310" s="102">
        <f>98*C310/1000</f>
        <v>9.8000000000000007</v>
      </c>
      <c r="G310" s="102">
        <f>470*C310/1000</f>
        <v>47</v>
      </c>
      <c r="H310" s="102">
        <f>0</f>
        <v>0</v>
      </c>
      <c r="I310" s="102">
        <f>0.3*C310/1000</f>
        <v>0.03</v>
      </c>
      <c r="J310" s="102">
        <f>100*C310/1000</f>
        <v>10</v>
      </c>
      <c r="K310" s="102">
        <f>160*C310/1000</f>
        <v>16</v>
      </c>
      <c r="L310" s="102">
        <f>110*C310/1000</f>
        <v>11</v>
      </c>
      <c r="M310" s="102">
        <f>22*C310/1000</f>
        <v>2.2000000000000002</v>
      </c>
    </row>
    <row r="311" spans="1:13" ht="18" customHeight="1">
      <c r="A311" s="127"/>
      <c r="B311" s="105" t="s">
        <v>28</v>
      </c>
      <c r="C311" s="126">
        <f t="shared" ref="C311:M311" si="25">SUM(C303:C309)</f>
        <v>710</v>
      </c>
      <c r="D311" s="107">
        <f t="shared" si="25"/>
        <v>21.957999999999998</v>
      </c>
      <c r="E311" s="107">
        <f t="shared" si="25"/>
        <v>22.329000000000001</v>
      </c>
      <c r="F311" s="107">
        <f t="shared" si="25"/>
        <v>82.549000000000007</v>
      </c>
      <c r="G311" s="107">
        <f t="shared" si="25"/>
        <v>635.61</v>
      </c>
      <c r="H311" s="107">
        <f t="shared" si="25"/>
        <v>120</v>
      </c>
      <c r="I311" s="107">
        <f t="shared" si="25"/>
        <v>0.4844</v>
      </c>
      <c r="J311" s="107">
        <f t="shared" si="25"/>
        <v>13.858000000000001</v>
      </c>
      <c r="K311" s="107">
        <f t="shared" si="25"/>
        <v>252.14400000000001</v>
      </c>
      <c r="L311" s="107">
        <f t="shared" si="25"/>
        <v>350.91199999999998</v>
      </c>
      <c r="M311" s="107">
        <f t="shared" si="25"/>
        <v>5.3769999999999998</v>
      </c>
    </row>
    <row r="312" spans="1:13" ht="18" customHeight="1">
      <c r="A312" s="127"/>
      <c r="B312" s="112" t="s">
        <v>36</v>
      </c>
      <c r="C312" s="128">
        <f t="shared" ref="C312:M312" si="26">C301+C311</f>
        <v>1260</v>
      </c>
      <c r="D312" s="114">
        <f t="shared" si="26"/>
        <v>46.408000000000001</v>
      </c>
      <c r="E312" s="114">
        <f t="shared" si="26"/>
        <v>64.099000000000004</v>
      </c>
      <c r="F312" s="114">
        <f t="shared" si="26"/>
        <v>141.559</v>
      </c>
      <c r="G312" s="114">
        <f t="shared" si="26"/>
        <v>1348.61</v>
      </c>
      <c r="H312" s="114">
        <f t="shared" si="26"/>
        <v>160</v>
      </c>
      <c r="I312" s="114">
        <f t="shared" si="26"/>
        <v>1.2634000000000001</v>
      </c>
      <c r="J312" s="114">
        <f t="shared" si="26"/>
        <v>32.398000000000003</v>
      </c>
      <c r="K312" s="114">
        <f t="shared" si="26"/>
        <v>584.80399999999997</v>
      </c>
      <c r="L312" s="114">
        <f t="shared" si="26"/>
        <v>804.61199999999997</v>
      </c>
      <c r="M312" s="114">
        <f t="shared" si="26"/>
        <v>11.882999999999999</v>
      </c>
    </row>
    <row r="313" spans="1:13" ht="18" customHeight="1">
      <c r="A313" s="115"/>
      <c r="B313" s="116" t="s">
        <v>37</v>
      </c>
      <c r="C313" s="117">
        <v>1200</v>
      </c>
      <c r="D313" s="118">
        <v>42.4</v>
      </c>
      <c r="E313" s="118">
        <v>43.5</v>
      </c>
      <c r="F313" s="118">
        <v>184.3</v>
      </c>
      <c r="G313" s="118">
        <v>1292.5</v>
      </c>
      <c r="H313" s="118">
        <v>385</v>
      </c>
      <c r="I313" s="118">
        <v>0.7</v>
      </c>
      <c r="J313" s="118">
        <v>33</v>
      </c>
      <c r="K313" s="118">
        <v>605</v>
      </c>
      <c r="L313" s="118">
        <v>605</v>
      </c>
      <c r="M313" s="118">
        <v>6.6</v>
      </c>
    </row>
    <row r="314" spans="1:13" ht="18" customHeight="1">
      <c r="A314" s="119"/>
      <c r="B314" s="120"/>
      <c r="C314" s="121"/>
      <c r="D314" s="131"/>
      <c r="E314" s="131"/>
      <c r="F314" s="131"/>
      <c r="G314" s="131"/>
      <c r="H314" s="131"/>
      <c r="I314" s="131"/>
      <c r="J314" s="131"/>
      <c r="K314" s="131"/>
      <c r="L314" s="131"/>
      <c r="M314" s="131"/>
    </row>
    <row r="315" spans="1:13" ht="18" customHeight="1">
      <c r="A315" s="119"/>
      <c r="B315" s="120"/>
      <c r="C315" s="121"/>
      <c r="D315" s="131"/>
      <c r="E315" s="131"/>
      <c r="F315" s="131"/>
      <c r="G315" s="131"/>
      <c r="H315" s="131"/>
      <c r="I315" s="131"/>
      <c r="J315" s="131"/>
      <c r="K315" s="131"/>
      <c r="L315" s="131"/>
      <c r="M315" s="131"/>
    </row>
    <row r="316" spans="1:13" ht="18" customHeight="1">
      <c r="A316" s="119"/>
      <c r="B316" s="120"/>
      <c r="C316" s="121"/>
      <c r="D316" s="131"/>
      <c r="E316" s="131"/>
      <c r="F316" s="131"/>
      <c r="G316" s="131"/>
      <c r="H316" s="131"/>
      <c r="I316" s="131"/>
      <c r="J316" s="131"/>
      <c r="K316" s="131"/>
      <c r="L316" s="131"/>
      <c r="M316" s="131"/>
    </row>
    <row r="317" spans="1:13" ht="15.5">
      <c r="A317" s="119"/>
      <c r="B317" s="120"/>
      <c r="C317" s="121"/>
      <c r="D317" s="131"/>
      <c r="E317" s="131"/>
      <c r="F317" s="131"/>
      <c r="G317" s="131"/>
      <c r="H317" s="131"/>
      <c r="I317" s="131"/>
      <c r="J317" s="131"/>
      <c r="K317" s="131"/>
      <c r="L317" s="131"/>
      <c r="M317" s="131"/>
    </row>
    <row r="318" spans="1:13" ht="15.5">
      <c r="A318" s="119"/>
      <c r="B318" s="120"/>
      <c r="C318" s="121"/>
      <c r="D318" s="131"/>
      <c r="E318" s="131"/>
      <c r="F318" s="131"/>
      <c r="G318" s="131"/>
      <c r="H318" s="131"/>
      <c r="I318" s="131"/>
      <c r="J318" s="131"/>
      <c r="K318" s="131"/>
      <c r="L318" s="131"/>
      <c r="M318" s="131"/>
    </row>
    <row r="320" spans="1:13">
      <c r="D320" s="123"/>
      <c r="E320" s="123"/>
      <c r="F320" s="123"/>
      <c r="G320" s="123"/>
      <c r="H320" s="123"/>
      <c r="I320" s="123"/>
      <c r="J320" s="123"/>
      <c r="K320" s="123"/>
      <c r="L320" s="123"/>
      <c r="M320" s="123"/>
    </row>
    <row r="321" spans="1:13" ht="17.5">
      <c r="A321" s="160" t="s">
        <v>78</v>
      </c>
      <c r="B321" s="161"/>
      <c r="D321" s="123"/>
      <c r="E321" s="123"/>
      <c r="F321" s="123"/>
      <c r="G321" s="123"/>
      <c r="H321" s="123"/>
      <c r="I321" s="123"/>
      <c r="J321" s="123"/>
      <c r="K321" s="123"/>
      <c r="L321" s="123"/>
      <c r="M321" s="123"/>
    </row>
    <row r="322" spans="1:13">
      <c r="A322" s="160" t="s">
        <v>67</v>
      </c>
      <c r="B322" s="161"/>
      <c r="D322" s="123"/>
      <c r="E322" s="123"/>
      <c r="F322" s="123"/>
      <c r="G322" s="123"/>
      <c r="H322" s="123"/>
      <c r="I322" s="123"/>
      <c r="J322" s="123"/>
      <c r="K322" s="123"/>
      <c r="L322" s="123"/>
      <c r="M322" s="123"/>
    </row>
    <row r="323" spans="1:13" ht="16.5" customHeight="1">
      <c r="A323" s="162" t="s">
        <v>2</v>
      </c>
      <c r="B323" s="163"/>
      <c r="D323" s="123"/>
      <c r="E323" s="123"/>
      <c r="F323" s="123"/>
      <c r="G323" s="123"/>
      <c r="H323" s="123"/>
      <c r="I323" s="123"/>
      <c r="J323" s="123"/>
      <c r="K323" s="123"/>
      <c r="L323" s="123"/>
      <c r="M323" s="123"/>
    </row>
    <row r="324" spans="1:13" ht="16.5" customHeight="1">
      <c r="A324" s="157" t="s">
        <v>3</v>
      </c>
      <c r="B324" s="157" t="s">
        <v>4</v>
      </c>
      <c r="C324" s="157" t="s">
        <v>5</v>
      </c>
      <c r="D324" s="142" t="s">
        <v>6</v>
      </c>
      <c r="E324" s="143"/>
      <c r="F324" s="144"/>
      <c r="G324" s="148" t="s">
        <v>7</v>
      </c>
      <c r="H324" s="142" t="s">
        <v>8</v>
      </c>
      <c r="I324" s="143"/>
      <c r="J324" s="144"/>
      <c r="K324" s="142" t="s">
        <v>9</v>
      </c>
      <c r="L324" s="143"/>
      <c r="M324" s="144"/>
    </row>
    <row r="325" spans="1:13">
      <c r="A325" s="167"/>
      <c r="B325" s="158"/>
      <c r="C325" s="158"/>
      <c r="D325" s="145" t="s">
        <v>10</v>
      </c>
      <c r="E325" s="146"/>
      <c r="F325" s="147"/>
      <c r="G325" s="149"/>
      <c r="H325" s="145"/>
      <c r="I325" s="146"/>
      <c r="J325" s="147"/>
      <c r="K325" s="145"/>
      <c r="L325" s="146"/>
      <c r="M325" s="147"/>
    </row>
    <row r="326" spans="1:13" ht="17">
      <c r="A326" s="168"/>
      <c r="B326" s="159"/>
      <c r="C326" s="159"/>
      <c r="D326" s="124" t="s">
        <v>11</v>
      </c>
      <c r="E326" s="124" t="s">
        <v>12</v>
      </c>
      <c r="F326" s="124" t="s">
        <v>13</v>
      </c>
      <c r="G326" s="150"/>
      <c r="H326" s="124" t="s">
        <v>14</v>
      </c>
      <c r="I326" s="124" t="s">
        <v>39</v>
      </c>
      <c r="J326" s="124" t="s">
        <v>16</v>
      </c>
      <c r="K326" s="124" t="s">
        <v>17</v>
      </c>
      <c r="L326" s="124" t="s">
        <v>18</v>
      </c>
      <c r="M326" s="124" t="s">
        <v>19</v>
      </c>
    </row>
    <row r="327" spans="1:13" ht="18">
      <c r="A327" s="96"/>
      <c r="B327" s="97" t="s">
        <v>20</v>
      </c>
      <c r="C327" s="98"/>
      <c r="D327" s="125"/>
      <c r="E327" s="125"/>
      <c r="F327" s="125"/>
      <c r="G327" s="125"/>
      <c r="H327" s="125"/>
      <c r="I327" s="125"/>
      <c r="J327" s="125"/>
      <c r="K327" s="125"/>
      <c r="L327" s="125"/>
      <c r="M327" s="125"/>
    </row>
    <row r="328" spans="1:13">
      <c r="A328" s="133"/>
      <c r="B328" s="133"/>
      <c r="C328" s="133"/>
      <c r="D328" s="133"/>
      <c r="E328" s="133"/>
      <c r="F328" s="133"/>
      <c r="G328" s="133"/>
      <c r="H328" s="133"/>
      <c r="I328" s="133"/>
      <c r="J328" s="133"/>
      <c r="K328" s="133"/>
      <c r="L328" s="133"/>
      <c r="M328" s="133"/>
    </row>
    <row r="329" spans="1:13">
      <c r="A329" s="99">
        <v>291</v>
      </c>
      <c r="B329" s="100" t="s">
        <v>79</v>
      </c>
      <c r="C329" s="101">
        <v>250</v>
      </c>
      <c r="D329" s="102">
        <f>90.1*C329/1000</f>
        <v>22.524999999999999</v>
      </c>
      <c r="E329" s="102">
        <f>44.7*C329/1000</f>
        <v>11.175000000000001</v>
      </c>
      <c r="F329" s="102">
        <f>182.3*C329/1000</f>
        <v>45.575000000000003</v>
      </c>
      <c r="G329" s="102">
        <f>1493.3*C329/1000</f>
        <v>373.32499999999999</v>
      </c>
      <c r="H329" s="102">
        <f>140*C329/1000</f>
        <v>35</v>
      </c>
      <c r="I329" s="102">
        <f>0.7*C329/1000</f>
        <v>0.17499999999999999</v>
      </c>
      <c r="J329" s="102">
        <f>32.7*C329/1000</f>
        <v>8.1750000000000007</v>
      </c>
      <c r="K329" s="102">
        <f>180.5*C329/1000</f>
        <v>45.125</v>
      </c>
      <c r="L329" s="102">
        <f>946.7*C329/1000</f>
        <v>236.67500000000001</v>
      </c>
      <c r="M329" s="102">
        <f>9.3*C329/1000</f>
        <v>2.3250000000000002</v>
      </c>
    </row>
    <row r="330" spans="1:13" ht="15.75" customHeight="1">
      <c r="A330" s="99">
        <v>382</v>
      </c>
      <c r="B330" s="100" t="s">
        <v>57</v>
      </c>
      <c r="C330" s="101">
        <v>200</v>
      </c>
      <c r="D330" s="103">
        <f>20.4*C330/1000</f>
        <v>4.08</v>
      </c>
      <c r="E330" s="103">
        <f>17.7*C330/1000</f>
        <v>3.54</v>
      </c>
      <c r="F330" s="103">
        <f>87.9*C330/1000</f>
        <v>17.579999999999998</v>
      </c>
      <c r="G330" s="103">
        <f>593*C330/1000</f>
        <v>118.6</v>
      </c>
      <c r="H330" s="103">
        <f>122*C330/1000</f>
        <v>24.4</v>
      </c>
      <c r="I330" s="103">
        <f>0.28*C330/1000</f>
        <v>5.6000000000000001E-2</v>
      </c>
      <c r="J330" s="103">
        <f>7.9*C330/1000</f>
        <v>1.58</v>
      </c>
      <c r="K330" s="103">
        <f>761.1*C330/1000</f>
        <v>152.22</v>
      </c>
      <c r="L330" s="103">
        <f>622.8*C330/1000</f>
        <v>124.56</v>
      </c>
      <c r="M330" s="103">
        <f>2.4*C330/1000</f>
        <v>0.48</v>
      </c>
    </row>
    <row r="331" spans="1:13">
      <c r="A331" s="127">
        <v>14</v>
      </c>
      <c r="B331" s="100" t="s">
        <v>24</v>
      </c>
      <c r="C331" s="101">
        <v>10</v>
      </c>
      <c r="D331" s="103">
        <f>8*C331/1000</f>
        <v>0.08</v>
      </c>
      <c r="E331" s="103">
        <f>725*C331/1000</f>
        <v>7.25</v>
      </c>
      <c r="F331" s="103">
        <f>13*C331/1000</f>
        <v>0.13</v>
      </c>
      <c r="G331" s="103">
        <f>6600*C331/1000</f>
        <v>66</v>
      </c>
      <c r="H331" s="103">
        <f>4000*C331/1000</f>
        <v>40</v>
      </c>
      <c r="I331" s="103">
        <f>0</f>
        <v>0</v>
      </c>
      <c r="J331" s="103">
        <f>0</f>
        <v>0</v>
      </c>
      <c r="K331" s="103">
        <f>240*C331/1000</f>
        <v>2.4</v>
      </c>
      <c r="L331" s="103">
        <f>300*C331/1000</f>
        <v>3</v>
      </c>
      <c r="M331" s="103">
        <f>2*C331/1000</f>
        <v>0.02</v>
      </c>
    </row>
    <row r="332" spans="1:13">
      <c r="A332" s="104"/>
      <c r="B332" s="100" t="s">
        <v>25</v>
      </c>
      <c r="C332" s="101">
        <v>30</v>
      </c>
      <c r="D332" s="102">
        <f>107*C332/1000</f>
        <v>3.21</v>
      </c>
      <c r="E332" s="102">
        <f>45*C332/1000</f>
        <v>1.35</v>
      </c>
      <c r="F332" s="102">
        <f>435*C332/1000</f>
        <v>13.05</v>
      </c>
      <c r="G332" s="102">
        <f>2740*C332/1000</f>
        <v>82.2</v>
      </c>
      <c r="H332" s="102">
        <f>0</f>
        <v>0</v>
      </c>
      <c r="I332" s="102">
        <f>4.1*C332/1000</f>
        <v>0.123</v>
      </c>
      <c r="J332" s="102">
        <f>2*C332/1000</f>
        <v>0.06</v>
      </c>
      <c r="K332" s="102">
        <f>1250*C332/1000</f>
        <v>37.5</v>
      </c>
      <c r="L332" s="102">
        <f>1290*C332/1000</f>
        <v>38.700000000000003</v>
      </c>
      <c r="M332" s="102">
        <f>36*C332/1000</f>
        <v>1.08</v>
      </c>
    </row>
    <row r="333" spans="1:13">
      <c r="A333" s="99"/>
      <c r="B333" s="100" t="s">
        <v>26</v>
      </c>
      <c r="C333" s="101">
        <v>20</v>
      </c>
      <c r="D333" s="103">
        <f>85*C333/1000</f>
        <v>1.7</v>
      </c>
      <c r="E333" s="103">
        <f>33*C333/1000</f>
        <v>0.66</v>
      </c>
      <c r="F333" s="103">
        <f>425*C333/1000</f>
        <v>8.5</v>
      </c>
      <c r="G333" s="103">
        <f>2590*C333/1000</f>
        <v>51.8</v>
      </c>
      <c r="H333" s="103">
        <f>0</f>
        <v>0</v>
      </c>
      <c r="I333" s="103">
        <f>4.3*C333/1000</f>
        <v>8.5999999999999993E-2</v>
      </c>
      <c r="J333" s="103">
        <f>4*C333/1000</f>
        <v>0.08</v>
      </c>
      <c r="K333" s="103">
        <f>730*C333/1000</f>
        <v>14.6</v>
      </c>
      <c r="L333" s="103">
        <f>1250*C333/1000</f>
        <v>25</v>
      </c>
      <c r="M333" s="103">
        <f>28.3*C333/1000</f>
        <v>0.56599999999999995</v>
      </c>
    </row>
    <row r="334" spans="1:13">
      <c r="A334" s="99"/>
      <c r="B334" s="105" t="s">
        <v>28</v>
      </c>
      <c r="C334" s="126">
        <f t="shared" ref="C334:M334" si="27">SUM(C329:C333)</f>
        <v>510</v>
      </c>
      <c r="D334" s="107">
        <f t="shared" si="27"/>
        <v>31.594999999999999</v>
      </c>
      <c r="E334" s="107">
        <f t="shared" si="27"/>
        <v>23.975000000000001</v>
      </c>
      <c r="F334" s="107">
        <f t="shared" si="27"/>
        <v>84.834999999999994</v>
      </c>
      <c r="G334" s="107">
        <f t="shared" si="27"/>
        <v>691.92499999999995</v>
      </c>
      <c r="H334" s="107">
        <f t="shared" si="27"/>
        <v>99.4</v>
      </c>
      <c r="I334" s="107">
        <f t="shared" si="27"/>
        <v>0.44</v>
      </c>
      <c r="J334" s="107">
        <f t="shared" si="27"/>
        <v>9.8949999999999996</v>
      </c>
      <c r="K334" s="107">
        <f t="shared" si="27"/>
        <v>251.845</v>
      </c>
      <c r="L334" s="107">
        <f t="shared" si="27"/>
        <v>427.935</v>
      </c>
      <c r="M334" s="107">
        <f t="shared" si="27"/>
        <v>4.4710000000000001</v>
      </c>
    </row>
    <row r="335" spans="1:13" ht="18">
      <c r="A335" s="99"/>
      <c r="B335" s="108" t="s">
        <v>29</v>
      </c>
      <c r="C335" s="109"/>
      <c r="D335" s="102"/>
      <c r="E335" s="102"/>
      <c r="F335" s="102"/>
      <c r="G335" s="102"/>
      <c r="H335" s="102"/>
      <c r="I335" s="102"/>
      <c r="J335" s="102"/>
      <c r="K335" s="102"/>
      <c r="L335" s="102"/>
      <c r="M335" s="102"/>
    </row>
    <row r="336" spans="1:13">
      <c r="A336" s="104">
        <v>70</v>
      </c>
      <c r="B336" s="100" t="s">
        <v>58</v>
      </c>
      <c r="C336" s="101">
        <v>60</v>
      </c>
      <c r="D336" s="102">
        <f>8*C336/1000</f>
        <v>0.48</v>
      </c>
      <c r="E336" s="102">
        <f>1*C336/1000</f>
        <v>0.06</v>
      </c>
      <c r="F336" s="102">
        <f>17*C336/1000</f>
        <v>1.02</v>
      </c>
      <c r="G336" s="102">
        <f>100*C336/1000</f>
        <v>6</v>
      </c>
      <c r="H336" s="102">
        <f>0*C336/1000</f>
        <v>0</v>
      </c>
      <c r="I336" s="102">
        <f>0.4*C336/1000</f>
        <v>2.4E-2</v>
      </c>
      <c r="J336" s="102">
        <f>35*C336/1000</f>
        <v>2.1</v>
      </c>
      <c r="K336" s="102">
        <f>230*C336/1000</f>
        <v>13.8</v>
      </c>
      <c r="L336" s="102">
        <f>240*C336/1000</f>
        <v>14.4</v>
      </c>
      <c r="M336" s="102">
        <f>6*C336/1000</f>
        <v>0.36</v>
      </c>
    </row>
    <row r="337" spans="1:13">
      <c r="A337" s="99">
        <v>101</v>
      </c>
      <c r="B337" s="100" t="s">
        <v>59</v>
      </c>
      <c r="C337" s="101">
        <v>200</v>
      </c>
      <c r="D337" s="102">
        <f>7.89*C337/1000</f>
        <v>1.5780000000000001</v>
      </c>
      <c r="E337" s="102">
        <f>10.85*C337/1000</f>
        <v>2.17</v>
      </c>
      <c r="F337" s="102">
        <f>48.45*C337/1000</f>
        <v>9.69</v>
      </c>
      <c r="G337" s="102">
        <f>343*C337/1000</f>
        <v>68.599999999999994</v>
      </c>
      <c r="H337" s="102">
        <f>0*C337/1000</f>
        <v>0</v>
      </c>
      <c r="I337" s="102">
        <f>0.36*C337/1000</f>
        <v>7.1999999999999995E-2</v>
      </c>
      <c r="J337" s="102">
        <f>33*C337/1000</f>
        <v>6.6</v>
      </c>
      <c r="K337" s="102">
        <f>106.8*C337/1000</f>
        <v>21.36</v>
      </c>
      <c r="L337" s="102">
        <f>223.9*C337/1000</f>
        <v>44.78</v>
      </c>
      <c r="M337" s="102">
        <f>3.5*C337/1000</f>
        <v>0.7</v>
      </c>
    </row>
    <row r="338" spans="1:13">
      <c r="A338" s="99">
        <v>263</v>
      </c>
      <c r="B338" s="100" t="s">
        <v>80</v>
      </c>
      <c r="C338" s="101">
        <v>200</v>
      </c>
      <c r="D338" s="102">
        <f>66.7*C338/1000</f>
        <v>13.34</v>
      </c>
      <c r="E338" s="102">
        <f>171.8*C338/1000</f>
        <v>34.36</v>
      </c>
      <c r="F338" s="102">
        <f>98.3*C338/1000</f>
        <v>19.66</v>
      </c>
      <c r="G338" s="102">
        <f>2160*C338/1000</f>
        <v>432</v>
      </c>
      <c r="H338" s="102">
        <f>0*C338/1000</f>
        <v>0</v>
      </c>
      <c r="I338" s="102">
        <f>2.3*C338/1000</f>
        <v>0.46</v>
      </c>
      <c r="J338" s="102">
        <f>35*C338/1000</f>
        <v>7</v>
      </c>
      <c r="K338" s="102">
        <f>122.8*C338/1000</f>
        <v>24.56</v>
      </c>
      <c r="L338" s="102">
        <f>995*C338/1000</f>
        <v>199</v>
      </c>
      <c r="M338" s="102">
        <f>12.3*C338/1000</f>
        <v>2.46</v>
      </c>
    </row>
    <row r="339" spans="1:13">
      <c r="A339" s="99">
        <v>342</v>
      </c>
      <c r="B339" s="100" t="s">
        <v>73</v>
      </c>
      <c r="C339" s="101">
        <v>200</v>
      </c>
      <c r="D339" s="102">
        <f>0.8*C339/1000</f>
        <v>0.16</v>
      </c>
      <c r="E339" s="102">
        <f>0.8*C339/1000</f>
        <v>0.16</v>
      </c>
      <c r="F339" s="102">
        <f>139.4*C339/1000</f>
        <v>27.88</v>
      </c>
      <c r="G339" s="102">
        <f>573*C339/1000</f>
        <v>114.6</v>
      </c>
      <c r="H339" s="102">
        <f>0</f>
        <v>0</v>
      </c>
      <c r="I339" s="102">
        <f>0.1*C225/1000</f>
        <v>0</v>
      </c>
      <c r="J339" s="102">
        <f>5.5*C339/1000</f>
        <v>1.1000000000000001</v>
      </c>
      <c r="K339" s="102">
        <f>70.9*C339/1000</f>
        <v>14.18</v>
      </c>
      <c r="L339" s="102">
        <f>22*C339/1000</f>
        <v>4.4000000000000004</v>
      </c>
      <c r="M339" s="102">
        <f>4.8*C339/1000</f>
        <v>0.96</v>
      </c>
    </row>
    <row r="340" spans="1:13">
      <c r="A340" s="104"/>
      <c r="B340" s="100" t="s">
        <v>25</v>
      </c>
      <c r="C340" s="101">
        <v>30</v>
      </c>
      <c r="D340" s="102">
        <f>107*C340/1000</f>
        <v>3.21</v>
      </c>
      <c r="E340" s="102">
        <f>45*C340/1000</f>
        <v>1.35</v>
      </c>
      <c r="F340" s="102">
        <f>435*C340/1000</f>
        <v>13.05</v>
      </c>
      <c r="G340" s="102">
        <f>2740*C340/1000</f>
        <v>82.2</v>
      </c>
      <c r="H340" s="102">
        <f>0</f>
        <v>0</v>
      </c>
      <c r="I340" s="102">
        <f>4.1*C340/1000</f>
        <v>0.123</v>
      </c>
      <c r="J340" s="102">
        <f>2*C340/1000</f>
        <v>0.06</v>
      </c>
      <c r="K340" s="102">
        <f>1250*C340/1000</f>
        <v>37.5</v>
      </c>
      <c r="L340" s="102">
        <f>1290*C340/1000</f>
        <v>38.700000000000003</v>
      </c>
      <c r="M340" s="102">
        <f>36*C340/1000</f>
        <v>1.08</v>
      </c>
    </row>
    <row r="341" spans="1:13">
      <c r="A341" s="110"/>
      <c r="B341" s="100" t="s">
        <v>26</v>
      </c>
      <c r="C341" s="101">
        <v>30</v>
      </c>
      <c r="D341" s="103">
        <f>85*C341/1000</f>
        <v>2.5499999999999998</v>
      </c>
      <c r="E341" s="103">
        <f>33*C341/1000</f>
        <v>0.99</v>
      </c>
      <c r="F341" s="103">
        <f>425*C341/1000</f>
        <v>12.75</v>
      </c>
      <c r="G341" s="103">
        <f>2590*C341/1000</f>
        <v>77.7</v>
      </c>
      <c r="H341" s="103">
        <f>0</f>
        <v>0</v>
      </c>
      <c r="I341" s="103">
        <f>4.3*C341/1000</f>
        <v>0.129</v>
      </c>
      <c r="J341" s="103">
        <f>4*C341/1000</f>
        <v>0.12</v>
      </c>
      <c r="K341" s="103">
        <f>730*C341/1000</f>
        <v>21.9</v>
      </c>
      <c r="L341" s="103">
        <f>1250*C341/1000</f>
        <v>37.5</v>
      </c>
      <c r="M341" s="103">
        <f>28.3*C341/1000</f>
        <v>0.84899999999999998</v>
      </c>
    </row>
    <row r="342" spans="1:13" ht="18" customHeight="1">
      <c r="A342" s="99">
        <v>389</v>
      </c>
      <c r="B342" s="100" t="s">
        <v>68</v>
      </c>
      <c r="C342" s="101">
        <v>200</v>
      </c>
      <c r="D342" s="102">
        <f>5*C342/1000</f>
        <v>1</v>
      </c>
      <c r="E342" s="102">
        <f>0</f>
        <v>0</v>
      </c>
      <c r="F342" s="102">
        <f>101*C342/1000</f>
        <v>20.2</v>
      </c>
      <c r="G342" s="102">
        <f>424*C342/1000</f>
        <v>84.8</v>
      </c>
      <c r="H342" s="102">
        <f>0</f>
        <v>0</v>
      </c>
      <c r="I342" s="102">
        <f>0.1*C342/1000</f>
        <v>0.02</v>
      </c>
      <c r="J342" s="102">
        <f>20*C342/1000</f>
        <v>4</v>
      </c>
      <c r="K342" s="102">
        <f>70*C342/1000</f>
        <v>14</v>
      </c>
      <c r="L342" s="102">
        <f>70*C342/1000</f>
        <v>14</v>
      </c>
      <c r="M342" s="102">
        <f>14*C342/1000</f>
        <v>2.8</v>
      </c>
    </row>
    <row r="343" spans="1:13">
      <c r="A343" s="104">
        <v>338</v>
      </c>
      <c r="B343" s="100" t="s">
        <v>27</v>
      </c>
      <c r="C343" s="101">
        <v>100</v>
      </c>
      <c r="D343" s="102">
        <f>4*C343/1000</f>
        <v>0.4</v>
      </c>
      <c r="E343" s="102">
        <f>4*C343/1000</f>
        <v>0.4</v>
      </c>
      <c r="F343" s="102">
        <f>98*C343/1000</f>
        <v>9.8000000000000007</v>
      </c>
      <c r="G343" s="102">
        <f>470*C343/1000</f>
        <v>47</v>
      </c>
      <c r="H343" s="102">
        <f>0</f>
        <v>0</v>
      </c>
      <c r="I343" s="102">
        <f>0.3*C343/1000</f>
        <v>0.03</v>
      </c>
      <c r="J343" s="102">
        <f>100*C343/1000</f>
        <v>10</v>
      </c>
      <c r="K343" s="102">
        <f>160*C343/1000</f>
        <v>16</v>
      </c>
      <c r="L343" s="102">
        <f>110*C343/1000</f>
        <v>11</v>
      </c>
      <c r="M343" s="102">
        <f>22*C343/1000</f>
        <v>2.2000000000000002</v>
      </c>
    </row>
    <row r="344" spans="1:13">
      <c r="A344" s="127"/>
      <c r="B344" s="105" t="s">
        <v>28</v>
      </c>
      <c r="C344" s="106">
        <f>SUM(C336:C342)</f>
        <v>920</v>
      </c>
      <c r="D344" s="107">
        <f t="shared" ref="D344:M344" si="28">SUM(D336:D342)</f>
        <v>22.318000000000001</v>
      </c>
      <c r="E344" s="107">
        <f t="shared" si="28"/>
        <v>39.090000000000003</v>
      </c>
      <c r="F344" s="107">
        <f t="shared" si="28"/>
        <v>104.25</v>
      </c>
      <c r="G344" s="107">
        <f t="shared" si="28"/>
        <v>865.9</v>
      </c>
      <c r="H344" s="107">
        <f t="shared" si="28"/>
        <v>0</v>
      </c>
      <c r="I344" s="107">
        <f t="shared" si="28"/>
        <v>0.82799999999999996</v>
      </c>
      <c r="J344" s="107">
        <f t="shared" si="28"/>
        <v>20.98</v>
      </c>
      <c r="K344" s="107">
        <f t="shared" si="28"/>
        <v>147.30000000000001</v>
      </c>
      <c r="L344" s="107">
        <f t="shared" si="28"/>
        <v>352.78</v>
      </c>
      <c r="M344" s="107">
        <f t="shared" si="28"/>
        <v>9.2089999999999996</v>
      </c>
    </row>
    <row r="345" spans="1:13" ht="17.5">
      <c r="A345" s="127"/>
      <c r="B345" s="112" t="s">
        <v>36</v>
      </c>
      <c r="C345" s="128">
        <f t="shared" ref="C345:M345" si="29">C334+C344</f>
        <v>1430</v>
      </c>
      <c r="D345" s="114">
        <f t="shared" si="29"/>
        <v>53.912999999999997</v>
      </c>
      <c r="E345" s="114">
        <f t="shared" si="29"/>
        <v>63.064999999999998</v>
      </c>
      <c r="F345" s="114">
        <f t="shared" si="29"/>
        <v>189.08500000000001</v>
      </c>
      <c r="G345" s="114">
        <f t="shared" si="29"/>
        <v>1557.825</v>
      </c>
      <c r="H345" s="114">
        <f t="shared" si="29"/>
        <v>99.4</v>
      </c>
      <c r="I345" s="114">
        <f t="shared" si="29"/>
        <v>1.268</v>
      </c>
      <c r="J345" s="114">
        <f t="shared" si="29"/>
        <v>30.875</v>
      </c>
      <c r="K345" s="114">
        <f t="shared" si="29"/>
        <v>399.14499999999998</v>
      </c>
      <c r="L345" s="114">
        <f t="shared" si="29"/>
        <v>780.71500000000003</v>
      </c>
      <c r="M345" s="114">
        <f t="shared" si="29"/>
        <v>13.68</v>
      </c>
    </row>
    <row r="346" spans="1:13" ht="15.5">
      <c r="A346" s="115"/>
      <c r="B346" s="116" t="s">
        <v>37</v>
      </c>
      <c r="C346" s="117">
        <v>1200</v>
      </c>
      <c r="D346" s="118">
        <v>42.4</v>
      </c>
      <c r="E346" s="118">
        <v>43.5</v>
      </c>
      <c r="F346" s="118">
        <v>184.3</v>
      </c>
      <c r="G346" s="118">
        <v>1292.5</v>
      </c>
      <c r="H346" s="118">
        <v>385</v>
      </c>
      <c r="I346" s="118">
        <v>0.7</v>
      </c>
      <c r="J346" s="118">
        <v>33</v>
      </c>
      <c r="K346" s="118">
        <v>605</v>
      </c>
      <c r="L346" s="118">
        <v>605</v>
      </c>
      <c r="M346" s="118">
        <v>6.6</v>
      </c>
    </row>
    <row r="353" spans="1:13" ht="15" customHeight="1"/>
    <row r="356" spans="1:13">
      <c r="A356" s="134"/>
      <c r="B356" s="134"/>
      <c r="C356" s="134"/>
      <c r="D356" s="135"/>
      <c r="E356" s="135"/>
      <c r="F356" s="135"/>
      <c r="G356" s="136"/>
      <c r="H356" s="135"/>
      <c r="I356" s="135"/>
      <c r="J356" s="140" t="s">
        <v>81</v>
      </c>
      <c r="K356" s="140"/>
      <c r="L356" s="140"/>
      <c r="M356" s="140"/>
    </row>
    <row r="357" spans="1:13">
      <c r="A357" s="134"/>
      <c r="B357" s="134"/>
      <c r="C357" s="134"/>
      <c r="D357" s="135"/>
      <c r="E357" s="135"/>
      <c r="F357" s="135"/>
      <c r="G357" s="136"/>
      <c r="H357" s="135" t="s">
        <v>82</v>
      </c>
      <c r="I357" s="135"/>
      <c r="J357" s="140"/>
      <c r="K357" s="140"/>
      <c r="L357" s="140"/>
      <c r="M357" s="140"/>
    </row>
    <row r="358" spans="1:13">
      <c r="A358" s="134"/>
      <c r="B358" s="134"/>
      <c r="C358" s="134"/>
      <c r="D358" s="135"/>
      <c r="E358" s="135"/>
      <c r="F358" s="135"/>
      <c r="G358" s="136" t="s">
        <v>83</v>
      </c>
      <c r="H358" s="135"/>
      <c r="I358" s="135"/>
      <c r="J358" s="140"/>
      <c r="K358" s="140"/>
      <c r="L358" s="140"/>
      <c r="M358" s="140"/>
    </row>
    <row r="359" spans="1:13">
      <c r="A359" s="134"/>
      <c r="B359" s="134"/>
      <c r="C359" s="134"/>
      <c r="D359" s="135"/>
      <c r="E359" s="135"/>
      <c r="F359" s="135"/>
      <c r="G359" s="136"/>
      <c r="H359" s="135"/>
      <c r="I359" s="135"/>
      <c r="J359" s="140"/>
      <c r="K359" s="140"/>
      <c r="L359" s="140"/>
      <c r="M359" s="140"/>
    </row>
    <row r="360" spans="1:13">
      <c r="A360" s="134"/>
      <c r="B360" s="134"/>
      <c r="C360" s="134"/>
      <c r="D360" s="135"/>
      <c r="E360" s="135"/>
      <c r="F360" s="135"/>
      <c r="G360" s="164" t="s">
        <v>84</v>
      </c>
      <c r="H360" s="165"/>
      <c r="I360" s="165"/>
      <c r="J360" s="165"/>
      <c r="K360" s="140"/>
      <c r="L360" s="140"/>
      <c r="M360" s="140"/>
    </row>
    <row r="361" spans="1:13" ht="18.75" customHeight="1">
      <c r="A361" s="134"/>
      <c r="B361" s="134"/>
      <c r="C361" s="134"/>
      <c r="D361" s="135"/>
      <c r="E361" s="135"/>
      <c r="F361" s="135"/>
      <c r="G361" s="136"/>
      <c r="H361" s="135"/>
      <c r="I361" s="135"/>
      <c r="J361" s="140"/>
      <c r="K361" s="140"/>
      <c r="L361" s="140"/>
      <c r="M361" s="140"/>
    </row>
    <row r="362" spans="1:13">
      <c r="A362" s="134"/>
      <c r="B362" s="134"/>
      <c r="C362" s="134"/>
      <c r="D362" s="135"/>
      <c r="E362" s="135"/>
      <c r="F362" s="135"/>
      <c r="G362" s="136"/>
      <c r="H362" s="164" t="s">
        <v>178</v>
      </c>
      <c r="I362" s="165"/>
      <c r="J362" s="165"/>
      <c r="K362" s="140"/>
      <c r="L362" s="140"/>
      <c r="M362" s="140"/>
    </row>
    <row r="363" spans="1:13">
      <c r="A363" s="134"/>
      <c r="B363" s="134"/>
      <c r="C363" s="134"/>
      <c r="D363" s="135"/>
      <c r="E363" s="135"/>
      <c r="F363" s="135"/>
      <c r="G363" s="136"/>
      <c r="H363" s="135"/>
      <c r="I363" s="135"/>
      <c r="J363" s="140"/>
      <c r="K363" s="140"/>
      <c r="L363" s="140"/>
      <c r="M363" s="140"/>
    </row>
    <row r="364" spans="1:13" ht="18">
      <c r="A364" s="137"/>
      <c r="B364" s="141" t="s">
        <v>85</v>
      </c>
      <c r="C364" s="141"/>
      <c r="D364" s="141"/>
      <c r="E364" s="141"/>
      <c r="F364" s="141"/>
      <c r="G364" s="141"/>
      <c r="H364" s="141"/>
      <c r="I364" s="141"/>
      <c r="J364" s="141"/>
      <c r="K364" s="141"/>
      <c r="L364" s="141"/>
      <c r="M364" s="141"/>
    </row>
    <row r="365" spans="1:13" ht="18">
      <c r="A365" s="137"/>
      <c r="B365" s="141"/>
      <c r="C365" s="141"/>
      <c r="D365" s="141"/>
      <c r="E365" s="141"/>
      <c r="F365" s="141"/>
      <c r="G365" s="141"/>
      <c r="H365" s="141"/>
      <c r="I365" s="141"/>
      <c r="J365" s="141"/>
      <c r="K365" s="141"/>
      <c r="L365" s="141"/>
      <c r="M365" s="141"/>
    </row>
    <row r="366" spans="1:13" ht="18">
      <c r="A366" s="137"/>
      <c r="B366" s="141"/>
      <c r="C366" s="141"/>
      <c r="D366" s="141"/>
      <c r="E366" s="141"/>
      <c r="F366" s="141"/>
      <c r="G366" s="141"/>
      <c r="H366" s="141"/>
      <c r="I366" s="141"/>
      <c r="J366" s="141"/>
      <c r="K366" s="141"/>
      <c r="L366" s="141"/>
      <c r="M366" s="141"/>
    </row>
    <row r="367" spans="1:13" ht="18">
      <c r="A367" s="137"/>
      <c r="B367" s="141"/>
      <c r="C367" s="141"/>
      <c r="D367" s="141"/>
      <c r="E367" s="141"/>
      <c r="F367" s="141"/>
      <c r="G367" s="141"/>
      <c r="H367" s="141"/>
      <c r="I367" s="141"/>
      <c r="J367" s="141"/>
      <c r="K367" s="141"/>
      <c r="L367" s="141"/>
      <c r="M367" s="141"/>
    </row>
    <row r="368" spans="1:13" ht="18">
      <c r="A368" s="137"/>
      <c r="B368" s="141"/>
      <c r="C368" s="141"/>
      <c r="D368" s="141"/>
      <c r="E368" s="141"/>
      <c r="F368" s="141"/>
      <c r="G368" s="141"/>
      <c r="H368" s="141"/>
      <c r="I368" s="141"/>
      <c r="J368" s="141"/>
      <c r="K368" s="141"/>
      <c r="L368" s="141"/>
      <c r="M368" s="141"/>
    </row>
    <row r="369" spans="1:13" ht="18">
      <c r="A369" s="137"/>
      <c r="B369" s="141"/>
      <c r="C369" s="141"/>
      <c r="D369" s="141"/>
      <c r="E369" s="141"/>
      <c r="F369" s="141"/>
      <c r="G369" s="141"/>
      <c r="H369" s="141"/>
      <c r="I369" s="141"/>
      <c r="J369" s="141"/>
      <c r="K369" s="141"/>
      <c r="L369" s="141"/>
      <c r="M369" s="141"/>
    </row>
    <row r="370" spans="1:13" ht="18">
      <c r="A370" s="137"/>
      <c r="B370" s="141"/>
      <c r="C370" s="141"/>
      <c r="D370" s="141"/>
      <c r="E370" s="141"/>
      <c r="F370" s="141"/>
      <c r="G370" s="141"/>
      <c r="H370" s="141"/>
      <c r="I370" s="141"/>
      <c r="J370" s="141"/>
      <c r="K370" s="141"/>
      <c r="L370" s="141"/>
      <c r="M370" s="141"/>
    </row>
    <row r="371" spans="1:13" ht="18">
      <c r="A371" s="137"/>
      <c r="B371" s="141"/>
      <c r="C371" s="141"/>
      <c r="D371" s="141"/>
      <c r="E371" s="141"/>
      <c r="F371" s="141"/>
      <c r="G371" s="141"/>
      <c r="H371" s="141"/>
      <c r="I371" s="141"/>
      <c r="J371" s="141"/>
      <c r="K371" s="141"/>
      <c r="L371" s="141"/>
      <c r="M371" s="141"/>
    </row>
    <row r="372" spans="1:13" ht="18">
      <c r="A372" s="137"/>
      <c r="B372" s="141"/>
      <c r="C372" s="141"/>
      <c r="D372" s="141"/>
      <c r="E372" s="141"/>
      <c r="F372" s="141"/>
      <c r="G372" s="141"/>
      <c r="H372" s="141"/>
      <c r="I372" s="141"/>
      <c r="J372" s="141"/>
      <c r="K372" s="141"/>
      <c r="L372" s="141"/>
      <c r="M372" s="141"/>
    </row>
    <row r="373" spans="1:13" ht="18">
      <c r="A373" s="137"/>
      <c r="B373" s="141"/>
      <c r="C373" s="141"/>
      <c r="D373" s="141"/>
      <c r="E373" s="141"/>
      <c r="F373" s="141"/>
      <c r="G373" s="141"/>
      <c r="H373" s="141"/>
      <c r="I373" s="141"/>
      <c r="J373" s="141"/>
      <c r="K373" s="141"/>
      <c r="L373" s="141"/>
      <c r="M373" s="141"/>
    </row>
    <row r="374" spans="1:13" ht="18">
      <c r="A374" s="137"/>
      <c r="B374" s="141"/>
      <c r="C374" s="141"/>
      <c r="D374" s="141"/>
      <c r="E374" s="141"/>
      <c r="F374" s="141"/>
      <c r="G374" s="141"/>
      <c r="H374" s="141"/>
      <c r="I374" s="141"/>
      <c r="J374" s="141"/>
      <c r="K374" s="141"/>
      <c r="L374" s="141"/>
      <c r="M374" s="141"/>
    </row>
    <row r="375" spans="1:13" ht="18">
      <c r="A375" s="137"/>
      <c r="B375" s="137"/>
      <c r="C375" s="137"/>
      <c r="D375" s="138"/>
      <c r="E375" s="138"/>
      <c r="F375" s="138"/>
      <c r="G375" s="139"/>
      <c r="H375" s="138"/>
      <c r="I375" s="138"/>
      <c r="J375" s="138"/>
      <c r="K375" s="138"/>
      <c r="L375" s="138"/>
      <c r="M375" s="138"/>
    </row>
    <row r="376" spans="1:13" ht="18">
      <c r="A376" s="137"/>
      <c r="B376" s="137"/>
      <c r="C376" s="137"/>
      <c r="D376" s="138"/>
      <c r="E376" s="138"/>
      <c r="F376" s="138"/>
      <c r="G376" s="139"/>
      <c r="H376" s="138"/>
      <c r="I376" s="138"/>
      <c r="J376" s="138"/>
      <c r="K376" s="138"/>
      <c r="L376" s="138"/>
      <c r="M376" s="138"/>
    </row>
    <row r="377" spans="1:13" ht="18">
      <c r="A377" s="137"/>
      <c r="B377" s="137"/>
      <c r="C377" s="137"/>
      <c r="D377" s="166" t="s">
        <v>86</v>
      </c>
      <c r="E377" s="166"/>
      <c r="F377" s="166"/>
      <c r="G377" s="166"/>
      <c r="H377" s="166"/>
      <c r="I377" s="139"/>
      <c r="J377" s="139"/>
      <c r="K377" s="139"/>
      <c r="L377" s="139"/>
      <c r="M377" s="138"/>
    </row>
    <row r="378" spans="1:13" ht="18">
      <c r="A378" s="137"/>
      <c r="B378" s="137"/>
      <c r="C378" s="137"/>
      <c r="D378" s="138"/>
      <c r="E378" s="138"/>
      <c r="F378" s="138"/>
      <c r="G378" s="139"/>
      <c r="H378" s="138"/>
      <c r="I378" s="138"/>
      <c r="J378" s="138"/>
      <c r="K378" s="138"/>
      <c r="L378" s="138"/>
      <c r="M378" s="138"/>
    </row>
    <row r="379" spans="1:13" ht="18">
      <c r="A379" s="137"/>
      <c r="B379" s="137"/>
      <c r="C379" s="137"/>
      <c r="D379" s="138"/>
      <c r="E379" s="138"/>
      <c r="F379" s="138"/>
      <c r="G379" s="139"/>
      <c r="H379" s="138"/>
      <c r="I379" s="138"/>
      <c r="J379" s="138"/>
      <c r="K379" s="138"/>
      <c r="L379" s="138"/>
      <c r="M379" s="138"/>
    </row>
    <row r="380" spans="1:13" ht="18">
      <c r="A380" s="137"/>
      <c r="B380" s="137"/>
      <c r="C380" s="137"/>
      <c r="D380" s="138"/>
      <c r="E380" s="138"/>
      <c r="F380" s="138"/>
      <c r="G380" s="139"/>
      <c r="H380" s="138"/>
      <c r="I380" s="138"/>
      <c r="J380" s="138"/>
      <c r="K380" s="138"/>
      <c r="L380" s="138"/>
      <c r="M380" s="138"/>
    </row>
  </sheetData>
  <mergeCells count="114">
    <mergeCell ref="A1:B1"/>
    <mergeCell ref="A2:B2"/>
    <mergeCell ref="A3:B3"/>
    <mergeCell ref="D4:F4"/>
    <mergeCell ref="D5:F5"/>
    <mergeCell ref="A37:B37"/>
    <mergeCell ref="A38:B38"/>
    <mergeCell ref="A39:B39"/>
    <mergeCell ref="D40:F40"/>
    <mergeCell ref="D41:F41"/>
    <mergeCell ref="A74:B74"/>
    <mergeCell ref="A75:B75"/>
    <mergeCell ref="A76:B76"/>
    <mergeCell ref="D77:F77"/>
    <mergeCell ref="D78:F78"/>
    <mergeCell ref="A111:B111"/>
    <mergeCell ref="A112:B112"/>
    <mergeCell ref="A113:B113"/>
    <mergeCell ref="D114:F114"/>
    <mergeCell ref="D115:F115"/>
    <mergeCell ref="A148:B148"/>
    <mergeCell ref="A149:B149"/>
    <mergeCell ref="A150:B150"/>
    <mergeCell ref="D151:F151"/>
    <mergeCell ref="D152:F152"/>
    <mergeCell ref="A185:B185"/>
    <mergeCell ref="A186:B186"/>
    <mergeCell ref="A290:B290"/>
    <mergeCell ref="D291:F291"/>
    <mergeCell ref="D292:F292"/>
    <mergeCell ref="B257:B259"/>
    <mergeCell ref="B291:B293"/>
    <mergeCell ref="A187:B187"/>
    <mergeCell ref="D188:F188"/>
    <mergeCell ref="D189:F189"/>
    <mergeCell ref="A221:B221"/>
    <mergeCell ref="A222:B222"/>
    <mergeCell ref="A223:B223"/>
    <mergeCell ref="D224:F224"/>
    <mergeCell ref="D225:F225"/>
    <mergeCell ref="A254:B254"/>
    <mergeCell ref="B224:B226"/>
    <mergeCell ref="G360:J360"/>
    <mergeCell ref="H362:J362"/>
    <mergeCell ref="D377:H377"/>
    <mergeCell ref="A4:A6"/>
    <mergeCell ref="A40:A42"/>
    <mergeCell ref="A77:A79"/>
    <mergeCell ref="A114:A116"/>
    <mergeCell ref="A151:A153"/>
    <mergeCell ref="A188:A190"/>
    <mergeCell ref="A224:A226"/>
    <mergeCell ref="A257:A259"/>
    <mergeCell ref="A291:A293"/>
    <mergeCell ref="A324:A326"/>
    <mergeCell ref="B4:B6"/>
    <mergeCell ref="B40:B42"/>
    <mergeCell ref="B77:B79"/>
    <mergeCell ref="B114:B116"/>
    <mergeCell ref="B151:B153"/>
    <mergeCell ref="B188:B190"/>
    <mergeCell ref="A255:B255"/>
    <mergeCell ref="A256:B256"/>
    <mergeCell ref="D257:F257"/>
    <mergeCell ref="D258:F258"/>
    <mergeCell ref="A288:B288"/>
    <mergeCell ref="G77:G79"/>
    <mergeCell ref="G114:G116"/>
    <mergeCell ref="G151:G153"/>
    <mergeCell ref="G188:G190"/>
    <mergeCell ref="G224:G226"/>
    <mergeCell ref="G257:G259"/>
    <mergeCell ref="G291:G293"/>
    <mergeCell ref="B324:B326"/>
    <mergeCell ref="C4:C6"/>
    <mergeCell ref="C40:C42"/>
    <mergeCell ref="C77:C79"/>
    <mergeCell ref="C114:C116"/>
    <mergeCell ref="C151:C153"/>
    <mergeCell ref="C188:C190"/>
    <mergeCell ref="C224:C226"/>
    <mergeCell ref="C257:C259"/>
    <mergeCell ref="C291:C293"/>
    <mergeCell ref="C324:C326"/>
    <mergeCell ref="A321:B321"/>
    <mergeCell ref="A322:B322"/>
    <mergeCell ref="A323:B323"/>
    <mergeCell ref="D324:F324"/>
    <mergeCell ref="D325:F325"/>
    <mergeCell ref="A289:B289"/>
    <mergeCell ref="B364:M374"/>
    <mergeCell ref="H324:J325"/>
    <mergeCell ref="K324:M325"/>
    <mergeCell ref="G324:G326"/>
    <mergeCell ref="H4:J5"/>
    <mergeCell ref="K4:M5"/>
    <mergeCell ref="H40:J41"/>
    <mergeCell ref="K40:M41"/>
    <mergeCell ref="H77:J78"/>
    <mergeCell ref="K77:M78"/>
    <mergeCell ref="H151:J152"/>
    <mergeCell ref="K151:M152"/>
    <mergeCell ref="H114:J115"/>
    <mergeCell ref="K114:M115"/>
    <mergeCell ref="H224:J225"/>
    <mergeCell ref="K224:M225"/>
    <mergeCell ref="H188:J189"/>
    <mergeCell ref="K188:M189"/>
    <mergeCell ref="H291:J292"/>
    <mergeCell ref="K291:M292"/>
    <mergeCell ref="H257:J258"/>
    <mergeCell ref="K257:M258"/>
    <mergeCell ref="G4:G6"/>
    <mergeCell ref="G40:G42"/>
  </mergeCells>
  <pageMargins left="0" right="0" top="0" bottom="0" header="0.31496062992126" footer="0.31496062992126"/>
  <pageSetup paperSize="9" orientation="landscape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1"/>
  <sheetViews>
    <sheetView workbookViewId="0"/>
  </sheetViews>
  <sheetFormatPr defaultRowHeight="14.5"/>
  <sheetData>
    <row r="1" spans="1:45" ht="71.5">
      <c r="A1" s="37" t="s">
        <v>3</v>
      </c>
      <c r="B1" s="38" t="s">
        <v>87</v>
      </c>
      <c r="C1" s="39" t="s">
        <v>88</v>
      </c>
      <c r="D1" s="40" t="s">
        <v>89</v>
      </c>
      <c r="E1" s="41" t="s">
        <v>90</v>
      </c>
      <c r="F1" s="41" t="s">
        <v>91</v>
      </c>
      <c r="G1" s="41" t="s">
        <v>92</v>
      </c>
      <c r="H1" s="42" t="s">
        <v>93</v>
      </c>
      <c r="I1" s="40" t="s">
        <v>89</v>
      </c>
      <c r="J1" s="41" t="s">
        <v>90</v>
      </c>
      <c r="K1" s="41" t="s">
        <v>91</v>
      </c>
      <c r="L1" s="41" t="s">
        <v>92</v>
      </c>
      <c r="M1" s="42" t="s">
        <v>93</v>
      </c>
      <c r="N1" s="77" t="s">
        <v>94</v>
      </c>
      <c r="P1" s="78"/>
      <c r="Q1" s="85" t="s">
        <v>95</v>
      </c>
      <c r="R1" s="86" t="s">
        <v>96</v>
      </c>
      <c r="S1" s="86" t="s">
        <v>97</v>
      </c>
      <c r="T1" s="86" t="s">
        <v>35</v>
      </c>
      <c r="U1" s="86" t="s">
        <v>98</v>
      </c>
      <c r="V1" s="86" t="s">
        <v>99</v>
      </c>
      <c r="W1" s="86" t="s">
        <v>100</v>
      </c>
      <c r="X1" s="86" t="s">
        <v>101</v>
      </c>
      <c r="Y1" s="86" t="s">
        <v>102</v>
      </c>
      <c r="Z1" s="86" t="s">
        <v>103</v>
      </c>
      <c r="AA1" s="86" t="s">
        <v>104</v>
      </c>
      <c r="AB1" s="86" t="s">
        <v>105</v>
      </c>
      <c r="AC1" s="86" t="s">
        <v>106</v>
      </c>
      <c r="AD1" s="86" t="s">
        <v>107</v>
      </c>
      <c r="AE1" s="86" t="s">
        <v>108</v>
      </c>
      <c r="AF1" s="86" t="s">
        <v>109</v>
      </c>
      <c r="AG1" s="86" t="s">
        <v>110</v>
      </c>
      <c r="AH1" s="86" t="s">
        <v>111</v>
      </c>
      <c r="AI1" s="86" t="s">
        <v>112</v>
      </c>
      <c r="AJ1" s="86" t="s">
        <v>113</v>
      </c>
      <c r="AK1" s="86" t="s">
        <v>114</v>
      </c>
      <c r="AL1" s="86" t="s">
        <v>115</v>
      </c>
      <c r="AM1" s="86" t="s">
        <v>116</v>
      </c>
      <c r="AN1" s="86" t="s">
        <v>117</v>
      </c>
      <c r="AO1" s="86" t="s">
        <v>118</v>
      </c>
      <c r="AP1" s="86" t="s">
        <v>119</v>
      </c>
      <c r="AQ1" s="86" t="s">
        <v>120</v>
      </c>
      <c r="AR1" s="92" t="s">
        <v>26</v>
      </c>
      <c r="AS1" s="92" t="s">
        <v>121</v>
      </c>
    </row>
    <row r="2" spans="1:45">
      <c r="A2" s="43">
        <v>173</v>
      </c>
      <c r="B2" s="44" t="s">
        <v>40</v>
      </c>
      <c r="C2" s="45">
        <v>200</v>
      </c>
      <c r="D2" s="46"/>
      <c r="E2" s="47"/>
      <c r="F2" s="47"/>
      <c r="G2" s="47"/>
      <c r="H2" s="48"/>
      <c r="I2" s="79">
        <v>1</v>
      </c>
      <c r="J2" s="47"/>
      <c r="K2" s="47"/>
      <c r="L2" s="47"/>
      <c r="M2" s="48"/>
      <c r="N2" s="80">
        <f t="shared" ref="N2:N49" si="0">SUM(D2:M2)</f>
        <v>1</v>
      </c>
      <c r="P2" s="44" t="s">
        <v>40</v>
      </c>
      <c r="Q2" s="87">
        <f>100*N2</f>
        <v>100</v>
      </c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>
        <f>50*N2</f>
        <v>50</v>
      </c>
      <c r="AG2" s="88"/>
      <c r="AH2" s="88"/>
      <c r="AI2" s="88"/>
      <c r="AJ2" s="88"/>
      <c r="AK2" s="88"/>
      <c r="AL2" s="88"/>
      <c r="AM2" s="88"/>
      <c r="AN2" s="88"/>
      <c r="AO2" s="89">
        <f>16*N2</f>
        <v>16</v>
      </c>
      <c r="AP2" s="89">
        <f>0.6*N2</f>
        <v>0.6</v>
      </c>
      <c r="AQ2" s="88"/>
      <c r="AR2" s="93"/>
      <c r="AS2" s="93"/>
    </row>
    <row r="3" spans="1:45">
      <c r="A3" s="49">
        <v>376</v>
      </c>
      <c r="B3" s="50" t="s">
        <v>41</v>
      </c>
      <c r="C3" s="51">
        <v>200</v>
      </c>
      <c r="D3" s="52"/>
      <c r="E3" s="53">
        <v>1</v>
      </c>
      <c r="F3" s="54"/>
      <c r="G3" s="54"/>
      <c r="H3" s="55"/>
      <c r="I3" s="52"/>
      <c r="J3" s="53">
        <v>1</v>
      </c>
      <c r="K3" s="54"/>
      <c r="L3" s="54"/>
      <c r="M3" s="57">
        <v>1</v>
      </c>
      <c r="N3" s="80">
        <f t="shared" si="0"/>
        <v>3</v>
      </c>
      <c r="P3" s="50" t="s">
        <v>41</v>
      </c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>
        <f>0.5*N3</f>
        <v>1.5</v>
      </c>
      <c r="AM3" s="89"/>
      <c r="AN3" s="89"/>
      <c r="AO3" s="89">
        <f>15*N3</f>
        <v>45</v>
      </c>
      <c r="AP3" s="89"/>
      <c r="AQ3" s="89"/>
      <c r="AR3" s="89"/>
      <c r="AS3" s="89"/>
    </row>
    <row r="4" spans="1:45">
      <c r="A4" s="49">
        <v>382</v>
      </c>
      <c r="B4" s="50" t="s">
        <v>57</v>
      </c>
      <c r="C4" s="51">
        <v>200</v>
      </c>
      <c r="D4" s="56">
        <v>1</v>
      </c>
      <c r="E4" s="54"/>
      <c r="F4" s="54"/>
      <c r="G4" s="53">
        <v>1</v>
      </c>
      <c r="H4" s="57">
        <v>1</v>
      </c>
      <c r="I4" s="52"/>
      <c r="J4" s="54"/>
      <c r="K4" s="53">
        <v>1</v>
      </c>
      <c r="L4" s="53">
        <v>1</v>
      </c>
      <c r="M4" s="55"/>
      <c r="N4" s="80">
        <f t="shared" si="0"/>
        <v>5</v>
      </c>
      <c r="P4" s="50" t="s">
        <v>57</v>
      </c>
      <c r="Q4" s="89">
        <f>100*N4</f>
        <v>500</v>
      </c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>
        <f>4*N4</f>
        <v>20</v>
      </c>
      <c r="AN4" s="89"/>
      <c r="AO4" s="89">
        <f>20*N4</f>
        <v>100</v>
      </c>
      <c r="AP4" s="89"/>
      <c r="AQ4" s="89"/>
      <c r="AR4" s="89"/>
      <c r="AS4" s="89"/>
    </row>
    <row r="5" spans="1:45">
      <c r="A5" s="49">
        <v>379</v>
      </c>
      <c r="B5" s="50" t="s">
        <v>122</v>
      </c>
      <c r="C5" s="51">
        <v>200</v>
      </c>
      <c r="D5" s="52"/>
      <c r="E5" s="54"/>
      <c r="F5" s="53">
        <v>1</v>
      </c>
      <c r="G5" s="54"/>
      <c r="H5" s="55"/>
      <c r="I5" s="56">
        <v>1</v>
      </c>
      <c r="J5" s="53">
        <v>1</v>
      </c>
      <c r="K5" s="53">
        <v>1</v>
      </c>
      <c r="L5" s="54"/>
      <c r="M5" s="57">
        <v>1</v>
      </c>
      <c r="N5" s="80">
        <f t="shared" si="0"/>
        <v>5</v>
      </c>
      <c r="P5" s="50" t="s">
        <v>122</v>
      </c>
      <c r="Q5" s="89">
        <f>100*N5</f>
        <v>500</v>
      </c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>
        <f>5*N5</f>
        <v>25</v>
      </c>
      <c r="AO5" s="89">
        <f>20*N5</f>
        <v>100</v>
      </c>
      <c r="AP5" s="89"/>
      <c r="AQ5" s="89"/>
      <c r="AR5" s="89"/>
      <c r="AS5" s="89"/>
    </row>
    <row r="6" spans="1:45">
      <c r="A6" s="49"/>
      <c r="B6" s="50" t="s">
        <v>123</v>
      </c>
      <c r="C6" s="51">
        <v>150</v>
      </c>
      <c r="D6" s="56">
        <v>1</v>
      </c>
      <c r="E6" s="54"/>
      <c r="F6" s="54"/>
      <c r="G6" s="54"/>
      <c r="H6" s="57">
        <v>1</v>
      </c>
      <c r="I6" s="52"/>
      <c r="J6" s="54"/>
      <c r="K6" s="54"/>
      <c r="L6" s="54"/>
      <c r="M6" s="55"/>
      <c r="N6" s="80">
        <f t="shared" si="0"/>
        <v>2</v>
      </c>
      <c r="P6" s="50" t="s">
        <v>123</v>
      </c>
      <c r="Q6" s="89">
        <f>200*N6</f>
        <v>400</v>
      </c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</row>
    <row r="7" spans="1:45">
      <c r="A7" s="49">
        <v>389</v>
      </c>
      <c r="B7" s="50" t="s">
        <v>124</v>
      </c>
      <c r="C7" s="51">
        <v>200</v>
      </c>
      <c r="D7" s="52"/>
      <c r="E7" s="54"/>
      <c r="F7" s="54"/>
      <c r="G7" s="54"/>
      <c r="H7" s="57">
        <v>1</v>
      </c>
      <c r="I7" s="56">
        <v>1</v>
      </c>
      <c r="J7" s="53">
        <v>1</v>
      </c>
      <c r="K7" s="54"/>
      <c r="L7" s="53">
        <v>1</v>
      </c>
      <c r="M7" s="55"/>
      <c r="N7" s="80">
        <f t="shared" si="0"/>
        <v>4</v>
      </c>
      <c r="P7" s="50" t="s">
        <v>124</v>
      </c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>
        <f>200*N7</f>
        <v>800</v>
      </c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</row>
    <row r="8" spans="1:45">
      <c r="A8" s="49">
        <v>349</v>
      </c>
      <c r="B8" s="50" t="s">
        <v>125</v>
      </c>
      <c r="C8" s="51">
        <v>200</v>
      </c>
      <c r="D8" s="52"/>
      <c r="E8" s="54"/>
      <c r="F8" s="53">
        <v>1</v>
      </c>
      <c r="G8" s="54"/>
      <c r="H8" s="55"/>
      <c r="I8" s="52"/>
      <c r="J8" s="54"/>
      <c r="K8" s="54"/>
      <c r="L8" s="54"/>
      <c r="M8" s="55"/>
      <c r="N8" s="80">
        <f t="shared" si="0"/>
        <v>1</v>
      </c>
      <c r="P8" s="50" t="s">
        <v>125</v>
      </c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>
        <f>50*N8</f>
        <v>50</v>
      </c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>
        <f>20*N8</f>
        <v>20</v>
      </c>
      <c r="AP8" s="89"/>
      <c r="AQ8" s="89"/>
      <c r="AR8" s="89"/>
      <c r="AS8" s="89"/>
    </row>
    <row r="9" spans="1:45">
      <c r="A9" s="49">
        <v>342</v>
      </c>
      <c r="B9" s="50" t="s">
        <v>126</v>
      </c>
      <c r="C9" s="51">
        <v>200</v>
      </c>
      <c r="D9" s="56">
        <v>1</v>
      </c>
      <c r="E9" s="54"/>
      <c r="F9" s="54"/>
      <c r="G9" s="53">
        <v>1</v>
      </c>
      <c r="H9" s="55"/>
      <c r="I9" s="52"/>
      <c r="J9" s="54"/>
      <c r="K9" s="54"/>
      <c r="L9" s="54"/>
      <c r="M9" s="55"/>
      <c r="N9" s="80">
        <f t="shared" si="0"/>
        <v>2</v>
      </c>
      <c r="P9" s="50" t="s">
        <v>126</v>
      </c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>
        <f>40*N9</f>
        <v>80</v>
      </c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>
        <f>24*N9</f>
        <v>48</v>
      </c>
      <c r="AP9" s="89"/>
      <c r="AQ9" s="89"/>
      <c r="AR9" s="89"/>
      <c r="AS9" s="89"/>
    </row>
    <row r="10" spans="1:45">
      <c r="A10" s="49">
        <v>359</v>
      </c>
      <c r="B10" s="50" t="s">
        <v>127</v>
      </c>
      <c r="C10" s="51">
        <v>200</v>
      </c>
      <c r="D10" s="52"/>
      <c r="E10" s="53">
        <v>1</v>
      </c>
      <c r="F10" s="54"/>
      <c r="G10" s="54"/>
      <c r="H10" s="55"/>
      <c r="I10" s="56">
        <v>1</v>
      </c>
      <c r="J10" s="54"/>
      <c r="K10" s="54"/>
      <c r="L10" s="54"/>
      <c r="M10" s="55"/>
      <c r="N10" s="80">
        <f t="shared" si="0"/>
        <v>2</v>
      </c>
      <c r="P10" s="50" t="s">
        <v>127</v>
      </c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>
        <f>60*N10</f>
        <v>120</v>
      </c>
      <c r="AF10" s="89"/>
      <c r="AG10" s="89"/>
      <c r="AH10" s="89"/>
      <c r="AI10" s="89"/>
      <c r="AJ10" s="89">
        <f>10*N10</f>
        <v>20</v>
      </c>
      <c r="AK10" s="89"/>
      <c r="AL10" s="89"/>
      <c r="AM10" s="89"/>
      <c r="AN10" s="89"/>
      <c r="AO10" s="89">
        <f>20*N10</f>
        <v>40</v>
      </c>
      <c r="AP10" s="89"/>
      <c r="AQ10" s="89"/>
      <c r="AR10" s="89"/>
      <c r="AS10" s="89"/>
    </row>
    <row r="11" spans="1:45">
      <c r="A11" s="49"/>
      <c r="B11" s="50" t="s">
        <v>120</v>
      </c>
      <c r="C11" s="51">
        <v>30</v>
      </c>
      <c r="D11" s="56">
        <v>2</v>
      </c>
      <c r="E11" s="53">
        <v>2</v>
      </c>
      <c r="F11" s="53">
        <v>2</v>
      </c>
      <c r="G11" s="53">
        <v>2</v>
      </c>
      <c r="H11" s="57">
        <v>2</v>
      </c>
      <c r="I11" s="56">
        <v>2</v>
      </c>
      <c r="J11" s="53">
        <v>2</v>
      </c>
      <c r="K11" s="53">
        <v>2</v>
      </c>
      <c r="L11" s="53">
        <v>2</v>
      </c>
      <c r="M11" s="57">
        <v>2</v>
      </c>
      <c r="N11" s="80">
        <f t="shared" si="0"/>
        <v>20</v>
      </c>
      <c r="P11" s="50" t="s">
        <v>120</v>
      </c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>
        <f>30*N11</f>
        <v>600</v>
      </c>
      <c r="AR11" s="89"/>
      <c r="AS11" s="89"/>
    </row>
    <row r="12" spans="1:45">
      <c r="A12" s="49"/>
      <c r="B12" s="50" t="s">
        <v>26</v>
      </c>
      <c r="C12" s="51">
        <v>20</v>
      </c>
      <c r="D12" s="56">
        <v>2</v>
      </c>
      <c r="E12" s="53">
        <v>1</v>
      </c>
      <c r="F12" s="53">
        <v>2</v>
      </c>
      <c r="G12" s="53">
        <v>2</v>
      </c>
      <c r="H12" s="57">
        <v>2</v>
      </c>
      <c r="I12" s="56">
        <v>2</v>
      </c>
      <c r="J12" s="53">
        <v>1</v>
      </c>
      <c r="K12" s="53">
        <v>2</v>
      </c>
      <c r="L12" s="53">
        <v>2</v>
      </c>
      <c r="M12" s="57">
        <v>2</v>
      </c>
      <c r="N12" s="80">
        <f t="shared" si="0"/>
        <v>18</v>
      </c>
      <c r="P12" s="50" t="s">
        <v>26</v>
      </c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>
        <f>20*N12</f>
        <v>360</v>
      </c>
      <c r="AS12" s="89"/>
    </row>
    <row r="13" spans="1:45">
      <c r="A13" s="49">
        <v>14</v>
      </c>
      <c r="B13" s="50" t="s">
        <v>128</v>
      </c>
      <c r="C13" s="51">
        <v>5</v>
      </c>
      <c r="D13" s="52"/>
      <c r="E13" s="54"/>
      <c r="F13" s="54"/>
      <c r="G13" s="53">
        <v>1</v>
      </c>
      <c r="H13" s="57">
        <v>1</v>
      </c>
      <c r="I13" s="52"/>
      <c r="J13" s="54"/>
      <c r="K13" s="53">
        <v>2</v>
      </c>
      <c r="L13" s="54"/>
      <c r="M13" s="55"/>
      <c r="N13" s="80">
        <f t="shared" si="0"/>
        <v>4</v>
      </c>
      <c r="P13" s="50" t="s">
        <v>128</v>
      </c>
      <c r="Q13" s="89"/>
      <c r="R13" s="89"/>
      <c r="S13" s="89"/>
      <c r="T13" s="89"/>
      <c r="U13" s="89">
        <f>5*N13</f>
        <v>20</v>
      </c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</row>
    <row r="14" spans="1:45">
      <c r="A14" s="49">
        <v>14</v>
      </c>
      <c r="B14" s="50" t="s">
        <v>128</v>
      </c>
      <c r="C14" s="51">
        <v>10</v>
      </c>
      <c r="D14" s="56">
        <v>1</v>
      </c>
      <c r="E14" s="53">
        <v>1</v>
      </c>
      <c r="F14" s="54"/>
      <c r="G14" s="54"/>
      <c r="H14" s="55"/>
      <c r="I14" s="56">
        <v>1</v>
      </c>
      <c r="J14" s="53">
        <v>1</v>
      </c>
      <c r="K14" s="53">
        <v>1</v>
      </c>
      <c r="L14" s="54"/>
      <c r="M14" s="57">
        <v>1</v>
      </c>
      <c r="N14" s="80">
        <f t="shared" si="0"/>
        <v>6</v>
      </c>
      <c r="P14" s="50" t="s">
        <v>128</v>
      </c>
      <c r="Q14" s="89"/>
      <c r="R14" s="89"/>
      <c r="S14" s="89"/>
      <c r="T14" s="89"/>
      <c r="U14" s="89">
        <f>10*N14</f>
        <v>60</v>
      </c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</row>
    <row r="15" spans="1:45">
      <c r="A15" s="49">
        <v>15</v>
      </c>
      <c r="B15" s="50" t="s">
        <v>35</v>
      </c>
      <c r="C15" s="51">
        <v>10</v>
      </c>
      <c r="D15" s="52"/>
      <c r="E15" s="54"/>
      <c r="F15" s="54"/>
      <c r="G15" s="53">
        <v>1</v>
      </c>
      <c r="H15" s="57">
        <v>1</v>
      </c>
      <c r="I15" s="52"/>
      <c r="J15" s="54"/>
      <c r="K15" s="54"/>
      <c r="L15" s="54"/>
      <c r="M15" s="57">
        <v>1</v>
      </c>
      <c r="N15" s="80">
        <f t="shared" si="0"/>
        <v>3</v>
      </c>
      <c r="P15" s="50" t="s">
        <v>35</v>
      </c>
      <c r="Q15" s="89"/>
      <c r="R15" s="89"/>
      <c r="S15" s="89"/>
      <c r="T15" s="89">
        <f>10*N15</f>
        <v>30</v>
      </c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</row>
    <row r="16" spans="1:45">
      <c r="A16" s="49">
        <v>208</v>
      </c>
      <c r="B16" s="50" t="s">
        <v>48</v>
      </c>
      <c r="C16" s="51">
        <v>40</v>
      </c>
      <c r="D16" s="52"/>
      <c r="E16" s="54"/>
      <c r="F16" s="54"/>
      <c r="G16" s="54"/>
      <c r="H16" s="55"/>
      <c r="I16" s="52"/>
      <c r="J16" s="54"/>
      <c r="K16" s="54"/>
      <c r="L16" s="53">
        <v>1</v>
      </c>
      <c r="M16" s="55"/>
      <c r="N16" s="80">
        <f t="shared" si="0"/>
        <v>1</v>
      </c>
      <c r="P16" s="50" t="s">
        <v>129</v>
      </c>
      <c r="Q16" s="89"/>
      <c r="R16" s="89"/>
      <c r="S16" s="89"/>
      <c r="T16" s="89"/>
      <c r="U16" s="89"/>
      <c r="V16" s="89">
        <f>40*N16</f>
        <v>40</v>
      </c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</row>
    <row r="17" spans="1:45">
      <c r="A17" s="49">
        <v>338</v>
      </c>
      <c r="B17" s="50" t="s">
        <v>130</v>
      </c>
      <c r="C17" s="51">
        <v>100</v>
      </c>
      <c r="D17" s="52"/>
      <c r="E17" s="54"/>
      <c r="F17" s="53">
        <v>1</v>
      </c>
      <c r="G17" s="53">
        <v>1</v>
      </c>
      <c r="H17" s="55"/>
      <c r="I17" s="52"/>
      <c r="J17" s="54"/>
      <c r="K17" s="53">
        <v>1</v>
      </c>
      <c r="L17" s="54"/>
      <c r="M17" s="57">
        <v>1</v>
      </c>
      <c r="N17" s="80">
        <f t="shared" si="0"/>
        <v>4</v>
      </c>
      <c r="P17" s="50" t="s">
        <v>130</v>
      </c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>
        <f>100*N17</f>
        <v>400</v>
      </c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</row>
    <row r="18" spans="1:45">
      <c r="A18" s="49">
        <v>338</v>
      </c>
      <c r="B18" s="50" t="s">
        <v>130</v>
      </c>
      <c r="C18" s="51">
        <v>150</v>
      </c>
      <c r="D18" s="56">
        <v>1</v>
      </c>
      <c r="E18" s="53">
        <v>1</v>
      </c>
      <c r="F18" s="54"/>
      <c r="G18" s="54"/>
      <c r="H18" s="55"/>
      <c r="I18" s="52"/>
      <c r="J18" s="53">
        <v>1</v>
      </c>
      <c r="K18" s="54"/>
      <c r="L18" s="54"/>
      <c r="M18" s="55"/>
      <c r="N18" s="80">
        <f t="shared" si="0"/>
        <v>3</v>
      </c>
      <c r="P18" s="50" t="s">
        <v>130</v>
      </c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>
        <f>150*N18</f>
        <v>450</v>
      </c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</row>
    <row r="19" spans="1:45">
      <c r="A19" s="49"/>
      <c r="B19" s="50" t="s">
        <v>121</v>
      </c>
      <c r="C19" s="51">
        <v>50</v>
      </c>
      <c r="D19" s="52"/>
      <c r="E19" s="54"/>
      <c r="F19" s="54"/>
      <c r="G19" s="54"/>
      <c r="H19" s="55"/>
      <c r="I19" s="52"/>
      <c r="J19" s="54"/>
      <c r="K19" s="53">
        <v>1</v>
      </c>
      <c r="L19" s="54"/>
      <c r="M19" s="55"/>
      <c r="N19" s="80">
        <f t="shared" si="0"/>
        <v>1</v>
      </c>
      <c r="P19" s="50" t="s">
        <v>121</v>
      </c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>
        <f>50*N19</f>
        <v>50</v>
      </c>
    </row>
    <row r="20" spans="1:45">
      <c r="A20" s="49">
        <v>71</v>
      </c>
      <c r="B20" s="50" t="s">
        <v>131</v>
      </c>
      <c r="C20" s="51">
        <v>100</v>
      </c>
      <c r="D20" s="56">
        <v>1</v>
      </c>
      <c r="E20" s="54"/>
      <c r="F20" s="54"/>
      <c r="G20" s="54"/>
      <c r="H20" s="57">
        <v>1</v>
      </c>
      <c r="I20" s="52"/>
      <c r="J20" s="53">
        <v>1</v>
      </c>
      <c r="K20" s="54"/>
      <c r="L20" s="54"/>
      <c r="M20" s="55"/>
      <c r="N20" s="80">
        <f t="shared" si="0"/>
        <v>3</v>
      </c>
      <c r="P20" s="50" t="s">
        <v>131</v>
      </c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>
        <f>100*N20</f>
        <v>300</v>
      </c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</row>
    <row r="21" spans="1:45">
      <c r="A21" s="49">
        <v>71</v>
      </c>
      <c r="B21" s="50" t="s">
        <v>132</v>
      </c>
      <c r="C21" s="51">
        <v>100</v>
      </c>
      <c r="D21" s="52"/>
      <c r="E21" s="54"/>
      <c r="F21" s="53">
        <v>1</v>
      </c>
      <c r="G21" s="54"/>
      <c r="H21" s="55"/>
      <c r="I21" s="56">
        <v>1</v>
      </c>
      <c r="J21" s="54"/>
      <c r="K21" s="53">
        <v>1</v>
      </c>
      <c r="L21" s="54"/>
      <c r="M21" s="57">
        <v>1</v>
      </c>
      <c r="N21" s="80">
        <f t="shared" si="0"/>
        <v>4</v>
      </c>
      <c r="P21" s="50" t="s">
        <v>132</v>
      </c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>
        <f>100*N21</f>
        <v>400</v>
      </c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</row>
    <row r="22" spans="1:45">
      <c r="A22" s="49">
        <v>45</v>
      </c>
      <c r="B22" s="50" t="s">
        <v>133</v>
      </c>
      <c r="C22" s="51">
        <v>100</v>
      </c>
      <c r="D22" s="52"/>
      <c r="E22" s="53">
        <v>1</v>
      </c>
      <c r="F22" s="54"/>
      <c r="G22" s="54"/>
      <c r="H22" s="57">
        <v>1</v>
      </c>
      <c r="I22" s="52"/>
      <c r="J22" s="54"/>
      <c r="K22" s="53">
        <v>1</v>
      </c>
      <c r="L22" s="54"/>
      <c r="M22" s="55"/>
      <c r="N22" s="80">
        <f t="shared" si="0"/>
        <v>3</v>
      </c>
      <c r="P22" s="50" t="s">
        <v>133</v>
      </c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>
        <f>89*N22</f>
        <v>267</v>
      </c>
      <c r="AC22" s="90"/>
      <c r="AD22" s="90"/>
      <c r="AE22" s="90"/>
      <c r="AF22" s="90"/>
      <c r="AG22" s="90"/>
      <c r="AH22" s="90"/>
      <c r="AI22" s="90"/>
      <c r="AJ22" s="90"/>
      <c r="AK22" s="90">
        <f>5*N22</f>
        <v>15</v>
      </c>
      <c r="AL22" s="90"/>
      <c r="AM22" s="90"/>
      <c r="AN22" s="90"/>
      <c r="AO22" s="90">
        <f>5*N22</f>
        <v>15</v>
      </c>
      <c r="AP22" s="90">
        <f>1.5*N22</f>
        <v>4.5</v>
      </c>
      <c r="AQ22" s="90"/>
      <c r="AR22" s="90"/>
      <c r="AS22" s="90"/>
    </row>
    <row r="23" spans="1:45">
      <c r="A23" s="49">
        <v>62</v>
      </c>
      <c r="B23" s="50" t="s">
        <v>134</v>
      </c>
      <c r="C23" s="51">
        <v>100</v>
      </c>
      <c r="D23" s="52"/>
      <c r="E23" s="54"/>
      <c r="F23" s="54"/>
      <c r="G23" s="53">
        <v>1</v>
      </c>
      <c r="H23" s="55"/>
      <c r="I23" s="52"/>
      <c r="J23" s="54"/>
      <c r="K23" s="54"/>
      <c r="L23" s="53">
        <v>1</v>
      </c>
      <c r="M23" s="55"/>
      <c r="N23" s="80">
        <f t="shared" si="0"/>
        <v>2</v>
      </c>
      <c r="P23" s="50" t="s">
        <v>134</v>
      </c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>
        <f>96*N23</f>
        <v>192</v>
      </c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>
        <f>5*N23</f>
        <v>10</v>
      </c>
      <c r="AP23" s="90"/>
      <c r="AQ23" s="90"/>
      <c r="AR23" s="90"/>
      <c r="AS23" s="90"/>
    </row>
    <row r="24" spans="1:45">
      <c r="A24" s="49">
        <v>87</v>
      </c>
      <c r="B24" s="50" t="s">
        <v>135</v>
      </c>
      <c r="C24" s="51">
        <v>250</v>
      </c>
      <c r="D24" s="56">
        <v>1</v>
      </c>
      <c r="E24" s="54"/>
      <c r="F24" s="54"/>
      <c r="G24" s="54"/>
      <c r="H24" s="55"/>
      <c r="I24" s="52"/>
      <c r="J24" s="54"/>
      <c r="K24" s="53">
        <v>1</v>
      </c>
      <c r="L24" s="54"/>
      <c r="M24" s="55"/>
      <c r="N24" s="80">
        <f t="shared" si="0"/>
        <v>2</v>
      </c>
      <c r="P24" s="50" t="s">
        <v>135</v>
      </c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>
        <f>92.5*N24</f>
        <v>185</v>
      </c>
      <c r="AC24" s="90"/>
      <c r="AD24" s="90"/>
      <c r="AE24" s="90"/>
      <c r="AF24" s="90"/>
      <c r="AG24" s="90"/>
      <c r="AH24" s="90">
        <f>2.5*N24</f>
        <v>5</v>
      </c>
      <c r="AI24" s="90"/>
      <c r="AJ24" s="90"/>
      <c r="AK24" s="90">
        <f>5*N24</f>
        <v>10</v>
      </c>
      <c r="AL24" s="90"/>
      <c r="AM24" s="90"/>
      <c r="AN24" s="90"/>
      <c r="AO24" s="90"/>
      <c r="AP24" s="90">
        <f>1.25*N24</f>
        <v>2.5</v>
      </c>
      <c r="AQ24" s="90"/>
      <c r="AR24" s="90"/>
      <c r="AS24" s="90"/>
    </row>
    <row r="25" spans="1:45">
      <c r="A25" s="49">
        <v>81</v>
      </c>
      <c r="B25" s="50" t="s">
        <v>136</v>
      </c>
      <c r="C25" s="51">
        <v>250</v>
      </c>
      <c r="D25" s="52"/>
      <c r="E25" s="53">
        <v>1</v>
      </c>
      <c r="F25" s="54"/>
      <c r="G25" s="54"/>
      <c r="H25" s="57">
        <v>1</v>
      </c>
      <c r="I25" s="52"/>
      <c r="J25" s="54"/>
      <c r="K25" s="54"/>
      <c r="L25" s="54"/>
      <c r="M25" s="57">
        <v>1</v>
      </c>
      <c r="N25" s="80">
        <f t="shared" si="0"/>
        <v>3</v>
      </c>
      <c r="P25" s="50" t="s">
        <v>136</v>
      </c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>
        <f>92.5*N25</f>
        <v>277.5</v>
      </c>
      <c r="AC25" s="90"/>
      <c r="AD25" s="90"/>
      <c r="AE25" s="90"/>
      <c r="AF25" s="90"/>
      <c r="AG25" s="90"/>
      <c r="AH25" s="90"/>
      <c r="AI25" s="90"/>
      <c r="AJ25" s="90"/>
      <c r="AK25" s="90">
        <f>5*N25</f>
        <v>15</v>
      </c>
      <c r="AL25" s="90"/>
      <c r="AM25" s="90"/>
      <c r="AN25" s="90"/>
      <c r="AO25" s="90">
        <f>2.5*N25</f>
        <v>7.5</v>
      </c>
      <c r="AP25" s="90">
        <f>1.25*N25</f>
        <v>3.75</v>
      </c>
      <c r="AQ25" s="90"/>
      <c r="AR25" s="90"/>
      <c r="AS25" s="90"/>
    </row>
    <row r="26" spans="1:45">
      <c r="A26" s="58">
        <v>104</v>
      </c>
      <c r="B26" s="50" t="s">
        <v>137</v>
      </c>
      <c r="C26" s="51">
        <v>250</v>
      </c>
      <c r="D26" s="52"/>
      <c r="E26" s="54"/>
      <c r="F26" s="54"/>
      <c r="G26" s="54"/>
      <c r="H26" s="55"/>
      <c r="I26" s="52"/>
      <c r="J26" s="54"/>
      <c r="K26" s="54"/>
      <c r="L26" s="53">
        <v>1</v>
      </c>
      <c r="M26" s="55"/>
      <c r="N26" s="81">
        <f t="shared" si="0"/>
        <v>1</v>
      </c>
      <c r="P26" s="50" t="s">
        <v>137</v>
      </c>
      <c r="Q26" s="54"/>
      <c r="R26" s="54"/>
      <c r="S26" s="54"/>
      <c r="T26" s="54"/>
      <c r="U26" s="54"/>
      <c r="V26" s="54">
        <f>3*N26</f>
        <v>3</v>
      </c>
      <c r="W26" s="54">
        <f>40*N26</f>
        <v>40</v>
      </c>
      <c r="X26" s="54"/>
      <c r="Y26" s="54"/>
      <c r="Z26" s="54"/>
      <c r="AA26" s="54">
        <f>100*N26</f>
        <v>100</v>
      </c>
      <c r="AB26" s="54">
        <f>24*N26</f>
        <v>24</v>
      </c>
      <c r="AC26" s="54"/>
      <c r="AD26" s="54"/>
      <c r="AE26" s="54"/>
      <c r="AF26" s="54"/>
      <c r="AG26" s="54"/>
      <c r="AH26" s="54"/>
      <c r="AI26" s="54"/>
      <c r="AJ26" s="54"/>
      <c r="AK26" s="54">
        <f>3*N26</f>
        <v>3</v>
      </c>
      <c r="AL26" s="54"/>
      <c r="AM26" s="54"/>
      <c r="AN26" s="54"/>
      <c r="AO26" s="54"/>
      <c r="AP26" s="54">
        <f>1*N26</f>
        <v>1</v>
      </c>
      <c r="AQ26" s="54"/>
      <c r="AR26" s="54"/>
      <c r="AS26" s="54"/>
    </row>
    <row r="27" spans="1:45">
      <c r="A27" s="49">
        <v>102</v>
      </c>
      <c r="B27" s="50" t="s">
        <v>138</v>
      </c>
      <c r="C27" s="51">
        <v>250</v>
      </c>
      <c r="D27" s="52"/>
      <c r="E27" s="54"/>
      <c r="F27" s="54"/>
      <c r="G27" s="54"/>
      <c r="H27" s="55"/>
      <c r="I27" s="52"/>
      <c r="J27" s="53">
        <v>1</v>
      </c>
      <c r="K27" s="54"/>
      <c r="L27" s="54"/>
      <c r="M27" s="55"/>
      <c r="N27" s="80">
        <f t="shared" si="0"/>
        <v>1</v>
      </c>
      <c r="P27" s="50" t="s">
        <v>138</v>
      </c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>
        <f>50*N27</f>
        <v>50</v>
      </c>
      <c r="AB27" s="90">
        <f>22.5*N27</f>
        <v>22.5</v>
      </c>
      <c r="AC27" s="90"/>
      <c r="AD27" s="90"/>
      <c r="AE27" s="90"/>
      <c r="AF27" s="90">
        <f>20*N27</f>
        <v>20</v>
      </c>
      <c r="AG27" s="90"/>
      <c r="AH27" s="90"/>
      <c r="AI27" s="90"/>
      <c r="AJ27" s="90"/>
      <c r="AK27" s="90">
        <f>5*N27</f>
        <v>5</v>
      </c>
      <c r="AL27" s="90"/>
      <c r="AM27" s="90"/>
      <c r="AN27" s="90"/>
      <c r="AO27" s="90"/>
      <c r="AP27" s="90">
        <f>1.25*N27</f>
        <v>1.25</v>
      </c>
      <c r="AQ27" s="90"/>
      <c r="AR27" s="90"/>
      <c r="AS27" s="90"/>
    </row>
    <row r="28" spans="1:45">
      <c r="A28" s="49">
        <v>96</v>
      </c>
      <c r="B28" s="50" t="s">
        <v>44</v>
      </c>
      <c r="C28" s="51">
        <v>250</v>
      </c>
      <c r="D28" s="52"/>
      <c r="E28" s="54"/>
      <c r="F28" s="53">
        <v>1</v>
      </c>
      <c r="G28" s="54"/>
      <c r="H28" s="55"/>
      <c r="I28" s="56">
        <v>1</v>
      </c>
      <c r="J28" s="54"/>
      <c r="K28" s="54"/>
      <c r="L28" s="54"/>
      <c r="M28" s="55"/>
      <c r="N28" s="80">
        <f t="shared" si="0"/>
        <v>2</v>
      </c>
      <c r="P28" s="50" t="s">
        <v>44</v>
      </c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>
        <f>75*N28</f>
        <v>150</v>
      </c>
      <c r="AB28" s="90">
        <f>30*N28</f>
        <v>60</v>
      </c>
      <c r="AC28" s="90"/>
      <c r="AD28" s="90"/>
      <c r="AE28" s="90"/>
      <c r="AF28" s="90">
        <f>5*N28</f>
        <v>10</v>
      </c>
      <c r="AG28" s="90"/>
      <c r="AH28" s="90"/>
      <c r="AI28" s="90"/>
      <c r="AJ28" s="90"/>
      <c r="AK28" s="90">
        <f>5*N28</f>
        <v>10</v>
      </c>
      <c r="AL28" s="90"/>
      <c r="AM28" s="90"/>
      <c r="AN28" s="90"/>
      <c r="AO28" s="90"/>
      <c r="AP28" s="90">
        <f>1.25*N28</f>
        <v>2.5</v>
      </c>
      <c r="AQ28" s="90"/>
      <c r="AR28" s="90"/>
      <c r="AS28" s="90"/>
    </row>
    <row r="29" spans="1:45">
      <c r="A29" s="49">
        <v>103</v>
      </c>
      <c r="B29" s="50" t="s">
        <v>139</v>
      </c>
      <c r="C29" s="51">
        <v>250</v>
      </c>
      <c r="D29" s="52"/>
      <c r="E29" s="54"/>
      <c r="F29" s="54"/>
      <c r="G29" s="53">
        <v>1</v>
      </c>
      <c r="H29" s="55"/>
      <c r="I29" s="52"/>
      <c r="J29" s="54"/>
      <c r="K29" s="54"/>
      <c r="L29" s="54"/>
      <c r="M29" s="55"/>
      <c r="N29" s="80">
        <f t="shared" si="0"/>
        <v>1</v>
      </c>
      <c r="P29" s="50" t="s">
        <v>139</v>
      </c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>
        <f>75*N29</f>
        <v>75</v>
      </c>
      <c r="AB29" s="90">
        <f>20*N29</f>
        <v>20</v>
      </c>
      <c r="AC29" s="90"/>
      <c r="AD29" s="90"/>
      <c r="AE29" s="90"/>
      <c r="AF29" s="90"/>
      <c r="AG29" s="90">
        <f>10*N29</f>
        <v>10</v>
      </c>
      <c r="AH29" s="90"/>
      <c r="AI29" s="90"/>
      <c r="AJ29" s="90"/>
      <c r="AK29" s="90">
        <f>2.5*N29</f>
        <v>2.5</v>
      </c>
      <c r="AL29" s="90"/>
      <c r="AM29" s="90"/>
      <c r="AN29" s="90"/>
      <c r="AO29" s="90"/>
      <c r="AP29" s="90">
        <f>1.25*N29</f>
        <v>1.25</v>
      </c>
      <c r="AQ29" s="90"/>
      <c r="AR29" s="90"/>
      <c r="AS29" s="90"/>
    </row>
    <row r="30" spans="1:45">
      <c r="A30" s="49">
        <v>143</v>
      </c>
      <c r="B30" s="59" t="s">
        <v>140</v>
      </c>
      <c r="C30" s="51">
        <v>200</v>
      </c>
      <c r="D30" s="52"/>
      <c r="E30" s="53">
        <v>1</v>
      </c>
      <c r="F30" s="54"/>
      <c r="G30" s="54"/>
      <c r="H30" s="55"/>
      <c r="I30" s="52"/>
      <c r="J30" s="54"/>
      <c r="K30" s="54"/>
      <c r="L30" s="54"/>
      <c r="M30" s="57">
        <v>1</v>
      </c>
      <c r="N30" s="80">
        <f t="shared" si="0"/>
        <v>2</v>
      </c>
      <c r="P30" s="59" t="s">
        <v>140</v>
      </c>
      <c r="Q30" s="90"/>
      <c r="R30" s="90"/>
      <c r="S30" s="90">
        <f>15*N30</f>
        <v>30</v>
      </c>
      <c r="T30" s="90"/>
      <c r="U30" s="90"/>
      <c r="V30" s="90"/>
      <c r="W30" s="90"/>
      <c r="X30" s="90"/>
      <c r="Y30" s="90"/>
      <c r="Z30" s="90"/>
      <c r="AA30" s="90">
        <f>64*N30</f>
        <v>128</v>
      </c>
      <c r="AB30" s="90">
        <f>120*N30</f>
        <v>240</v>
      </c>
      <c r="AC30" s="90"/>
      <c r="AD30" s="90"/>
      <c r="AE30" s="90"/>
      <c r="AF30" s="90"/>
      <c r="AG30" s="90"/>
      <c r="AH30" s="90">
        <f>4.5*N30</f>
        <v>9</v>
      </c>
      <c r="AI30" s="90"/>
      <c r="AJ30" s="90"/>
      <c r="AK30" s="90">
        <f>8*N30</f>
        <v>16</v>
      </c>
      <c r="AL30" s="90"/>
      <c r="AM30" s="90"/>
      <c r="AN30" s="90"/>
      <c r="AO30" s="90"/>
      <c r="AP30" s="90">
        <f>1.6*N30</f>
        <v>3.2</v>
      </c>
      <c r="AQ30" s="90"/>
      <c r="AR30" s="90"/>
      <c r="AS30" s="90"/>
    </row>
    <row r="31" spans="1:45">
      <c r="A31" s="49">
        <v>304</v>
      </c>
      <c r="B31" s="50" t="s">
        <v>21</v>
      </c>
      <c r="C31" s="51">
        <v>200</v>
      </c>
      <c r="D31" s="56">
        <v>1</v>
      </c>
      <c r="E31" s="54"/>
      <c r="F31" s="54"/>
      <c r="G31" s="54"/>
      <c r="H31" s="55"/>
      <c r="I31" s="52"/>
      <c r="J31" s="54"/>
      <c r="K31" s="54"/>
      <c r="L31" s="53">
        <v>1</v>
      </c>
      <c r="M31" s="55"/>
      <c r="N31" s="80">
        <f t="shared" si="0"/>
        <v>2</v>
      </c>
      <c r="P31" s="50" t="s">
        <v>21</v>
      </c>
      <c r="Q31" s="90"/>
      <c r="R31" s="90"/>
      <c r="S31" s="90"/>
      <c r="T31" s="90"/>
      <c r="U31" s="90">
        <f>9*N31</f>
        <v>18</v>
      </c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>
        <f>72*N31</f>
        <v>144</v>
      </c>
      <c r="AG31" s="90"/>
      <c r="AH31" s="90"/>
      <c r="AI31" s="90"/>
      <c r="AJ31" s="90"/>
      <c r="AK31" s="90"/>
      <c r="AL31" s="90"/>
      <c r="AM31" s="90"/>
      <c r="AN31" s="90"/>
      <c r="AO31" s="90"/>
      <c r="AP31" s="90">
        <f>2*N31</f>
        <v>4</v>
      </c>
      <c r="AQ31" s="90"/>
      <c r="AR31" s="90"/>
      <c r="AS31" s="90"/>
    </row>
    <row r="32" spans="1:45">
      <c r="A32" s="49">
        <v>310</v>
      </c>
      <c r="B32" s="50" t="s">
        <v>141</v>
      </c>
      <c r="C32" s="51">
        <v>200</v>
      </c>
      <c r="D32" s="52"/>
      <c r="E32" s="54"/>
      <c r="F32" s="54"/>
      <c r="G32" s="54"/>
      <c r="H32" s="55"/>
      <c r="I32" s="52"/>
      <c r="J32" s="54"/>
      <c r="K32" s="54"/>
      <c r="L32" s="54"/>
      <c r="M32" s="57">
        <v>1</v>
      </c>
      <c r="N32" s="80">
        <f t="shared" si="0"/>
        <v>1</v>
      </c>
      <c r="P32" s="50" t="s">
        <v>141</v>
      </c>
      <c r="Q32" s="90"/>
      <c r="R32" s="90"/>
      <c r="S32" s="90"/>
      <c r="T32" s="90"/>
      <c r="U32" s="90">
        <f>7*N32</f>
        <v>7</v>
      </c>
      <c r="V32" s="90"/>
      <c r="W32" s="90"/>
      <c r="X32" s="90"/>
      <c r="Y32" s="90"/>
      <c r="Z32" s="90"/>
      <c r="AA32" s="90">
        <f>200*N32</f>
        <v>200</v>
      </c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>
        <f>2*N32</f>
        <v>2</v>
      </c>
      <c r="AQ32" s="90"/>
      <c r="AR32" s="90"/>
      <c r="AS32" s="90"/>
    </row>
    <row r="33" spans="1:45">
      <c r="A33" s="49">
        <v>312</v>
      </c>
      <c r="B33" s="50" t="s">
        <v>32</v>
      </c>
      <c r="C33" s="51">
        <v>200</v>
      </c>
      <c r="D33" s="52"/>
      <c r="E33" s="54"/>
      <c r="F33" s="54"/>
      <c r="G33" s="53">
        <v>1</v>
      </c>
      <c r="H33" s="57">
        <v>1</v>
      </c>
      <c r="I33" s="52"/>
      <c r="J33" s="54"/>
      <c r="K33" s="53">
        <v>1</v>
      </c>
      <c r="L33" s="54"/>
      <c r="M33" s="55"/>
      <c r="N33" s="80">
        <f t="shared" si="0"/>
        <v>3</v>
      </c>
      <c r="P33" s="50" t="s">
        <v>32</v>
      </c>
      <c r="Q33" s="90">
        <f>30*N33</f>
        <v>90</v>
      </c>
      <c r="R33" s="90"/>
      <c r="S33" s="90"/>
      <c r="T33" s="90"/>
      <c r="U33" s="90">
        <f>9*N33</f>
        <v>27</v>
      </c>
      <c r="V33" s="90"/>
      <c r="W33" s="90"/>
      <c r="X33" s="90"/>
      <c r="Y33" s="90"/>
      <c r="Z33" s="90"/>
      <c r="AA33" s="90">
        <f>171*N33</f>
        <v>513</v>
      </c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>
        <f>2*N33</f>
        <v>6</v>
      </c>
      <c r="AQ33" s="90"/>
      <c r="AR33" s="90"/>
      <c r="AS33" s="90"/>
    </row>
    <row r="34" spans="1:45">
      <c r="A34" s="49">
        <v>218</v>
      </c>
      <c r="B34" s="60" t="s">
        <v>142</v>
      </c>
      <c r="C34" s="51">
        <v>100</v>
      </c>
      <c r="D34" s="52"/>
      <c r="E34" s="53">
        <v>1</v>
      </c>
      <c r="F34" s="54"/>
      <c r="G34" s="54"/>
      <c r="H34" s="55"/>
      <c r="I34" s="52"/>
      <c r="J34" s="53">
        <v>1</v>
      </c>
      <c r="K34" s="54"/>
      <c r="L34" s="54"/>
      <c r="M34" s="55"/>
      <c r="N34" s="80">
        <f t="shared" si="0"/>
        <v>2</v>
      </c>
      <c r="P34" s="60" t="s">
        <v>142</v>
      </c>
      <c r="Q34" s="90"/>
      <c r="R34" s="90">
        <f>77.9*N34</f>
        <v>155.80000000000001</v>
      </c>
      <c r="S34" s="90"/>
      <c r="T34" s="90"/>
      <c r="U34" s="90"/>
      <c r="V34" s="90">
        <f>5.7*N34</f>
        <v>11.4</v>
      </c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>
        <f>11*N34</f>
        <v>22</v>
      </c>
      <c r="AI34" s="90"/>
      <c r="AJ34" s="90"/>
      <c r="AK34" s="90"/>
      <c r="AL34" s="90"/>
      <c r="AM34" s="90"/>
      <c r="AN34" s="90"/>
      <c r="AO34" s="90">
        <f>15.7*N34</f>
        <v>31.4</v>
      </c>
      <c r="AP34" s="90">
        <f>1.8*N34</f>
        <v>3.6</v>
      </c>
      <c r="AQ34" s="90"/>
      <c r="AR34" s="90"/>
      <c r="AS34" s="90"/>
    </row>
    <row r="35" spans="1:45">
      <c r="A35" s="49">
        <v>289</v>
      </c>
      <c r="B35" s="59" t="s">
        <v>80</v>
      </c>
      <c r="C35" s="51">
        <v>200</v>
      </c>
      <c r="D35" s="56">
        <v>1</v>
      </c>
      <c r="E35" s="54"/>
      <c r="F35" s="54"/>
      <c r="G35" s="54"/>
      <c r="H35" s="55"/>
      <c r="I35" s="52"/>
      <c r="J35" s="54"/>
      <c r="K35" s="53">
        <v>1</v>
      </c>
      <c r="L35" s="54"/>
      <c r="M35" s="55"/>
      <c r="N35" s="80">
        <f t="shared" si="0"/>
        <v>2</v>
      </c>
      <c r="P35" s="59" t="s">
        <v>80</v>
      </c>
      <c r="Q35" s="90"/>
      <c r="R35" s="90"/>
      <c r="S35" s="90"/>
      <c r="T35" s="90"/>
      <c r="U35" s="90"/>
      <c r="V35" s="90"/>
      <c r="W35" s="90"/>
      <c r="X35" s="90">
        <f>78*N35</f>
        <v>156</v>
      </c>
      <c r="Y35" s="90"/>
      <c r="Z35" s="90"/>
      <c r="AA35" s="90">
        <f>91*N35</f>
        <v>182</v>
      </c>
      <c r="AB35" s="90">
        <f>30*N35</f>
        <v>60</v>
      </c>
      <c r="AC35" s="90"/>
      <c r="AD35" s="90"/>
      <c r="AE35" s="90"/>
      <c r="AF35" s="90"/>
      <c r="AG35" s="90"/>
      <c r="AH35" s="90">
        <f>1*N35</f>
        <v>2</v>
      </c>
      <c r="AI35" s="90"/>
      <c r="AJ35" s="90"/>
      <c r="AK35" s="90">
        <f>7*N35</f>
        <v>14</v>
      </c>
      <c r="AL35" s="90"/>
      <c r="AM35" s="90"/>
      <c r="AN35" s="90"/>
      <c r="AO35" s="90"/>
      <c r="AP35" s="90">
        <f>1*N35</f>
        <v>2</v>
      </c>
      <c r="AQ35" s="90"/>
      <c r="AR35" s="90"/>
      <c r="AS35" s="90"/>
    </row>
    <row r="36" spans="1:45">
      <c r="A36" s="49">
        <v>291</v>
      </c>
      <c r="B36" s="61" t="s">
        <v>143</v>
      </c>
      <c r="C36" s="51">
        <v>250</v>
      </c>
      <c r="D36" s="52"/>
      <c r="E36" s="54"/>
      <c r="F36" s="54"/>
      <c r="G36" s="54"/>
      <c r="H36" s="55"/>
      <c r="I36" s="52"/>
      <c r="J36" s="53">
        <v>1</v>
      </c>
      <c r="K36" s="54"/>
      <c r="L36" s="54"/>
      <c r="M36" s="55"/>
      <c r="N36" s="80">
        <f t="shared" si="0"/>
        <v>1</v>
      </c>
      <c r="P36" s="61" t="s">
        <v>143</v>
      </c>
      <c r="Q36" s="90"/>
      <c r="R36" s="90"/>
      <c r="S36" s="90"/>
      <c r="T36" s="90"/>
      <c r="U36" s="90"/>
      <c r="V36" s="90"/>
      <c r="W36" s="90"/>
      <c r="X36" s="90">
        <f>113*N36</f>
        <v>113</v>
      </c>
      <c r="Y36" s="90"/>
      <c r="Z36" s="90"/>
      <c r="AA36" s="90"/>
      <c r="AB36" s="90">
        <f>25*N36</f>
        <v>25</v>
      </c>
      <c r="AC36" s="90"/>
      <c r="AD36" s="90"/>
      <c r="AE36" s="90"/>
      <c r="AF36" s="90">
        <f>58*N36</f>
        <v>58</v>
      </c>
      <c r="AG36" s="90"/>
      <c r="AH36" s="90"/>
      <c r="AI36" s="90"/>
      <c r="AJ36" s="90"/>
      <c r="AK36" s="90">
        <f>12*N36</f>
        <v>12</v>
      </c>
      <c r="AL36" s="90"/>
      <c r="AM36" s="90"/>
      <c r="AN36" s="90"/>
      <c r="AO36" s="90"/>
      <c r="AP36" s="90">
        <f>1*N36</f>
        <v>1</v>
      </c>
      <c r="AQ36" s="90"/>
      <c r="AR36" s="90"/>
      <c r="AS36" s="90"/>
    </row>
    <row r="37" spans="1:45">
      <c r="A37" s="49">
        <v>284</v>
      </c>
      <c r="B37" s="61" t="s">
        <v>144</v>
      </c>
      <c r="C37" s="62">
        <v>100</v>
      </c>
      <c r="D37" s="63"/>
      <c r="E37" s="58"/>
      <c r="F37" s="58"/>
      <c r="G37" s="64">
        <v>1</v>
      </c>
      <c r="H37" s="65"/>
      <c r="I37" s="63"/>
      <c r="J37" s="58"/>
      <c r="K37" s="58"/>
      <c r="L37" s="58"/>
      <c r="M37" s="65"/>
      <c r="N37" s="80">
        <f t="shared" si="0"/>
        <v>1</v>
      </c>
      <c r="P37" s="61" t="s">
        <v>144</v>
      </c>
      <c r="Q37" s="90"/>
      <c r="R37" s="90"/>
      <c r="S37" s="90">
        <f>11.5*N37</f>
        <v>11.5</v>
      </c>
      <c r="T37" s="90"/>
      <c r="U37" s="90">
        <f>1*N37</f>
        <v>1</v>
      </c>
      <c r="V37" s="90"/>
      <c r="W37" s="90"/>
      <c r="X37" s="90"/>
      <c r="Y37" s="90">
        <f>74*N37</f>
        <v>74</v>
      </c>
      <c r="Z37" s="90"/>
      <c r="AA37" s="90"/>
      <c r="AB37" s="90">
        <f>10*N37</f>
        <v>10</v>
      </c>
      <c r="AC37" s="90"/>
      <c r="AD37" s="90"/>
      <c r="AE37" s="90"/>
      <c r="AF37" s="90"/>
      <c r="AG37" s="90"/>
      <c r="AH37" s="90">
        <f>3.5*N37</f>
        <v>3.5</v>
      </c>
      <c r="AI37" s="90"/>
      <c r="AJ37" s="90"/>
      <c r="AK37" s="90">
        <f>6*N37</f>
        <v>6</v>
      </c>
      <c r="AL37" s="90"/>
      <c r="AM37" s="90"/>
      <c r="AN37" s="90"/>
      <c r="AO37" s="90"/>
      <c r="AP37" s="90">
        <f>0.5*N37</f>
        <v>0.5</v>
      </c>
      <c r="AQ37" s="90"/>
      <c r="AR37" s="90"/>
      <c r="AS37" s="90"/>
    </row>
    <row r="38" spans="1:45">
      <c r="A38" s="49">
        <v>284</v>
      </c>
      <c r="B38" s="61" t="s">
        <v>144</v>
      </c>
      <c r="C38" s="62">
        <v>150</v>
      </c>
      <c r="D38" s="63"/>
      <c r="E38" s="58"/>
      <c r="F38" s="58"/>
      <c r="G38" s="58"/>
      <c r="H38" s="65"/>
      <c r="I38" s="63"/>
      <c r="J38" s="58"/>
      <c r="K38" s="58"/>
      <c r="L38" s="58"/>
      <c r="M38" s="67">
        <v>1</v>
      </c>
      <c r="N38" s="80">
        <f t="shared" si="0"/>
        <v>1</v>
      </c>
      <c r="P38" s="61" t="s">
        <v>144</v>
      </c>
      <c r="Q38" s="90"/>
      <c r="R38" s="90"/>
      <c r="S38" s="90">
        <f>17.3*N38</f>
        <v>17.3</v>
      </c>
      <c r="T38" s="90"/>
      <c r="U38" s="90">
        <f>1.5*N38</f>
        <v>1.5</v>
      </c>
      <c r="V38" s="90"/>
      <c r="W38" s="90"/>
      <c r="X38" s="90"/>
      <c r="Y38" s="90">
        <f>111*N38</f>
        <v>111</v>
      </c>
      <c r="Z38" s="90"/>
      <c r="AA38" s="90"/>
      <c r="AB38" s="90">
        <f>15*N38</f>
        <v>15</v>
      </c>
      <c r="AC38" s="90"/>
      <c r="AD38" s="90"/>
      <c r="AE38" s="90"/>
      <c r="AF38" s="90"/>
      <c r="AG38" s="90"/>
      <c r="AH38" s="90">
        <f>5.3*N38</f>
        <v>5.3</v>
      </c>
      <c r="AI38" s="90"/>
      <c r="AJ38" s="90"/>
      <c r="AK38" s="90">
        <f>9*N38</f>
        <v>9</v>
      </c>
      <c r="AL38" s="90"/>
      <c r="AM38" s="90"/>
      <c r="AN38" s="90"/>
      <c r="AO38" s="90"/>
      <c r="AP38" s="90">
        <f>0.5*N38</f>
        <v>0.5</v>
      </c>
      <c r="AQ38" s="90"/>
      <c r="AR38" s="90"/>
      <c r="AS38" s="90"/>
    </row>
    <row r="39" spans="1:45">
      <c r="A39" s="49">
        <v>263</v>
      </c>
      <c r="B39" s="50" t="s">
        <v>145</v>
      </c>
      <c r="C39" s="62">
        <v>250</v>
      </c>
      <c r="D39" s="63"/>
      <c r="E39" s="58"/>
      <c r="F39" s="58"/>
      <c r="G39" s="64">
        <v>1</v>
      </c>
      <c r="H39" s="65"/>
      <c r="I39" s="63"/>
      <c r="J39" s="58"/>
      <c r="K39" s="58"/>
      <c r="L39" s="58"/>
      <c r="M39" s="65"/>
      <c r="N39" s="80">
        <f t="shared" si="0"/>
        <v>1</v>
      </c>
      <c r="P39" s="50" t="s">
        <v>145</v>
      </c>
      <c r="Q39" s="90"/>
      <c r="R39" s="90"/>
      <c r="S39" s="90"/>
      <c r="T39" s="90"/>
      <c r="U39" s="90"/>
      <c r="V39" s="90"/>
      <c r="W39" s="90">
        <f>100*N39</f>
        <v>100</v>
      </c>
      <c r="X39" s="90"/>
      <c r="Y39" s="90"/>
      <c r="Z39" s="90"/>
      <c r="AA39" s="90">
        <f>114*N39</f>
        <v>114</v>
      </c>
      <c r="AB39" s="90">
        <f>38*N39</f>
        <v>38</v>
      </c>
      <c r="AC39" s="90"/>
      <c r="AD39" s="90"/>
      <c r="AE39" s="90"/>
      <c r="AF39" s="90"/>
      <c r="AG39" s="90"/>
      <c r="AH39" s="90">
        <f>3*N39</f>
        <v>3</v>
      </c>
      <c r="AI39" s="90"/>
      <c r="AJ39" s="90"/>
      <c r="AK39" s="90">
        <f>11*N39</f>
        <v>11</v>
      </c>
      <c r="AL39" s="90"/>
      <c r="AM39" s="90"/>
      <c r="AN39" s="90"/>
      <c r="AO39" s="90"/>
      <c r="AP39" s="90">
        <f>1*N39</f>
        <v>1</v>
      </c>
      <c r="AQ39" s="90"/>
      <c r="AR39" s="90"/>
      <c r="AS39" s="90"/>
    </row>
    <row r="40" spans="1:45">
      <c r="A40" s="49">
        <v>229</v>
      </c>
      <c r="B40" s="50" t="s">
        <v>146</v>
      </c>
      <c r="C40" s="62">
        <v>140</v>
      </c>
      <c r="D40" s="66">
        <v>1</v>
      </c>
      <c r="E40" s="58"/>
      <c r="F40" s="58"/>
      <c r="G40" s="58"/>
      <c r="H40" s="65"/>
      <c r="I40" s="63"/>
      <c r="J40" s="58"/>
      <c r="K40" s="58"/>
      <c r="L40" s="64">
        <v>1</v>
      </c>
      <c r="M40" s="65"/>
      <c r="N40" s="80">
        <f t="shared" si="0"/>
        <v>2</v>
      </c>
      <c r="P40" s="50" t="s">
        <v>146</v>
      </c>
      <c r="Q40" s="90"/>
      <c r="R40" s="90"/>
      <c r="S40" s="90"/>
      <c r="T40" s="90"/>
      <c r="U40" s="90"/>
      <c r="V40" s="90"/>
      <c r="W40" s="90"/>
      <c r="X40" s="90"/>
      <c r="Y40" s="90"/>
      <c r="Z40" s="90">
        <f>86.8*N40</f>
        <v>173.6</v>
      </c>
      <c r="AA40" s="90"/>
      <c r="AB40" s="90">
        <f>42*N40</f>
        <v>84</v>
      </c>
      <c r="AC40" s="90"/>
      <c r="AD40" s="90"/>
      <c r="AE40" s="90"/>
      <c r="AF40" s="90"/>
      <c r="AG40" s="90"/>
      <c r="AH40" s="90"/>
      <c r="AI40" s="90"/>
      <c r="AJ40" s="90"/>
      <c r="AK40" s="90">
        <f>7*N40</f>
        <v>14</v>
      </c>
      <c r="AL40" s="90"/>
      <c r="AM40" s="90"/>
      <c r="AN40" s="90"/>
      <c r="AO40" s="90">
        <f>2.8*N40</f>
        <v>5.6</v>
      </c>
      <c r="AP40" s="90">
        <f>1.4*N40</f>
        <v>2.8</v>
      </c>
      <c r="AQ40" s="90"/>
      <c r="AR40" s="90"/>
      <c r="AS40" s="90"/>
    </row>
    <row r="41" spans="1:45">
      <c r="A41" s="49">
        <v>234</v>
      </c>
      <c r="B41" s="50" t="s">
        <v>147</v>
      </c>
      <c r="C41" s="62">
        <v>100</v>
      </c>
      <c r="D41" s="63"/>
      <c r="E41" s="58"/>
      <c r="F41" s="64">
        <v>1</v>
      </c>
      <c r="G41" s="58"/>
      <c r="H41" s="67">
        <v>1</v>
      </c>
      <c r="I41" s="63"/>
      <c r="J41" s="58"/>
      <c r="K41" s="64">
        <v>1</v>
      </c>
      <c r="L41" s="58"/>
      <c r="M41" s="65"/>
      <c r="N41" s="80">
        <f t="shared" si="0"/>
        <v>3</v>
      </c>
      <c r="P41" s="50" t="s">
        <v>147</v>
      </c>
      <c r="Q41" s="90"/>
      <c r="R41" s="90"/>
      <c r="S41" s="90"/>
      <c r="T41" s="90"/>
      <c r="U41" s="90"/>
      <c r="V41" s="90"/>
      <c r="W41" s="90"/>
      <c r="X41" s="90"/>
      <c r="Y41" s="90"/>
      <c r="Z41" s="90">
        <f>66*N41</f>
        <v>198</v>
      </c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>
        <f>10*N41</f>
        <v>30</v>
      </c>
      <c r="AL41" s="90"/>
      <c r="AM41" s="90"/>
      <c r="AN41" s="90"/>
      <c r="AO41" s="90"/>
      <c r="AP41" s="90">
        <f>1*N41</f>
        <v>3</v>
      </c>
      <c r="AQ41" s="90">
        <f>28*N41</f>
        <v>84</v>
      </c>
      <c r="AR41" s="90"/>
      <c r="AS41" s="90"/>
    </row>
    <row r="42" spans="1:45">
      <c r="A42" s="49">
        <v>210</v>
      </c>
      <c r="B42" s="50" t="s">
        <v>148</v>
      </c>
      <c r="C42" s="51">
        <v>75</v>
      </c>
      <c r="D42" s="52"/>
      <c r="E42" s="53">
        <v>1</v>
      </c>
      <c r="F42" s="54"/>
      <c r="G42" s="54"/>
      <c r="H42" s="55"/>
      <c r="I42" s="52"/>
      <c r="J42" s="53">
        <v>1</v>
      </c>
      <c r="K42" s="54"/>
      <c r="L42" s="54"/>
      <c r="M42" s="55"/>
      <c r="N42" s="80">
        <f t="shared" si="0"/>
        <v>2</v>
      </c>
      <c r="P42" s="50" t="s">
        <v>148</v>
      </c>
      <c r="Q42" s="90">
        <f>21.2*N42</f>
        <v>42.4</v>
      </c>
      <c r="R42" s="90"/>
      <c r="S42" s="90"/>
      <c r="T42" s="90"/>
      <c r="U42" s="90">
        <f>2.9*N42</f>
        <v>5.8</v>
      </c>
      <c r="V42" s="90">
        <f>56.6*N42</f>
        <v>113.2</v>
      </c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>
        <f>0.75*N42</f>
        <v>1.5</v>
      </c>
      <c r="AQ42" s="90"/>
      <c r="AR42" s="90"/>
      <c r="AS42" s="90"/>
    </row>
    <row r="43" spans="1:45">
      <c r="A43" s="49"/>
      <c r="B43" s="50" t="s">
        <v>149</v>
      </c>
      <c r="C43" s="62">
        <v>40</v>
      </c>
      <c r="D43" s="63"/>
      <c r="E43" s="58"/>
      <c r="F43" s="64">
        <v>1</v>
      </c>
      <c r="G43" s="58"/>
      <c r="H43" s="65"/>
      <c r="I43" s="63"/>
      <c r="J43" s="58"/>
      <c r="K43" s="58"/>
      <c r="L43" s="58"/>
      <c r="M43" s="65"/>
      <c r="N43" s="80">
        <f t="shared" si="0"/>
        <v>1</v>
      </c>
      <c r="P43" s="50" t="s">
        <v>149</v>
      </c>
      <c r="Q43" s="90">
        <f>160*N43</f>
        <v>160</v>
      </c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</row>
    <row r="44" spans="1:45">
      <c r="A44" s="49">
        <v>219</v>
      </c>
      <c r="B44" s="50" t="s">
        <v>150</v>
      </c>
      <c r="C44" s="51">
        <v>150</v>
      </c>
      <c r="D44" s="52"/>
      <c r="E44" s="54"/>
      <c r="F44" s="53">
        <v>1</v>
      </c>
      <c r="G44" s="54"/>
      <c r="H44" s="55"/>
      <c r="I44" s="52"/>
      <c r="J44" s="54"/>
      <c r="K44" s="54"/>
      <c r="L44" s="54"/>
      <c r="M44" s="55"/>
      <c r="N44" s="80">
        <f t="shared" si="0"/>
        <v>1</v>
      </c>
      <c r="P44" s="50" t="s">
        <v>150</v>
      </c>
      <c r="Q44" s="90"/>
      <c r="R44" s="90">
        <f>150*N44</f>
        <v>150</v>
      </c>
      <c r="S44" s="90"/>
      <c r="T44" s="90"/>
      <c r="U44" s="90"/>
      <c r="V44" s="90">
        <f>6*N44</f>
        <v>6</v>
      </c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>
        <f>21*N44</f>
        <v>21</v>
      </c>
      <c r="AI44" s="90"/>
      <c r="AJ44" s="90"/>
      <c r="AK44" s="90">
        <f>9*N44</f>
        <v>9</v>
      </c>
      <c r="AL44" s="90"/>
      <c r="AM44" s="90"/>
      <c r="AN44" s="90"/>
      <c r="AO44" s="90">
        <f>12*N44</f>
        <v>12</v>
      </c>
      <c r="AP44" s="90">
        <f>0.75*N44</f>
        <v>0.75</v>
      </c>
      <c r="AQ44" s="90"/>
      <c r="AR44" s="90"/>
      <c r="AS44" s="90"/>
    </row>
    <row r="45" spans="1:45">
      <c r="A45" s="49">
        <v>268</v>
      </c>
      <c r="B45" s="50" t="s">
        <v>151</v>
      </c>
      <c r="C45" s="51">
        <v>100</v>
      </c>
      <c r="D45" s="52"/>
      <c r="E45" s="53">
        <v>1</v>
      </c>
      <c r="F45" s="54"/>
      <c r="G45" s="54"/>
      <c r="H45" s="57">
        <v>1</v>
      </c>
      <c r="I45" s="52"/>
      <c r="J45" s="54"/>
      <c r="K45" s="54"/>
      <c r="L45" s="54"/>
      <c r="M45" s="57">
        <v>1</v>
      </c>
      <c r="N45" s="80">
        <f t="shared" si="0"/>
        <v>3</v>
      </c>
      <c r="P45" s="50" t="s">
        <v>151</v>
      </c>
      <c r="Q45" s="90"/>
      <c r="R45" s="90"/>
      <c r="S45" s="90"/>
      <c r="T45" s="90"/>
      <c r="U45" s="90"/>
      <c r="V45" s="90"/>
      <c r="W45" s="90">
        <f>74*N45</f>
        <v>222</v>
      </c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>
        <f>6*N45</f>
        <v>18</v>
      </c>
      <c r="AL45" s="90"/>
      <c r="AM45" s="90"/>
      <c r="AN45" s="90"/>
      <c r="AO45" s="90"/>
      <c r="AP45" s="90">
        <f>0.5*N45</f>
        <v>1.5</v>
      </c>
      <c r="AQ45" s="90">
        <f>28*N45</f>
        <v>84</v>
      </c>
      <c r="AR45" s="90"/>
      <c r="AS45" s="90"/>
    </row>
    <row r="46" spans="1:45">
      <c r="A46" s="49">
        <v>321</v>
      </c>
      <c r="B46" s="68" t="s">
        <v>152</v>
      </c>
      <c r="C46" s="69">
        <v>200</v>
      </c>
      <c r="D46" s="70"/>
      <c r="E46" s="71"/>
      <c r="F46" s="72">
        <v>1</v>
      </c>
      <c r="G46" s="71"/>
      <c r="H46" s="73"/>
      <c r="I46" s="82">
        <v>1</v>
      </c>
      <c r="J46" s="71"/>
      <c r="K46" s="71"/>
      <c r="L46" s="71"/>
      <c r="M46" s="73"/>
      <c r="N46" s="83">
        <f t="shared" si="0"/>
        <v>2</v>
      </c>
      <c r="P46" s="68" t="s">
        <v>152</v>
      </c>
      <c r="Q46" s="90"/>
      <c r="R46" s="90"/>
      <c r="S46" s="90"/>
      <c r="T46" s="90"/>
      <c r="U46" s="90">
        <f>7*N46</f>
        <v>14</v>
      </c>
      <c r="V46" s="90"/>
      <c r="W46" s="90"/>
      <c r="X46" s="90"/>
      <c r="Y46" s="90"/>
      <c r="Z46" s="90"/>
      <c r="AA46" s="90"/>
      <c r="AB46" s="90">
        <f>241*N46</f>
        <v>482</v>
      </c>
      <c r="AC46" s="90"/>
      <c r="AD46" s="90"/>
      <c r="AE46" s="90"/>
      <c r="AF46" s="90"/>
      <c r="AG46" s="90"/>
      <c r="AH46" s="90">
        <f>2*N46</f>
        <v>4</v>
      </c>
      <c r="AI46" s="90"/>
      <c r="AJ46" s="90"/>
      <c r="AK46" s="90"/>
      <c r="AL46" s="90"/>
      <c r="AM46" s="90"/>
      <c r="AN46" s="90"/>
      <c r="AO46" s="90">
        <f>6*N46</f>
        <v>12</v>
      </c>
      <c r="AP46" s="90">
        <f>2*N46</f>
        <v>4</v>
      </c>
      <c r="AQ46" s="90"/>
      <c r="AR46" s="90"/>
      <c r="AS46" s="90"/>
    </row>
    <row r="47" spans="1:45">
      <c r="A47" s="49">
        <v>278</v>
      </c>
      <c r="B47" s="50" t="s">
        <v>153</v>
      </c>
      <c r="C47" s="51">
        <v>150</v>
      </c>
      <c r="D47" s="52"/>
      <c r="E47" s="54"/>
      <c r="F47" s="54"/>
      <c r="G47" s="54"/>
      <c r="H47" s="55"/>
      <c r="I47" s="56">
        <v>1</v>
      </c>
      <c r="J47" s="54"/>
      <c r="K47" s="54"/>
      <c r="L47" s="54"/>
      <c r="M47" s="55"/>
      <c r="N47" s="83">
        <f t="shared" si="0"/>
        <v>1</v>
      </c>
      <c r="P47" s="50" t="s">
        <v>153</v>
      </c>
      <c r="Q47" s="90"/>
      <c r="R47" s="90"/>
      <c r="S47" s="90">
        <f>17*N47</f>
        <v>17</v>
      </c>
      <c r="T47" s="90"/>
      <c r="U47" s="90"/>
      <c r="V47" s="90"/>
      <c r="W47" s="90">
        <f>52*N47</f>
        <v>52</v>
      </c>
      <c r="X47" s="90"/>
      <c r="Y47" s="90"/>
      <c r="Z47" s="90"/>
      <c r="AA47" s="90"/>
      <c r="AB47" s="90">
        <f>27*N47</f>
        <v>27</v>
      </c>
      <c r="AC47" s="90"/>
      <c r="AD47" s="90"/>
      <c r="AE47" s="90"/>
      <c r="AF47" s="90"/>
      <c r="AG47" s="90"/>
      <c r="AH47" s="90">
        <f>10*N47</f>
        <v>10</v>
      </c>
      <c r="AI47" s="90"/>
      <c r="AJ47" s="90"/>
      <c r="AK47" s="90">
        <f>8*N47</f>
        <v>8</v>
      </c>
      <c r="AL47" s="90"/>
      <c r="AM47" s="90"/>
      <c r="AN47" s="90"/>
      <c r="AO47" s="90"/>
      <c r="AP47" s="90">
        <f>1*N47</f>
        <v>1</v>
      </c>
      <c r="AQ47" s="90">
        <f>11*N47</f>
        <v>11</v>
      </c>
      <c r="AR47" s="90"/>
      <c r="AS47" s="90"/>
    </row>
    <row r="48" spans="1:45">
      <c r="A48" s="49">
        <v>204</v>
      </c>
      <c r="B48" s="50" t="s">
        <v>154</v>
      </c>
      <c r="C48" s="51">
        <v>250</v>
      </c>
      <c r="D48" s="52"/>
      <c r="E48" s="54"/>
      <c r="F48" s="54"/>
      <c r="G48" s="54"/>
      <c r="H48" s="55"/>
      <c r="I48" s="52"/>
      <c r="J48" s="54"/>
      <c r="K48" s="54"/>
      <c r="L48" s="53">
        <v>1</v>
      </c>
      <c r="M48" s="55"/>
      <c r="N48" s="83">
        <f t="shared" si="0"/>
        <v>1</v>
      </c>
      <c r="P48" s="50" t="s">
        <v>154</v>
      </c>
      <c r="Q48" s="90"/>
      <c r="R48" s="90"/>
      <c r="S48" s="90"/>
      <c r="T48" s="90">
        <f>40*N48</f>
        <v>40</v>
      </c>
      <c r="U48" s="90">
        <f>10*N48</f>
        <v>10</v>
      </c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>
        <f>68*N48</f>
        <v>68</v>
      </c>
      <c r="AH48" s="90"/>
      <c r="AI48" s="90"/>
      <c r="AJ48" s="90"/>
      <c r="AK48" s="90"/>
      <c r="AL48" s="90"/>
      <c r="AM48" s="90"/>
      <c r="AN48" s="90"/>
      <c r="AO48" s="90"/>
      <c r="AP48" s="90"/>
      <c r="AQ48" s="90"/>
      <c r="AR48" s="90"/>
      <c r="AS48" s="90"/>
    </row>
    <row r="49" spans="1:45">
      <c r="A49" s="49">
        <v>309</v>
      </c>
      <c r="B49" s="50" t="s">
        <v>155</v>
      </c>
      <c r="C49" s="51">
        <v>200</v>
      </c>
      <c r="D49" s="52"/>
      <c r="E49" s="54"/>
      <c r="F49" s="54"/>
      <c r="G49" s="54"/>
      <c r="H49" s="57">
        <v>1</v>
      </c>
      <c r="I49" s="52"/>
      <c r="J49" s="54"/>
      <c r="K49" s="54"/>
      <c r="L49" s="54"/>
      <c r="M49" s="55"/>
      <c r="N49" s="83">
        <f t="shared" si="0"/>
        <v>1</v>
      </c>
      <c r="P49" s="50" t="s">
        <v>155</v>
      </c>
      <c r="Q49" s="90"/>
      <c r="R49" s="90"/>
      <c r="S49" s="90"/>
      <c r="T49" s="90"/>
      <c r="U49" s="90">
        <f>7*N49</f>
        <v>7</v>
      </c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>
        <f>68*N49</f>
        <v>68</v>
      </c>
      <c r="AH49" s="90"/>
      <c r="AI49" s="90"/>
      <c r="AJ49" s="90"/>
      <c r="AK49" s="90"/>
      <c r="AL49" s="90"/>
      <c r="AM49" s="90"/>
      <c r="AN49" s="90"/>
      <c r="AO49" s="90"/>
      <c r="AP49" s="90">
        <f>3*N49</f>
        <v>3</v>
      </c>
      <c r="AQ49" s="90"/>
      <c r="AR49" s="90"/>
      <c r="AS49" s="90"/>
    </row>
    <row r="50" spans="1:45">
      <c r="A50" s="49"/>
      <c r="B50" s="50"/>
      <c r="C50" s="51"/>
      <c r="D50" s="74"/>
      <c r="E50" s="75"/>
      <c r="F50" s="75"/>
      <c r="G50" s="75"/>
      <c r="H50" s="76"/>
      <c r="I50" s="74"/>
      <c r="J50" s="75"/>
      <c r="K50" s="75"/>
      <c r="L50" s="75"/>
      <c r="M50" s="76"/>
      <c r="N50" s="83"/>
      <c r="P50" s="5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0"/>
      <c r="AP50" s="90"/>
      <c r="AQ50" s="90"/>
      <c r="AR50" s="90"/>
      <c r="AS50" s="90"/>
    </row>
    <row r="51" spans="1:45">
      <c r="P51" s="84" t="s">
        <v>156</v>
      </c>
      <c r="Q51" s="91">
        <f>SUM(Q2:Q50)</f>
        <v>1792.4</v>
      </c>
      <c r="R51" s="91">
        <f t="shared" ref="R51:AS51" si="1">SUM(R2:R50)</f>
        <v>305.8</v>
      </c>
      <c r="S51" s="91">
        <f t="shared" si="1"/>
        <v>75.8</v>
      </c>
      <c r="T51" s="91">
        <f t="shared" si="1"/>
        <v>70</v>
      </c>
      <c r="U51" s="91">
        <f t="shared" si="1"/>
        <v>171.3</v>
      </c>
      <c r="V51" s="91">
        <f t="shared" si="1"/>
        <v>173.6</v>
      </c>
      <c r="W51" s="91">
        <f t="shared" si="1"/>
        <v>414</v>
      </c>
      <c r="X51" s="91">
        <f t="shared" si="1"/>
        <v>269</v>
      </c>
      <c r="Y51" s="91">
        <f t="shared" si="1"/>
        <v>185</v>
      </c>
      <c r="Z51" s="91">
        <f t="shared" si="1"/>
        <v>371.6</v>
      </c>
      <c r="AA51" s="91">
        <f t="shared" si="1"/>
        <v>1512</v>
      </c>
      <c r="AB51" s="91">
        <f t="shared" si="1"/>
        <v>2729</v>
      </c>
      <c r="AC51" s="91">
        <f t="shared" si="1"/>
        <v>930</v>
      </c>
      <c r="AD51" s="91">
        <f t="shared" si="1"/>
        <v>50</v>
      </c>
      <c r="AE51" s="91">
        <f t="shared" si="1"/>
        <v>920</v>
      </c>
      <c r="AF51" s="91">
        <f t="shared" si="1"/>
        <v>282</v>
      </c>
      <c r="AG51" s="91">
        <f t="shared" si="1"/>
        <v>146</v>
      </c>
      <c r="AH51" s="91">
        <f t="shared" si="1"/>
        <v>84.8</v>
      </c>
      <c r="AI51" s="91">
        <f t="shared" si="1"/>
        <v>0</v>
      </c>
      <c r="AJ51" s="91">
        <f t="shared" si="1"/>
        <v>20</v>
      </c>
      <c r="AK51" s="91">
        <f t="shared" si="1"/>
        <v>207.5</v>
      </c>
      <c r="AL51" s="91">
        <f t="shared" si="1"/>
        <v>1.5</v>
      </c>
      <c r="AM51" s="91">
        <f t="shared" si="1"/>
        <v>20</v>
      </c>
      <c r="AN51" s="91">
        <f t="shared" si="1"/>
        <v>25</v>
      </c>
      <c r="AO51" s="91">
        <f t="shared" si="1"/>
        <v>462.5</v>
      </c>
      <c r="AP51" s="91">
        <f t="shared" si="1"/>
        <v>58.7</v>
      </c>
      <c r="AQ51" s="91">
        <f t="shared" si="1"/>
        <v>779</v>
      </c>
      <c r="AR51" s="91">
        <f t="shared" si="1"/>
        <v>360</v>
      </c>
      <c r="AS51" s="91">
        <f t="shared" si="1"/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topLeftCell="A28" workbookViewId="0">
      <selection activeCell="L19" sqref="L19"/>
    </sheetView>
  </sheetViews>
  <sheetFormatPr defaultColWidth="9" defaultRowHeight="14.5"/>
  <cols>
    <col min="1" max="1" width="7" customWidth="1"/>
    <col min="2" max="2" width="26" customWidth="1"/>
    <col min="3" max="3" width="11.453125" customWidth="1"/>
    <col min="4" max="12" width="8.7265625" customWidth="1"/>
    <col min="13" max="13" width="7.54296875" customWidth="1"/>
    <col min="14" max="14" width="10.08984375" customWidth="1"/>
  </cols>
  <sheetData>
    <row r="1" spans="1:12" ht="15">
      <c r="A1" s="183" t="s">
        <v>157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</row>
    <row r="2" spans="1:12">
      <c r="A2" s="184" t="s">
        <v>158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</row>
    <row r="3" spans="1:1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>
      <c r="A5" s="1"/>
      <c r="B5" s="179" t="s">
        <v>159</v>
      </c>
      <c r="C5" s="186" t="s">
        <v>160</v>
      </c>
      <c r="D5" s="187"/>
      <c r="E5" s="188"/>
      <c r="F5" s="148" t="s">
        <v>7</v>
      </c>
      <c r="G5" s="143" t="s">
        <v>8</v>
      </c>
      <c r="H5" s="143"/>
      <c r="I5" s="144"/>
      <c r="J5" s="142" t="s">
        <v>9</v>
      </c>
      <c r="K5" s="143"/>
      <c r="L5" s="144"/>
    </row>
    <row r="6" spans="1:12" ht="17">
      <c r="A6" s="1"/>
      <c r="B6" s="180"/>
      <c r="C6" s="3" t="s">
        <v>11</v>
      </c>
      <c r="D6" s="3" t="s">
        <v>12</v>
      </c>
      <c r="E6" s="3" t="s">
        <v>13</v>
      </c>
      <c r="F6" s="182"/>
      <c r="G6" s="3" t="s">
        <v>14</v>
      </c>
      <c r="H6" s="3" t="s">
        <v>39</v>
      </c>
      <c r="I6" s="3" t="s">
        <v>16</v>
      </c>
      <c r="J6" s="26" t="s">
        <v>17</v>
      </c>
      <c r="K6" s="3" t="s">
        <v>18</v>
      </c>
      <c r="L6" s="3" t="s">
        <v>19</v>
      </c>
    </row>
    <row r="7" spans="1:12" ht="15">
      <c r="A7" s="1"/>
      <c r="B7" s="4" t="s">
        <v>161</v>
      </c>
      <c r="C7" s="5">
        <v>42.4</v>
      </c>
      <c r="D7" s="5">
        <v>43.5</v>
      </c>
      <c r="E7" s="5">
        <v>184.3</v>
      </c>
      <c r="F7" s="5">
        <v>1292.5</v>
      </c>
      <c r="G7" s="5">
        <v>385</v>
      </c>
      <c r="H7" s="5">
        <v>0.7</v>
      </c>
      <c r="I7" s="5">
        <v>33</v>
      </c>
      <c r="J7" s="5">
        <v>605</v>
      </c>
      <c r="K7" s="5">
        <v>605</v>
      </c>
      <c r="L7" s="27">
        <v>6.6</v>
      </c>
    </row>
    <row r="8" spans="1:12">
      <c r="A8" s="1"/>
      <c r="B8" s="6" t="s">
        <v>89</v>
      </c>
      <c r="C8" s="7">
        <f>'Цикличное меню 7-11 лет'!D26</f>
        <v>46.436999999999998</v>
      </c>
      <c r="D8" s="7">
        <f>'Цикличное меню 7-11 лет'!E26</f>
        <v>70.075999999999993</v>
      </c>
      <c r="E8" s="7">
        <f>'Цикличное меню 7-11 лет'!F26</f>
        <v>191.291</v>
      </c>
      <c r="F8" s="7">
        <f>'Цикличное меню 7-11 лет'!G26</f>
        <v>1619.55</v>
      </c>
      <c r="G8" s="7">
        <f>'Цикличное меню 7-11 лет'!H26</f>
        <v>127.82</v>
      </c>
      <c r="H8" s="7">
        <f>'Цикличное меню 7-11 лет'!I26</f>
        <v>1.1120000000000001</v>
      </c>
      <c r="I8" s="7">
        <f>'Цикличное меню 7-11 лет'!J26</f>
        <v>55.987000000000002</v>
      </c>
      <c r="J8" s="7">
        <f>'Цикличное меню 7-11 лет'!K26</f>
        <v>504.43200000000002</v>
      </c>
      <c r="K8" s="7">
        <f>'Цикличное меню 7-11 лет'!L26</f>
        <v>811.274</v>
      </c>
      <c r="L8" s="7">
        <f>'Цикличное меню 7-11 лет'!M26</f>
        <v>12.506</v>
      </c>
    </row>
    <row r="9" spans="1:12">
      <c r="A9" s="1"/>
      <c r="B9" s="6" t="s">
        <v>90</v>
      </c>
      <c r="C9" s="7">
        <f>'Цикличное меню 7-11 лет'!D61</f>
        <v>54.106000000000002</v>
      </c>
      <c r="D9" s="7">
        <f>'Цикличное меню 7-11 лет'!E61</f>
        <v>44.128999999999998</v>
      </c>
      <c r="E9" s="7">
        <f>'Цикличное меню 7-11 лет'!F61</f>
        <v>185.095</v>
      </c>
      <c r="F9" s="7">
        <f>'Цикличное меню 7-11 лет'!G61</f>
        <v>1386.7650000000001</v>
      </c>
      <c r="G9" s="7">
        <f>'Цикличное меню 7-11 лет'!H61</f>
        <v>164.32</v>
      </c>
      <c r="H9" s="7">
        <f>'Цикличное меню 7-11 лет'!I61</f>
        <v>0.91500000000000004</v>
      </c>
      <c r="I9" s="7">
        <f>'Цикличное меню 7-11 лет'!J61</f>
        <v>31.619</v>
      </c>
      <c r="J9" s="7">
        <f>'Цикличное меню 7-11 лет'!K61</f>
        <v>710.10900000000004</v>
      </c>
      <c r="K9" s="7">
        <f>'Цикличное меню 7-11 лет'!L61</f>
        <v>913.01099999999997</v>
      </c>
      <c r="L9" s="7">
        <f>'Цикличное меню 7-11 лет'!M61</f>
        <v>9.4649999999999999</v>
      </c>
    </row>
    <row r="10" spans="1:12">
      <c r="A10" s="1"/>
      <c r="B10" s="6" t="s">
        <v>91</v>
      </c>
      <c r="C10" s="7">
        <f>'Цикличное меню 7-11 лет'!D98</f>
        <v>78.720799999999997</v>
      </c>
      <c r="D10" s="7">
        <f>'Цикличное меню 7-11 лет'!E98</f>
        <v>60.527000000000001</v>
      </c>
      <c r="E10" s="7">
        <f>'Цикличное меню 7-11 лет'!F98</f>
        <v>207.012</v>
      </c>
      <c r="F10" s="7">
        <f>'Цикличное меню 7-11 лет'!G98</f>
        <v>1738.75</v>
      </c>
      <c r="G10" s="7">
        <f>'Цикличное меню 7-11 лет'!H98</f>
        <v>6037.82</v>
      </c>
      <c r="H10" s="7">
        <f>'Цикличное меню 7-11 лет'!I98</f>
        <v>1.1834</v>
      </c>
      <c r="I10" s="7">
        <f>'Цикличное меню 7-11 лет'!J98</f>
        <v>55.7</v>
      </c>
      <c r="J10" s="7">
        <f>'Цикличное меню 7-11 лет'!K98</f>
        <v>630.47199999999998</v>
      </c>
      <c r="K10" s="7">
        <f>'Цикличное меню 7-11 лет'!L98</f>
        <v>1214.7750000000001</v>
      </c>
      <c r="L10" s="7">
        <f>'Цикличное меню 7-11 лет'!M98</f>
        <v>25.369</v>
      </c>
    </row>
    <row r="11" spans="1:12">
      <c r="A11" s="1"/>
      <c r="B11" s="6" t="s">
        <v>92</v>
      </c>
      <c r="C11" s="7">
        <f>'Цикличное меню 7-11 лет'!D134</f>
        <v>46.603000000000002</v>
      </c>
      <c r="D11" s="7">
        <f>'Цикличное меню 7-11 лет'!E134</f>
        <v>65.099999999999994</v>
      </c>
      <c r="E11" s="7">
        <f>'Цикличное меню 7-11 лет'!F134</f>
        <v>167.94</v>
      </c>
      <c r="F11" s="7">
        <f>'Цикличное меню 7-11 лет'!G134</f>
        <v>1468.6</v>
      </c>
      <c r="G11" s="7">
        <f>'Цикличное меню 7-11 лет'!H134</f>
        <v>96.22</v>
      </c>
      <c r="H11" s="7">
        <f>'Цикличное меню 7-11 лет'!I134</f>
        <v>1.1759999999999999</v>
      </c>
      <c r="I11" s="7">
        <f>'Цикличное меню 7-11 лет'!J134</f>
        <v>22.52</v>
      </c>
      <c r="J11" s="7">
        <f>'Цикличное меню 7-11 лет'!K134</f>
        <v>486.755</v>
      </c>
      <c r="K11" s="7">
        <f>'Цикличное меню 7-11 лет'!L134</f>
        <v>822.21500000000003</v>
      </c>
      <c r="L11" s="7">
        <f>'Цикличное меню 7-11 лет'!M134</f>
        <v>9.77</v>
      </c>
    </row>
    <row r="12" spans="1:12">
      <c r="A12" s="1"/>
      <c r="B12" s="6" t="s">
        <v>93</v>
      </c>
      <c r="C12" s="7">
        <f>'Цикличное меню 7-11 лет'!D171</f>
        <v>32.655999999999999</v>
      </c>
      <c r="D12" s="7">
        <f>'Цикличное меню 7-11 лет'!E171</f>
        <v>28.257000000000001</v>
      </c>
      <c r="E12" s="7">
        <f>'Цикличное меню 7-11 лет'!F171</f>
        <v>123.354</v>
      </c>
      <c r="F12" s="7">
        <f>'Цикличное меню 7-11 лет'!G171</f>
        <v>904.31</v>
      </c>
      <c r="G12" s="7">
        <f>'Цикличное меню 7-11 лет'!H171</f>
        <v>140</v>
      </c>
      <c r="H12" s="7">
        <f>'Цикличное меню 7-11 лет'!I171</f>
        <v>0.87939999999999996</v>
      </c>
      <c r="I12" s="7">
        <f>'Цикличное меню 7-11 лет'!J171</f>
        <v>14.138</v>
      </c>
      <c r="J12" s="7">
        <f>'Цикличное меню 7-11 лет'!K171</f>
        <v>439.524</v>
      </c>
      <c r="K12" s="7">
        <f>'Цикличное меню 7-11 лет'!L171</f>
        <v>674.16700000000003</v>
      </c>
      <c r="L12" s="7">
        <f>'Цикличное меню 7-11 лет'!M171</f>
        <v>10.813000000000001</v>
      </c>
    </row>
    <row r="13" spans="1:12" ht="15">
      <c r="A13" s="1"/>
      <c r="B13" s="8" t="s">
        <v>162</v>
      </c>
      <c r="C13" s="9">
        <f>SUM(C8:C12)/5</f>
        <v>51.704560000000001</v>
      </c>
      <c r="D13" s="9">
        <f t="shared" ref="D13:L13" si="0">SUM(D8:D12)/5</f>
        <v>53.617800000000003</v>
      </c>
      <c r="E13" s="9">
        <f t="shared" si="0"/>
        <v>174.9384</v>
      </c>
      <c r="F13" s="9">
        <f t="shared" si="0"/>
        <v>1423.595</v>
      </c>
      <c r="G13" s="9">
        <f t="shared" si="0"/>
        <v>1313.2360000000001</v>
      </c>
      <c r="H13" s="9">
        <f t="shared" si="0"/>
        <v>1.0531600000000001</v>
      </c>
      <c r="I13" s="9">
        <f t="shared" si="0"/>
        <v>35.992800000000003</v>
      </c>
      <c r="J13" s="9">
        <f t="shared" si="0"/>
        <v>554.25840000000005</v>
      </c>
      <c r="K13" s="9">
        <f t="shared" si="0"/>
        <v>887.08839999999998</v>
      </c>
      <c r="L13" s="9">
        <f t="shared" si="0"/>
        <v>13.5846</v>
      </c>
    </row>
    <row r="14" spans="1:12">
      <c r="A14" s="1"/>
      <c r="B14" s="10" t="s">
        <v>163</v>
      </c>
      <c r="C14" s="11">
        <f>C13/C7-1</f>
        <v>0.21944716981132101</v>
      </c>
      <c r="D14" s="11">
        <f t="shared" ref="D14:L14" si="1">D13/D7-1</f>
        <v>0.232593103448276</v>
      </c>
      <c r="E14" s="11">
        <f t="shared" si="1"/>
        <v>-5.0795442213782002E-2</v>
      </c>
      <c r="F14" s="11">
        <f t="shared" si="1"/>
        <v>0.10142746615087</v>
      </c>
      <c r="G14" s="12">
        <f t="shared" si="1"/>
        <v>2.4110025974026001</v>
      </c>
      <c r="H14" s="11">
        <f t="shared" si="1"/>
        <v>0.50451428571428603</v>
      </c>
      <c r="I14" s="11">
        <f t="shared" si="1"/>
        <v>9.0690909090909197E-2</v>
      </c>
      <c r="J14" s="11">
        <f t="shared" si="1"/>
        <v>-8.3870413223140594E-2</v>
      </c>
      <c r="K14" s="11">
        <f t="shared" si="1"/>
        <v>0.466261818181818</v>
      </c>
      <c r="L14" s="11">
        <f t="shared" si="1"/>
        <v>1.0582727272727299</v>
      </c>
    </row>
    <row r="15" spans="1:12">
      <c r="A15" s="1"/>
      <c r="B15" s="6" t="s">
        <v>89</v>
      </c>
      <c r="C15" s="7">
        <f>'Цикличное меню 7-11 лет'!D210</f>
        <v>51.036000000000001</v>
      </c>
      <c r="D15" s="7">
        <f>'Цикличное меню 7-11 лет'!E210</f>
        <v>75.582999999999998</v>
      </c>
      <c r="E15" s="7">
        <f>'Цикличное меню 7-11 лет'!F210</f>
        <v>196.85</v>
      </c>
      <c r="F15" s="7">
        <f>'Цикличное меню 7-11 лет'!G210</f>
        <v>1705.24</v>
      </c>
      <c r="G15" s="7">
        <f>'Цикличное меню 7-11 лет'!H210</f>
        <v>145.4</v>
      </c>
      <c r="H15" s="7">
        <f>'Цикличное меню 7-11 лет'!I210</f>
        <v>1.246</v>
      </c>
      <c r="I15" s="7">
        <f>'Цикличное меню 7-11 лет'!J210</f>
        <v>58.097000000000001</v>
      </c>
      <c r="J15" s="7">
        <f>'Цикличное меню 7-11 лет'!K210</f>
        <v>448.64699999999999</v>
      </c>
      <c r="K15" s="7">
        <f>'Цикличное меню 7-11 лет'!L210</f>
        <v>775.63499999999999</v>
      </c>
      <c r="L15" s="7">
        <f>'Цикличное меню 7-11 лет'!M210</f>
        <v>16.591999999999999</v>
      </c>
    </row>
    <row r="16" spans="1:12">
      <c r="A16" s="1"/>
      <c r="B16" s="6" t="s">
        <v>90</v>
      </c>
      <c r="C16" s="7">
        <f>'Цикличное меню 7-11 лет'!D245</f>
        <v>54.621000000000002</v>
      </c>
      <c r="D16" s="7">
        <f>'Цикличное меню 7-11 лет'!E245</f>
        <v>49.832999999999998</v>
      </c>
      <c r="E16" s="7">
        <f>'Цикличное меню 7-11 лет'!F245</f>
        <v>160.761</v>
      </c>
      <c r="F16" s="7">
        <f>'Цикличное меню 7-11 лет'!G245</f>
        <v>1345.385</v>
      </c>
      <c r="G16" s="7">
        <f>'Цикличное меню 7-11 лет'!H245</f>
        <v>405.608</v>
      </c>
      <c r="H16" s="7">
        <f>'Цикличное меню 7-11 лет'!I245</f>
        <v>0.90100000000000002</v>
      </c>
      <c r="I16" s="7">
        <f>'Цикличное меню 7-11 лет'!J245</f>
        <v>32.087000000000003</v>
      </c>
      <c r="J16" s="7">
        <f>'Цикличное меню 7-11 лет'!K245</f>
        <v>502.55700000000002</v>
      </c>
      <c r="K16" s="7">
        <f>'Цикличное меню 7-11 лет'!L245</f>
        <v>815.447</v>
      </c>
      <c r="L16" s="7">
        <f>'Цикличное меню 7-11 лет'!M245</f>
        <v>13.696</v>
      </c>
    </row>
    <row r="17" spans="1:15">
      <c r="A17" s="1"/>
      <c r="B17" s="6" t="s">
        <v>91</v>
      </c>
      <c r="C17" s="7">
        <f>'Цикличное меню 7-11 лет'!D279</f>
        <v>48.822000000000003</v>
      </c>
      <c r="D17" s="7">
        <f>'Цикличное меню 7-11 лет'!E279</f>
        <v>48.262999999999998</v>
      </c>
      <c r="E17" s="7">
        <f>'Цикличное меню 7-11 лет'!F279</f>
        <v>200.90700000000001</v>
      </c>
      <c r="F17" s="7">
        <f>'Цикличное меню 7-11 лет'!G279</f>
        <v>1487.01</v>
      </c>
      <c r="G17" s="7">
        <f>'Цикличное меню 7-11 лет'!H279</f>
        <v>5852.84</v>
      </c>
      <c r="H17" s="7">
        <f>'Цикличное меню 7-11 лет'!I279</f>
        <v>1.298</v>
      </c>
      <c r="I17" s="7">
        <f>'Цикличное меню 7-11 лет'!J279</f>
        <v>57.715000000000003</v>
      </c>
      <c r="J17" s="7">
        <f>'Цикличное меню 7-11 лет'!K279</f>
        <v>326.12700000000001</v>
      </c>
      <c r="K17" s="7">
        <f>'Цикличное меню 7-11 лет'!L279</f>
        <v>874.44600000000003</v>
      </c>
      <c r="L17" s="7">
        <f>'Цикличное меню 7-11 лет'!M279</f>
        <v>19.623999999999999</v>
      </c>
    </row>
    <row r="18" spans="1:15">
      <c r="A18" s="1"/>
      <c r="B18" s="6" t="s">
        <v>92</v>
      </c>
      <c r="C18" s="7">
        <f>'Цикличное меню 7-11 лет'!D312</f>
        <v>46.408000000000001</v>
      </c>
      <c r="D18" s="7">
        <f>'Цикличное меню 7-11 лет'!E312</f>
        <v>64.099000000000004</v>
      </c>
      <c r="E18" s="7">
        <f>'Цикличное меню 7-11 лет'!F312</f>
        <v>141.559</v>
      </c>
      <c r="F18" s="7">
        <f>'Цикличное меню 7-11 лет'!G312</f>
        <v>1348.61</v>
      </c>
      <c r="G18" s="7">
        <f>'Цикличное меню 7-11 лет'!H312</f>
        <v>160</v>
      </c>
      <c r="H18" s="7">
        <f>'Цикличное меню 7-11 лет'!I312</f>
        <v>1.2634000000000001</v>
      </c>
      <c r="I18" s="7">
        <f>'Цикличное меню 7-11 лет'!J312</f>
        <v>32.398000000000003</v>
      </c>
      <c r="J18" s="7">
        <f>'Цикличное меню 7-11 лет'!K312</f>
        <v>584.80399999999997</v>
      </c>
      <c r="K18" s="7">
        <f>'Цикличное меню 7-11 лет'!L312</f>
        <v>804.61199999999997</v>
      </c>
      <c r="L18" s="7">
        <f>'Цикличное меню 7-11 лет'!M312</f>
        <v>11.882999999999999</v>
      </c>
    </row>
    <row r="19" spans="1:15">
      <c r="A19" s="1"/>
      <c r="B19" s="6" t="s">
        <v>93</v>
      </c>
      <c r="C19" s="7">
        <f>'Цикличное меню 7-11 лет'!D345</f>
        <v>53.912999999999997</v>
      </c>
      <c r="D19" s="7">
        <f>'Цикличное меню 7-11 лет'!E345</f>
        <v>63.064999999999998</v>
      </c>
      <c r="E19" s="7">
        <f>'Цикличное меню 7-11 лет'!F345</f>
        <v>189.08500000000001</v>
      </c>
      <c r="F19" s="7">
        <f>'Цикличное меню 7-11 лет'!G345</f>
        <v>1557.825</v>
      </c>
      <c r="G19" s="7">
        <f>'Цикличное меню 7-11 лет'!H345</f>
        <v>99.4</v>
      </c>
      <c r="H19" s="7">
        <f>'Цикличное меню 7-11 лет'!I345</f>
        <v>1.268</v>
      </c>
      <c r="I19" s="7">
        <f>'Цикличное меню 7-11 лет'!J345</f>
        <v>30.875</v>
      </c>
      <c r="J19" s="7">
        <f>'Цикличное меню 7-11 лет'!K345</f>
        <v>399.14499999999998</v>
      </c>
      <c r="K19" s="7">
        <f>'Цикличное меню 7-11 лет'!L345</f>
        <v>780.71500000000003</v>
      </c>
      <c r="L19" s="7">
        <f>'Цикличное меню 7-11 лет'!M345</f>
        <v>13.68</v>
      </c>
    </row>
    <row r="20" spans="1:15" ht="15.5">
      <c r="A20" s="1"/>
      <c r="B20" s="8" t="s">
        <v>164</v>
      </c>
      <c r="C20" s="13">
        <f>SUM(C15:C19)/5</f>
        <v>50.96</v>
      </c>
      <c r="D20" s="13">
        <f t="shared" ref="D20:L20" si="2">SUM(D15:D19)/5</f>
        <v>60.168599999999998</v>
      </c>
      <c r="E20" s="13">
        <f t="shared" si="2"/>
        <v>177.83240000000001</v>
      </c>
      <c r="F20" s="13">
        <f t="shared" si="2"/>
        <v>1488.8140000000001</v>
      </c>
      <c r="G20" s="13">
        <f t="shared" si="2"/>
        <v>1332.6496</v>
      </c>
      <c r="H20" s="13">
        <f t="shared" si="2"/>
        <v>1.1952799999999999</v>
      </c>
      <c r="I20" s="13">
        <f t="shared" si="2"/>
        <v>42.234400000000001</v>
      </c>
      <c r="J20" s="13">
        <f t="shared" si="2"/>
        <v>452.25599999999997</v>
      </c>
      <c r="K20" s="13">
        <f t="shared" si="2"/>
        <v>810.17100000000005</v>
      </c>
      <c r="L20" s="13">
        <f t="shared" si="2"/>
        <v>15.095000000000001</v>
      </c>
    </row>
    <row r="21" spans="1:15">
      <c r="A21" s="1"/>
      <c r="B21" s="10" t="s">
        <v>163</v>
      </c>
      <c r="C21" s="11">
        <f>C20/C7-1</f>
        <v>0.20188679245283001</v>
      </c>
      <c r="D21" s="11">
        <f t="shared" ref="D21:L21" si="3">D20/D7-1</f>
        <v>0.38318620689655097</v>
      </c>
      <c r="E21" s="11">
        <f t="shared" si="3"/>
        <v>-3.5092783505154698E-2</v>
      </c>
      <c r="F21" s="11">
        <f t="shared" si="3"/>
        <v>0.151887040618956</v>
      </c>
      <c r="G21" s="12">
        <f t="shared" si="3"/>
        <v>2.4614275324675301</v>
      </c>
      <c r="H21" s="11">
        <f t="shared" si="3"/>
        <v>0.70754285714285703</v>
      </c>
      <c r="I21" s="11">
        <f t="shared" si="3"/>
        <v>0.27983030303030298</v>
      </c>
      <c r="J21" s="11">
        <f t="shared" si="3"/>
        <v>-0.25246942148760299</v>
      </c>
      <c r="K21" s="11">
        <f t="shared" si="3"/>
        <v>0.33912561983471101</v>
      </c>
      <c r="L21" s="11">
        <f t="shared" si="3"/>
        <v>1.2871212121212099</v>
      </c>
    </row>
    <row r="22" spans="1:15">
      <c r="A22" s="1"/>
      <c r="B22" s="14" t="s">
        <v>165</v>
      </c>
      <c r="C22" s="15">
        <f>(C8+C9+C10+C11+C12+C15+C16+C17+C18+C19)/10</f>
        <v>51.332279999999997</v>
      </c>
      <c r="D22" s="15">
        <f t="shared" ref="D22:L22" si="4">(D8+D9+D10+D11+D12+D15+D16+D17+D18+D19)/10</f>
        <v>56.8932</v>
      </c>
      <c r="E22" s="15">
        <f t="shared" si="4"/>
        <v>176.3854</v>
      </c>
      <c r="F22" s="15">
        <f t="shared" si="4"/>
        <v>1456.2045000000001</v>
      </c>
      <c r="G22" s="15">
        <f t="shared" si="4"/>
        <v>1322.9428</v>
      </c>
      <c r="H22" s="15">
        <f t="shared" si="4"/>
        <v>1.12422</v>
      </c>
      <c r="I22" s="15">
        <f t="shared" si="4"/>
        <v>39.113599999999998</v>
      </c>
      <c r="J22" s="15">
        <f t="shared" si="4"/>
        <v>503.25720000000001</v>
      </c>
      <c r="K22" s="15">
        <f t="shared" si="4"/>
        <v>848.62969999999996</v>
      </c>
      <c r="L22" s="15">
        <f t="shared" si="4"/>
        <v>14.3398</v>
      </c>
    </row>
    <row r="23" spans="1:15" ht="15">
      <c r="A23" s="1"/>
      <c r="B23" s="16" t="s">
        <v>166</v>
      </c>
      <c r="C23" s="17">
        <f>C22/C7-1</f>
        <v>0.21066698113207599</v>
      </c>
      <c r="D23" s="17">
        <f t="shared" ref="D23:L23" si="5">D22/D7-1</f>
        <v>0.30788965517241401</v>
      </c>
      <c r="E23" s="17">
        <f t="shared" si="5"/>
        <v>-4.2944112859468399E-2</v>
      </c>
      <c r="F23" s="17">
        <f t="shared" si="5"/>
        <v>0.12665725338491299</v>
      </c>
      <c r="G23" s="18">
        <f t="shared" si="5"/>
        <v>2.4362150649350598</v>
      </c>
      <c r="H23" s="17">
        <f t="shared" si="5"/>
        <v>0.60602857142857203</v>
      </c>
      <c r="I23" s="17">
        <f t="shared" si="5"/>
        <v>0.18526060606060599</v>
      </c>
      <c r="J23" s="17">
        <f t="shared" si="5"/>
        <v>-0.16816991735537201</v>
      </c>
      <c r="K23" s="17">
        <f t="shared" si="5"/>
        <v>0.40269371900826501</v>
      </c>
      <c r="L23" s="17">
        <f t="shared" si="5"/>
        <v>1.17269696969697</v>
      </c>
    </row>
    <row r="24" spans="1:15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5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5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5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5" ht="1.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5" hidden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5" ht="24.75" customHeight="1">
      <c r="A30" s="178" t="s">
        <v>167</v>
      </c>
      <c r="B30" s="181" t="s">
        <v>168</v>
      </c>
      <c r="C30" s="175" t="s">
        <v>169</v>
      </c>
      <c r="D30" s="176"/>
      <c r="E30" s="176"/>
      <c r="F30" s="176"/>
      <c r="G30" s="176"/>
      <c r="H30" s="176"/>
      <c r="I30" s="176"/>
      <c r="J30" s="176"/>
      <c r="K30" s="176"/>
      <c r="L30" s="177"/>
      <c r="M30" s="169" t="s">
        <v>165</v>
      </c>
      <c r="N30" s="171" t="s">
        <v>170</v>
      </c>
      <c r="O30" s="173" t="s">
        <v>171</v>
      </c>
    </row>
    <row r="31" spans="1:15" ht="45" customHeight="1">
      <c r="A31" s="178"/>
      <c r="B31" s="181"/>
      <c r="C31" s="20">
        <v>1</v>
      </c>
      <c r="D31" s="19">
        <v>2</v>
      </c>
      <c r="E31" s="19">
        <v>3</v>
      </c>
      <c r="F31" s="19">
        <v>4</v>
      </c>
      <c r="G31" s="19">
        <v>5</v>
      </c>
      <c r="H31" s="19">
        <v>6</v>
      </c>
      <c r="I31" s="19">
        <v>7</v>
      </c>
      <c r="J31" s="19">
        <v>8</v>
      </c>
      <c r="K31" s="19">
        <v>9</v>
      </c>
      <c r="L31" s="28">
        <v>10</v>
      </c>
      <c r="M31" s="170"/>
      <c r="N31" s="172"/>
      <c r="O31" s="174"/>
    </row>
    <row r="32" spans="1:15" ht="15" customHeight="1">
      <c r="A32" s="19">
        <v>1</v>
      </c>
      <c r="B32" s="21" t="s">
        <v>172</v>
      </c>
      <c r="C32" s="22"/>
      <c r="D32" s="23"/>
      <c r="E32" s="23"/>
      <c r="F32" s="23"/>
      <c r="G32" s="23"/>
      <c r="H32" s="23"/>
      <c r="I32" s="23"/>
      <c r="J32" s="23"/>
      <c r="K32" s="23"/>
      <c r="L32" s="29"/>
      <c r="M32" s="30">
        <f t="shared" ref="M32:M62" si="6">SUM(C32:L32)/10</f>
        <v>0</v>
      </c>
      <c r="N32" s="31">
        <v>165</v>
      </c>
      <c r="O32" s="32">
        <f>(M32/N32-1)*100</f>
        <v>-100</v>
      </c>
    </row>
    <row r="33" spans="1:15" ht="15" customHeight="1">
      <c r="A33" s="19">
        <v>2</v>
      </c>
      <c r="B33" s="21" t="s">
        <v>173</v>
      </c>
      <c r="C33" s="22"/>
      <c r="D33" s="23"/>
      <c r="E33" s="23"/>
      <c r="F33" s="23"/>
      <c r="G33" s="23"/>
      <c r="H33" s="23"/>
      <c r="I33" s="23"/>
      <c r="J33" s="23"/>
      <c r="K33" s="23"/>
      <c r="L33" s="29"/>
      <c r="M33" s="30">
        <f t="shared" si="6"/>
        <v>0</v>
      </c>
      <c r="N33" s="31">
        <v>82.5</v>
      </c>
      <c r="O33" s="32">
        <f>(M33/N33-1)*100</f>
        <v>-100</v>
      </c>
    </row>
    <row r="34" spans="1:15" ht="15" customHeight="1">
      <c r="A34" s="19">
        <v>3</v>
      </c>
      <c r="B34" s="21" t="s">
        <v>174</v>
      </c>
      <c r="C34" s="22"/>
      <c r="D34" s="23"/>
      <c r="E34" s="23"/>
      <c r="F34" s="23"/>
      <c r="G34" s="23"/>
      <c r="H34" s="23"/>
      <c r="I34" s="23"/>
      <c r="J34" s="23"/>
      <c r="K34" s="23"/>
      <c r="L34" s="29"/>
      <c r="M34" s="30">
        <f t="shared" si="6"/>
        <v>0</v>
      </c>
      <c r="N34" s="31">
        <v>27.5</v>
      </c>
      <c r="O34" s="32">
        <f t="shared" ref="O34:O62" si="7">(M34/N34-1)*100</f>
        <v>-100</v>
      </c>
    </row>
    <row r="35" spans="1:15" ht="15" customHeight="1">
      <c r="A35" s="19">
        <v>4</v>
      </c>
      <c r="B35" s="21" t="s">
        <v>97</v>
      </c>
      <c r="C35" s="22"/>
      <c r="D35" s="23"/>
      <c r="E35" s="23"/>
      <c r="F35" s="23"/>
      <c r="G35" s="23"/>
      <c r="H35" s="23"/>
      <c r="I35" s="23"/>
      <c r="J35" s="23"/>
      <c r="K35" s="23"/>
      <c r="L35" s="29"/>
      <c r="M35" s="30">
        <f t="shared" si="6"/>
        <v>0</v>
      </c>
      <c r="N35" s="31">
        <v>5.5</v>
      </c>
      <c r="O35" s="32">
        <f t="shared" si="7"/>
        <v>-100</v>
      </c>
    </row>
    <row r="36" spans="1:15" ht="15" customHeight="1">
      <c r="A36" s="19">
        <v>5</v>
      </c>
      <c r="B36" s="21" t="s">
        <v>35</v>
      </c>
      <c r="C36" s="22"/>
      <c r="D36" s="23"/>
      <c r="E36" s="23"/>
      <c r="F36" s="23"/>
      <c r="G36" s="23"/>
      <c r="H36" s="23"/>
      <c r="I36" s="23"/>
      <c r="J36" s="23"/>
      <c r="K36" s="23"/>
      <c r="L36" s="29"/>
      <c r="M36" s="30">
        <f t="shared" si="6"/>
        <v>0</v>
      </c>
      <c r="N36" s="31">
        <v>5.5</v>
      </c>
      <c r="O36" s="32">
        <f t="shared" si="7"/>
        <v>-100</v>
      </c>
    </row>
    <row r="37" spans="1:15" ht="15" customHeight="1">
      <c r="A37" s="19">
        <v>6</v>
      </c>
      <c r="B37" s="21" t="s">
        <v>98</v>
      </c>
      <c r="C37" s="22"/>
      <c r="D37" s="23"/>
      <c r="E37" s="23"/>
      <c r="F37" s="23"/>
      <c r="G37" s="23"/>
      <c r="H37" s="23"/>
      <c r="I37" s="23"/>
      <c r="J37" s="23"/>
      <c r="K37" s="23"/>
      <c r="L37" s="29"/>
      <c r="M37" s="30">
        <f t="shared" si="6"/>
        <v>0</v>
      </c>
      <c r="N37" s="31">
        <v>16.5</v>
      </c>
      <c r="O37" s="32">
        <f t="shared" si="7"/>
        <v>-100</v>
      </c>
    </row>
    <row r="38" spans="1:15" ht="15" customHeight="1">
      <c r="A38" s="19">
        <v>7</v>
      </c>
      <c r="B38" s="21" t="s">
        <v>99</v>
      </c>
      <c r="C38" s="22"/>
      <c r="D38" s="23"/>
      <c r="E38" s="23"/>
      <c r="F38" s="23"/>
      <c r="G38" s="23"/>
      <c r="H38" s="23"/>
      <c r="I38" s="23"/>
      <c r="J38" s="23"/>
      <c r="K38" s="23"/>
      <c r="L38" s="29"/>
      <c r="M38" s="30">
        <f t="shared" si="6"/>
        <v>0</v>
      </c>
      <c r="N38" s="31">
        <v>22</v>
      </c>
      <c r="O38" s="32">
        <f t="shared" si="7"/>
        <v>-100</v>
      </c>
    </row>
    <row r="39" spans="1:15" ht="15" customHeight="1">
      <c r="A39" s="19">
        <v>8</v>
      </c>
      <c r="B39" s="21" t="s">
        <v>175</v>
      </c>
      <c r="C39" s="22"/>
      <c r="D39" s="23"/>
      <c r="E39" s="23"/>
      <c r="F39" s="23"/>
      <c r="G39" s="23"/>
      <c r="H39" s="23"/>
      <c r="I39" s="23"/>
      <c r="J39" s="23"/>
      <c r="K39" s="23"/>
      <c r="L39" s="29"/>
      <c r="M39" s="30">
        <f t="shared" si="6"/>
        <v>0</v>
      </c>
      <c r="N39" s="31">
        <v>38.5</v>
      </c>
      <c r="O39" s="32">
        <f t="shared" si="7"/>
        <v>-100</v>
      </c>
    </row>
    <row r="40" spans="1:15" ht="15" customHeight="1">
      <c r="A40" s="19">
        <v>9</v>
      </c>
      <c r="B40" s="21" t="s">
        <v>101</v>
      </c>
      <c r="C40" s="22"/>
      <c r="D40" s="23"/>
      <c r="E40" s="23"/>
      <c r="F40" s="23"/>
      <c r="G40" s="23"/>
      <c r="H40" s="23"/>
      <c r="I40" s="23"/>
      <c r="J40" s="23"/>
      <c r="K40" s="23"/>
      <c r="L40" s="29"/>
      <c r="M40" s="30">
        <f t="shared" si="6"/>
        <v>0</v>
      </c>
      <c r="N40" s="31">
        <v>19.25</v>
      </c>
      <c r="O40" s="32">
        <f t="shared" si="7"/>
        <v>-100</v>
      </c>
    </row>
    <row r="41" spans="1:15" ht="15" customHeight="1">
      <c r="A41" s="19">
        <v>10</v>
      </c>
      <c r="B41" s="21" t="s">
        <v>102</v>
      </c>
      <c r="C41" s="22"/>
      <c r="D41" s="23"/>
      <c r="E41" s="23"/>
      <c r="F41" s="23"/>
      <c r="G41" s="23"/>
      <c r="H41" s="23"/>
      <c r="I41" s="23"/>
      <c r="J41" s="23"/>
      <c r="K41" s="23"/>
      <c r="L41" s="29"/>
      <c r="M41" s="30">
        <f t="shared" si="6"/>
        <v>0</v>
      </c>
      <c r="N41" s="31">
        <v>16.5</v>
      </c>
      <c r="O41" s="32">
        <f t="shared" si="7"/>
        <v>-100</v>
      </c>
    </row>
    <row r="42" spans="1:15" ht="15" customHeight="1">
      <c r="A42" s="19">
        <v>11</v>
      </c>
      <c r="B42" s="21" t="s">
        <v>103</v>
      </c>
      <c r="C42" s="22"/>
      <c r="D42" s="23"/>
      <c r="E42" s="23"/>
      <c r="F42" s="23"/>
      <c r="G42" s="23"/>
      <c r="H42" s="23"/>
      <c r="I42" s="23"/>
      <c r="J42" s="23"/>
      <c r="K42" s="23"/>
      <c r="L42" s="29"/>
      <c r="M42" s="30">
        <f t="shared" si="6"/>
        <v>0</v>
      </c>
      <c r="N42" s="31">
        <v>31.9</v>
      </c>
      <c r="O42" s="32">
        <f t="shared" si="7"/>
        <v>-100</v>
      </c>
    </row>
    <row r="43" spans="1:15" ht="15" customHeight="1">
      <c r="A43" s="19">
        <v>12</v>
      </c>
      <c r="B43" s="21" t="s">
        <v>104</v>
      </c>
      <c r="C43" s="22"/>
      <c r="D43" s="23"/>
      <c r="E43" s="23"/>
      <c r="F43" s="23"/>
      <c r="G43" s="23"/>
      <c r="H43" s="23"/>
      <c r="I43" s="23"/>
      <c r="J43" s="23"/>
      <c r="K43" s="23"/>
      <c r="L43" s="29"/>
      <c r="M43" s="30">
        <f t="shared" si="6"/>
        <v>0</v>
      </c>
      <c r="N43" s="31">
        <v>102.85</v>
      </c>
      <c r="O43" s="32">
        <f t="shared" si="7"/>
        <v>-100</v>
      </c>
    </row>
    <row r="44" spans="1:15" ht="15" customHeight="1">
      <c r="A44" s="19">
        <v>13</v>
      </c>
      <c r="B44" s="21" t="s">
        <v>105</v>
      </c>
      <c r="C44" s="22"/>
      <c r="D44" s="23"/>
      <c r="E44" s="23"/>
      <c r="F44" s="23"/>
      <c r="G44" s="23"/>
      <c r="H44" s="23"/>
      <c r="I44" s="23"/>
      <c r="J44" s="23"/>
      <c r="K44" s="23"/>
      <c r="L44" s="29"/>
      <c r="M44" s="30">
        <f t="shared" si="6"/>
        <v>0</v>
      </c>
      <c r="N44" s="31">
        <v>154</v>
      </c>
      <c r="O44" s="32">
        <f t="shared" si="7"/>
        <v>-100</v>
      </c>
    </row>
    <row r="45" spans="1:15" ht="15" customHeight="1">
      <c r="A45" s="19">
        <v>14</v>
      </c>
      <c r="B45" s="21" t="s">
        <v>106</v>
      </c>
      <c r="C45" s="22"/>
      <c r="D45" s="23"/>
      <c r="E45" s="23"/>
      <c r="F45" s="23"/>
      <c r="G45" s="23"/>
      <c r="H45" s="23"/>
      <c r="I45" s="23"/>
      <c r="J45" s="23"/>
      <c r="K45" s="23"/>
      <c r="L45" s="29"/>
      <c r="M45" s="30">
        <f t="shared" si="6"/>
        <v>0</v>
      </c>
      <c r="N45" s="31">
        <v>101.75</v>
      </c>
      <c r="O45" s="32">
        <f t="shared" si="7"/>
        <v>-100</v>
      </c>
    </row>
    <row r="46" spans="1:15" ht="15" customHeight="1">
      <c r="A46" s="19">
        <v>15</v>
      </c>
      <c r="B46" s="21" t="s">
        <v>107</v>
      </c>
      <c r="C46" s="22"/>
      <c r="D46" s="23"/>
      <c r="E46" s="23"/>
      <c r="F46" s="23"/>
      <c r="G46" s="23"/>
      <c r="H46" s="23"/>
      <c r="I46" s="23"/>
      <c r="J46" s="23"/>
      <c r="K46" s="23"/>
      <c r="L46" s="29"/>
      <c r="M46" s="30">
        <f t="shared" si="6"/>
        <v>0</v>
      </c>
      <c r="N46" s="31">
        <v>8.25</v>
      </c>
      <c r="O46" s="32">
        <f t="shared" si="7"/>
        <v>-100</v>
      </c>
    </row>
    <row r="47" spans="1:15" ht="15" customHeight="1">
      <c r="A47" s="19">
        <v>16</v>
      </c>
      <c r="B47" s="21" t="s">
        <v>176</v>
      </c>
      <c r="C47" s="22"/>
      <c r="D47" s="23"/>
      <c r="E47" s="23"/>
      <c r="F47" s="23"/>
      <c r="G47" s="23"/>
      <c r="H47" s="23"/>
      <c r="I47" s="23"/>
      <c r="J47" s="23"/>
      <c r="K47" s="23"/>
      <c r="L47" s="29"/>
      <c r="M47" s="30">
        <f t="shared" si="6"/>
        <v>0</v>
      </c>
      <c r="N47" s="31">
        <v>110</v>
      </c>
      <c r="O47" s="32">
        <f t="shared" si="7"/>
        <v>-100</v>
      </c>
    </row>
    <row r="48" spans="1:15" ht="15" customHeight="1">
      <c r="A48" s="19">
        <v>17</v>
      </c>
      <c r="B48" s="21" t="s">
        <v>109</v>
      </c>
      <c r="C48" s="22"/>
      <c r="D48" s="23"/>
      <c r="E48" s="23"/>
      <c r="F48" s="23"/>
      <c r="G48" s="23"/>
      <c r="H48" s="23"/>
      <c r="I48" s="23"/>
      <c r="J48" s="23"/>
      <c r="K48" s="23"/>
      <c r="L48" s="29"/>
      <c r="M48" s="30">
        <f t="shared" si="6"/>
        <v>0</v>
      </c>
      <c r="N48" s="31">
        <v>24.75</v>
      </c>
      <c r="O48" s="32">
        <f t="shared" si="7"/>
        <v>-100</v>
      </c>
    </row>
    <row r="49" spans="1:15" ht="15" customHeight="1">
      <c r="A49" s="19">
        <v>18</v>
      </c>
      <c r="B49" s="21" t="s">
        <v>110</v>
      </c>
      <c r="C49" s="22"/>
      <c r="D49" s="23"/>
      <c r="E49" s="23"/>
      <c r="F49" s="23"/>
      <c r="G49" s="23"/>
      <c r="H49" s="23"/>
      <c r="I49" s="23"/>
      <c r="J49" s="23"/>
      <c r="K49" s="23"/>
      <c r="L49" s="29"/>
      <c r="M49" s="30">
        <f t="shared" si="6"/>
        <v>0</v>
      </c>
      <c r="N49" s="31">
        <v>8.25</v>
      </c>
      <c r="O49" s="32">
        <f t="shared" si="7"/>
        <v>-100</v>
      </c>
    </row>
    <row r="50" spans="1:15" ht="15" customHeight="1">
      <c r="A50" s="19">
        <v>19</v>
      </c>
      <c r="B50" s="21" t="s">
        <v>111</v>
      </c>
      <c r="C50" s="22"/>
      <c r="D50" s="23"/>
      <c r="E50" s="23"/>
      <c r="F50" s="23"/>
      <c r="G50" s="23"/>
      <c r="H50" s="23"/>
      <c r="I50" s="23"/>
      <c r="J50" s="23"/>
      <c r="K50" s="23"/>
      <c r="L50" s="29"/>
      <c r="M50" s="30">
        <f t="shared" si="6"/>
        <v>0</v>
      </c>
      <c r="N50" s="31">
        <v>8.25</v>
      </c>
      <c r="O50" s="32">
        <f t="shared" si="7"/>
        <v>-100</v>
      </c>
    </row>
    <row r="51" spans="1:15" ht="15" customHeight="1">
      <c r="A51" s="19">
        <v>20</v>
      </c>
      <c r="B51" s="21" t="s">
        <v>112</v>
      </c>
      <c r="C51" s="22"/>
      <c r="D51" s="23"/>
      <c r="E51" s="23"/>
      <c r="F51" s="23"/>
      <c r="G51" s="23"/>
      <c r="H51" s="23"/>
      <c r="I51" s="23"/>
      <c r="J51" s="23"/>
      <c r="K51" s="23"/>
      <c r="L51" s="29"/>
      <c r="M51" s="30">
        <f t="shared" si="6"/>
        <v>0</v>
      </c>
      <c r="N51" s="31">
        <v>0.11</v>
      </c>
      <c r="O51" s="32">
        <f t="shared" si="7"/>
        <v>-100</v>
      </c>
    </row>
    <row r="52" spans="1:15" ht="15" customHeight="1">
      <c r="A52" s="19">
        <v>21</v>
      </c>
      <c r="B52" s="21" t="s">
        <v>113</v>
      </c>
      <c r="C52" s="22"/>
      <c r="D52" s="23"/>
      <c r="E52" s="23"/>
      <c r="F52" s="23"/>
      <c r="G52" s="23"/>
      <c r="H52" s="23"/>
      <c r="I52" s="23"/>
      <c r="J52" s="23"/>
      <c r="K52" s="23"/>
      <c r="L52" s="29"/>
      <c r="M52" s="30">
        <f t="shared" si="6"/>
        <v>0</v>
      </c>
      <c r="N52" s="31">
        <v>1.65</v>
      </c>
      <c r="O52" s="32">
        <f t="shared" si="7"/>
        <v>-100</v>
      </c>
    </row>
    <row r="53" spans="1:15" ht="15" customHeight="1">
      <c r="A53" s="19">
        <v>22</v>
      </c>
      <c r="B53" s="21" t="s">
        <v>114</v>
      </c>
      <c r="C53" s="22"/>
      <c r="D53" s="23"/>
      <c r="E53" s="23"/>
      <c r="F53" s="23"/>
      <c r="G53" s="23"/>
      <c r="H53" s="23"/>
      <c r="I53" s="23"/>
      <c r="J53" s="23"/>
      <c r="K53" s="23"/>
      <c r="L53" s="29"/>
      <c r="M53" s="30">
        <f t="shared" si="6"/>
        <v>0</v>
      </c>
      <c r="N53" s="31">
        <v>8.25</v>
      </c>
      <c r="O53" s="32">
        <f t="shared" si="7"/>
        <v>-100</v>
      </c>
    </row>
    <row r="54" spans="1:15" ht="15" customHeight="1">
      <c r="A54" s="19">
        <v>23</v>
      </c>
      <c r="B54" s="21" t="s">
        <v>115</v>
      </c>
      <c r="C54" s="22"/>
      <c r="D54" s="23"/>
      <c r="E54" s="23"/>
      <c r="F54" s="23"/>
      <c r="G54" s="23"/>
      <c r="H54" s="23"/>
      <c r="I54" s="23"/>
      <c r="J54" s="23"/>
      <c r="K54" s="23"/>
      <c r="L54" s="29"/>
      <c r="M54" s="30">
        <f t="shared" si="6"/>
        <v>0</v>
      </c>
      <c r="N54" s="31">
        <v>0.55000000000000004</v>
      </c>
      <c r="O54" s="32">
        <f t="shared" si="7"/>
        <v>-100</v>
      </c>
    </row>
    <row r="55" spans="1:15" ht="15" customHeight="1">
      <c r="A55" s="19">
        <v>24</v>
      </c>
      <c r="B55" s="21" t="s">
        <v>116</v>
      </c>
      <c r="C55" s="22"/>
      <c r="D55" s="23"/>
      <c r="E55" s="23"/>
      <c r="F55" s="23"/>
      <c r="G55" s="23"/>
      <c r="H55" s="23"/>
      <c r="I55" s="23"/>
      <c r="J55" s="23"/>
      <c r="K55" s="23"/>
      <c r="L55" s="29"/>
      <c r="M55" s="30">
        <f t="shared" si="6"/>
        <v>0</v>
      </c>
      <c r="N55" s="31">
        <v>0.55000000000000004</v>
      </c>
      <c r="O55" s="32">
        <f t="shared" si="7"/>
        <v>-100</v>
      </c>
    </row>
    <row r="56" spans="1:15" ht="15" customHeight="1">
      <c r="A56" s="19">
        <v>25</v>
      </c>
      <c r="B56" s="21" t="s">
        <v>117</v>
      </c>
      <c r="C56" s="22"/>
      <c r="D56" s="23"/>
      <c r="E56" s="23"/>
      <c r="F56" s="23"/>
      <c r="G56" s="23"/>
      <c r="H56" s="23"/>
      <c r="I56" s="23"/>
      <c r="J56" s="23"/>
      <c r="K56" s="23"/>
      <c r="L56" s="29"/>
      <c r="M56" s="30">
        <f t="shared" si="6"/>
        <v>0</v>
      </c>
      <c r="N56" s="31">
        <v>1.1000000000000001</v>
      </c>
      <c r="O56" s="32">
        <f t="shared" si="7"/>
        <v>-100</v>
      </c>
    </row>
    <row r="57" spans="1:15" ht="15" customHeight="1">
      <c r="A57" s="19">
        <v>26</v>
      </c>
      <c r="B57" s="21" t="s">
        <v>118</v>
      </c>
      <c r="C57" s="22"/>
      <c r="D57" s="23"/>
      <c r="E57" s="23"/>
      <c r="F57" s="23"/>
      <c r="G57" s="23"/>
      <c r="H57" s="23"/>
      <c r="I57" s="23"/>
      <c r="J57" s="23"/>
      <c r="K57" s="23"/>
      <c r="L57" s="29"/>
      <c r="M57" s="30">
        <f t="shared" si="6"/>
        <v>0</v>
      </c>
      <c r="N57" s="31">
        <v>16.5</v>
      </c>
      <c r="O57" s="32">
        <f t="shared" si="7"/>
        <v>-100</v>
      </c>
    </row>
    <row r="58" spans="1:15" ht="15" customHeight="1">
      <c r="A58" s="19">
        <v>27</v>
      </c>
      <c r="B58" s="21" t="s">
        <v>119</v>
      </c>
      <c r="C58" s="22"/>
      <c r="D58" s="23"/>
      <c r="E58" s="23"/>
      <c r="F58" s="23"/>
      <c r="G58" s="23"/>
      <c r="H58" s="23"/>
      <c r="I58" s="23"/>
      <c r="J58" s="23"/>
      <c r="K58" s="23"/>
      <c r="L58" s="29"/>
      <c r="M58" s="30">
        <f t="shared" si="6"/>
        <v>0</v>
      </c>
      <c r="N58" s="31">
        <v>1.65</v>
      </c>
      <c r="O58" s="32">
        <f t="shared" si="7"/>
        <v>-100</v>
      </c>
    </row>
    <row r="59" spans="1:15" ht="15" customHeight="1">
      <c r="A59" s="19">
        <v>28</v>
      </c>
      <c r="B59" s="21" t="s">
        <v>120</v>
      </c>
      <c r="C59" s="22"/>
      <c r="D59" s="23"/>
      <c r="E59" s="23"/>
      <c r="F59" s="23"/>
      <c r="G59" s="23"/>
      <c r="H59" s="23"/>
      <c r="I59" s="23"/>
      <c r="J59" s="23"/>
      <c r="K59" s="23"/>
      <c r="L59" s="29"/>
      <c r="M59" s="30">
        <f t="shared" si="6"/>
        <v>0</v>
      </c>
      <c r="N59" s="31">
        <v>82.5</v>
      </c>
      <c r="O59" s="32">
        <f t="shared" si="7"/>
        <v>-100</v>
      </c>
    </row>
    <row r="60" spans="1:15" ht="15" customHeight="1">
      <c r="A60" s="19">
        <v>29</v>
      </c>
      <c r="B60" s="21" t="s">
        <v>26</v>
      </c>
      <c r="C60" s="22"/>
      <c r="D60" s="23"/>
      <c r="E60" s="23"/>
      <c r="F60" s="23"/>
      <c r="G60" s="23"/>
      <c r="H60" s="23"/>
      <c r="I60" s="23"/>
      <c r="J60" s="23"/>
      <c r="K60" s="23"/>
      <c r="L60" s="29"/>
      <c r="M60" s="30">
        <f t="shared" si="6"/>
        <v>0</v>
      </c>
      <c r="N60" s="31">
        <v>44</v>
      </c>
      <c r="O60" s="32">
        <f t="shared" si="7"/>
        <v>-100</v>
      </c>
    </row>
    <row r="61" spans="1:15" ht="15" customHeight="1">
      <c r="A61" s="19">
        <v>30</v>
      </c>
      <c r="B61" s="21" t="s">
        <v>121</v>
      </c>
      <c r="C61" s="22"/>
      <c r="D61" s="23"/>
      <c r="E61" s="23"/>
      <c r="F61" s="23"/>
      <c r="G61" s="23"/>
      <c r="H61" s="23"/>
      <c r="I61" s="23"/>
      <c r="J61" s="23"/>
      <c r="K61" s="23"/>
      <c r="L61" s="29"/>
      <c r="M61" s="33">
        <f t="shared" si="6"/>
        <v>0</v>
      </c>
      <c r="N61" s="31">
        <v>5.5</v>
      </c>
      <c r="O61" s="32">
        <f t="shared" si="7"/>
        <v>-100</v>
      </c>
    </row>
    <row r="62" spans="1:15" ht="15" customHeight="1">
      <c r="A62" s="19">
        <v>31</v>
      </c>
      <c r="B62" s="21" t="s">
        <v>177</v>
      </c>
      <c r="C62" s="24"/>
      <c r="D62" s="25"/>
      <c r="E62" s="25"/>
      <c r="F62" s="25"/>
      <c r="G62" s="25"/>
      <c r="H62" s="25"/>
      <c r="I62" s="25"/>
      <c r="J62" s="25"/>
      <c r="K62" s="25"/>
      <c r="L62" s="34"/>
      <c r="M62" s="33">
        <f t="shared" si="6"/>
        <v>0</v>
      </c>
      <c r="N62" s="31">
        <v>1.1000000000000001</v>
      </c>
      <c r="O62" s="35">
        <f t="shared" si="7"/>
        <v>-100</v>
      </c>
    </row>
    <row r="65" spans="3:3">
      <c r="C65" s="36"/>
    </row>
  </sheetData>
  <mergeCells count="13">
    <mergeCell ref="B5:B6"/>
    <mergeCell ref="B30:B31"/>
    <mergeCell ref="F5:F6"/>
    <mergeCell ref="A1:L1"/>
    <mergeCell ref="A2:L2"/>
    <mergeCell ref="C5:E5"/>
    <mergeCell ref="G5:I5"/>
    <mergeCell ref="J5:L5"/>
    <mergeCell ref="M30:M31"/>
    <mergeCell ref="N30:N31"/>
    <mergeCell ref="O30:O31"/>
    <mergeCell ref="C30:L30"/>
    <mergeCell ref="A30:A31"/>
  </mergeCells>
  <pageMargins left="0" right="0" top="0.55118110236220497" bottom="0.55118110236220497" header="0.31496062992126" footer="0.31496062992126"/>
  <pageSetup paperSize="9" scale="9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Цикличное меню 7-11 лет</vt:lpstr>
      <vt:lpstr>Распределение по нормам</vt:lpstr>
      <vt:lpstr>Ведомость 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Ученик</dc:creator>
  <cp:lastModifiedBy>Ученик</cp:lastModifiedBy>
  <dcterms:created xsi:type="dcterms:W3CDTF">2006-09-16T00:00:00Z</dcterms:created>
  <dcterms:modified xsi:type="dcterms:W3CDTF">2025-11-05T11:04:55Z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25480DF7AE7847AB94AB53DF4055AD3D_12</vt:lpwstr>
  </property>
  <property fmtid="{D5CDD505-2E9C-101B-9397-08002B2CF9AE}" pid="3" name="KSOProductBuildVer">
    <vt:lpwstr>1049-12.2.0.17545</vt:lpwstr>
  </property>
</Properties>
</file>