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375" windowHeight="10695" tabRatio="806" activeTab="1"/>
  </bookViews>
  <sheets>
    <sheet name="1-4 кл Симф 2026" sheetId="8" r:id="rId1"/>
    <sheet name="5-11кл Симф 2026" sheetId="13" r:id="rId2"/>
  </sheets>
  <definedNames>
    <definedName name="_Hlk57507523" localSheetId="0">'1-4 кл Симф 2026'!$B$4</definedName>
    <definedName name="_Hlk57507523" localSheetId="1">'5-11кл Симф 2026'!$B$4</definedName>
    <definedName name="_xlnm._FilterDatabase" localSheetId="0" hidden="1">'1-4 кл Симф 2026'!$C$4:$C$205</definedName>
    <definedName name="_xlnm._FilterDatabase" localSheetId="1" hidden="1">'5-11кл Симф 2026'!$C$4:$C$205</definedName>
    <definedName name="_xlnm.Print_Area" localSheetId="0">'1-4 кл Симф 2026'!$A$1:$L$197</definedName>
    <definedName name="_xlnm.Print_Area" localSheetId="1">'5-11кл Симф 2026'!$A$1:$L$197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0" i="8" l="1"/>
  <c r="D20" i="8"/>
  <c r="D20" i="13"/>
  <c r="E186" i="13" l="1"/>
  <c r="F186" i="13"/>
  <c r="G186" i="13"/>
  <c r="H186" i="13"/>
  <c r="I186" i="13"/>
  <c r="J186" i="13"/>
  <c r="K186" i="13"/>
  <c r="L186" i="13"/>
  <c r="D186" i="13"/>
  <c r="L170" i="13"/>
  <c r="L169" i="13"/>
  <c r="K169" i="13"/>
  <c r="K175" i="13" s="1"/>
  <c r="J169" i="13"/>
  <c r="J175" i="13" s="1"/>
  <c r="I169" i="13"/>
  <c r="I175" i="13" s="1"/>
  <c r="H169" i="13"/>
  <c r="H175" i="13" s="1"/>
  <c r="G169" i="13"/>
  <c r="G175" i="13" s="1"/>
  <c r="F169" i="13"/>
  <c r="F175" i="13" s="1"/>
  <c r="E169" i="13"/>
  <c r="E175" i="13" s="1"/>
  <c r="L161" i="13"/>
  <c r="L166" i="13" s="1"/>
  <c r="K161" i="13"/>
  <c r="J161" i="13"/>
  <c r="J166" i="13" s="1"/>
  <c r="I161" i="13"/>
  <c r="I166" i="13" s="1"/>
  <c r="H161" i="13"/>
  <c r="H166" i="13" s="1"/>
  <c r="G161" i="13"/>
  <c r="G166" i="13" s="1"/>
  <c r="F161" i="13"/>
  <c r="F166" i="13" s="1"/>
  <c r="E161" i="13"/>
  <c r="L141" i="13"/>
  <c r="L146" i="13" s="1"/>
  <c r="K141" i="13"/>
  <c r="K146" i="13" s="1"/>
  <c r="J141" i="13"/>
  <c r="J146" i="13" s="1"/>
  <c r="I141" i="13"/>
  <c r="I146" i="13" s="1"/>
  <c r="H141" i="13"/>
  <c r="H146" i="13" s="1"/>
  <c r="G141" i="13"/>
  <c r="G146" i="13" s="1"/>
  <c r="F141" i="13"/>
  <c r="F146" i="13" s="1"/>
  <c r="E141" i="13"/>
  <c r="E146" i="13" s="1"/>
  <c r="L130" i="13"/>
  <c r="L135" i="13" s="1"/>
  <c r="K130" i="13"/>
  <c r="K135" i="13" s="1"/>
  <c r="J130" i="13"/>
  <c r="J135" i="13" s="1"/>
  <c r="I130" i="13"/>
  <c r="I135" i="13" s="1"/>
  <c r="H130" i="13"/>
  <c r="H135" i="13" s="1"/>
  <c r="G130" i="13"/>
  <c r="G135" i="13" s="1"/>
  <c r="F130" i="13"/>
  <c r="F135" i="13" s="1"/>
  <c r="E130" i="13"/>
  <c r="E135" i="13" s="1"/>
  <c r="I127" i="13"/>
  <c r="D127" i="13"/>
  <c r="L111" i="13"/>
  <c r="L117" i="13" s="1"/>
  <c r="K111" i="13"/>
  <c r="K117" i="13" s="1"/>
  <c r="J111" i="13"/>
  <c r="J117" i="13" s="1"/>
  <c r="I111" i="13"/>
  <c r="I117" i="13" s="1"/>
  <c r="H111" i="13"/>
  <c r="H117" i="13" s="1"/>
  <c r="G111" i="13"/>
  <c r="G117" i="13" s="1"/>
  <c r="F111" i="13"/>
  <c r="F117" i="13" s="1"/>
  <c r="E111" i="13"/>
  <c r="E117" i="13" s="1"/>
  <c r="I108" i="13"/>
  <c r="D108" i="13"/>
  <c r="L93" i="13"/>
  <c r="K93" i="13"/>
  <c r="J93" i="13"/>
  <c r="H93" i="13"/>
  <c r="G93" i="13"/>
  <c r="F93" i="13"/>
  <c r="E93" i="13"/>
  <c r="L91" i="13"/>
  <c r="K91" i="13"/>
  <c r="J91" i="13"/>
  <c r="I91" i="13"/>
  <c r="I97" i="13" s="1"/>
  <c r="H91" i="13"/>
  <c r="H97" i="13" s="1"/>
  <c r="G91" i="13"/>
  <c r="G97" i="13" s="1"/>
  <c r="F91" i="13"/>
  <c r="F97" i="13" s="1"/>
  <c r="E91" i="13"/>
  <c r="D88" i="13"/>
  <c r="L84" i="13"/>
  <c r="K84" i="13"/>
  <c r="J84" i="13"/>
  <c r="I84" i="13"/>
  <c r="I88" i="13" s="1"/>
  <c r="H84" i="13"/>
  <c r="G84" i="13"/>
  <c r="F84" i="13"/>
  <c r="E84" i="13"/>
  <c r="L73" i="13"/>
  <c r="K73" i="13"/>
  <c r="J73" i="13"/>
  <c r="I73" i="13"/>
  <c r="H73" i="13"/>
  <c r="G73" i="13"/>
  <c r="F73" i="13"/>
  <c r="E73" i="13"/>
  <c r="L72" i="13"/>
  <c r="L78" i="13" s="1"/>
  <c r="K72" i="13"/>
  <c r="J72" i="13"/>
  <c r="J78" i="13" s="1"/>
  <c r="I72" i="13"/>
  <c r="I78" i="13" s="1"/>
  <c r="H72" i="13"/>
  <c r="H78" i="13" s="1"/>
  <c r="G72" i="13"/>
  <c r="G78" i="13" s="1"/>
  <c r="F72" i="13"/>
  <c r="F78" i="13" s="1"/>
  <c r="E72" i="13"/>
  <c r="E78" i="13" s="1"/>
  <c r="L65" i="13"/>
  <c r="L69" i="13" s="1"/>
  <c r="K65" i="13"/>
  <c r="K69" i="13" s="1"/>
  <c r="J65" i="13"/>
  <c r="J69" i="13" s="1"/>
  <c r="I65" i="13"/>
  <c r="I69" i="13" s="1"/>
  <c r="H65" i="13"/>
  <c r="H69" i="13" s="1"/>
  <c r="G65" i="13"/>
  <c r="G69" i="13" s="1"/>
  <c r="F65" i="13"/>
  <c r="F69" i="13" s="1"/>
  <c r="E65" i="13"/>
  <c r="E69" i="13"/>
  <c r="D69" i="13"/>
  <c r="L53" i="13"/>
  <c r="L58" i="13" s="1"/>
  <c r="K53" i="13"/>
  <c r="K58" i="13" s="1"/>
  <c r="J53" i="13"/>
  <c r="J58" i="13" s="1"/>
  <c r="I53" i="13"/>
  <c r="I58" i="13" s="1"/>
  <c r="H53" i="13"/>
  <c r="H58" i="13" s="1"/>
  <c r="G53" i="13"/>
  <c r="G58" i="13" s="1"/>
  <c r="F53" i="13"/>
  <c r="F58" i="13" s="1"/>
  <c r="E53" i="13"/>
  <c r="E58" i="13" s="1"/>
  <c r="L46" i="13"/>
  <c r="L50" i="13" s="1"/>
  <c r="K46" i="13"/>
  <c r="K50" i="13" s="1"/>
  <c r="J46" i="13"/>
  <c r="J50" i="13" s="1"/>
  <c r="I46" i="13"/>
  <c r="I50" i="13" s="1"/>
  <c r="H46" i="13"/>
  <c r="H50" i="13" s="1"/>
  <c r="G46" i="13"/>
  <c r="G50" i="13" s="1"/>
  <c r="F46" i="13"/>
  <c r="F50" i="13" s="1"/>
  <c r="E46" i="13"/>
  <c r="E50" i="13" s="1"/>
  <c r="L35" i="13"/>
  <c r="L39" i="13" s="1"/>
  <c r="K35" i="13"/>
  <c r="K39" i="13" s="1"/>
  <c r="J35" i="13"/>
  <c r="J39" i="13" s="1"/>
  <c r="I35" i="13"/>
  <c r="I39" i="13" s="1"/>
  <c r="H35" i="13"/>
  <c r="H39" i="13" s="1"/>
  <c r="G35" i="13"/>
  <c r="G39" i="13" s="1"/>
  <c r="F35" i="13"/>
  <c r="F39" i="13" s="1"/>
  <c r="E35" i="13"/>
  <c r="E39" i="13" s="1"/>
  <c r="E31" i="13"/>
  <c r="F31" i="13"/>
  <c r="G31" i="13"/>
  <c r="H31" i="13"/>
  <c r="I31" i="13"/>
  <c r="J31" i="13"/>
  <c r="K31" i="13"/>
  <c r="L31" i="13"/>
  <c r="D31" i="13"/>
  <c r="D11" i="13"/>
  <c r="D21" i="13" s="1"/>
  <c r="L14" i="13"/>
  <c r="L20" i="13" s="1"/>
  <c r="K14" i="13"/>
  <c r="K20" i="13" s="1"/>
  <c r="J14" i="13"/>
  <c r="J20" i="13" s="1"/>
  <c r="I14" i="13"/>
  <c r="I20" i="13" s="1"/>
  <c r="H14" i="13"/>
  <c r="H20" i="13" s="1"/>
  <c r="G14" i="13"/>
  <c r="G20" i="13" s="1"/>
  <c r="F14" i="13"/>
  <c r="F20" i="13" s="1"/>
  <c r="E14" i="13"/>
  <c r="E20" i="13" s="1"/>
  <c r="H194" i="13"/>
  <c r="D194" i="13"/>
  <c r="L194" i="13"/>
  <c r="K194" i="13"/>
  <c r="J194" i="13"/>
  <c r="I194" i="13"/>
  <c r="G194" i="13"/>
  <c r="F194" i="13"/>
  <c r="E194" i="13"/>
  <c r="D175" i="13"/>
  <c r="D166" i="13"/>
  <c r="K166" i="13"/>
  <c r="L155" i="13"/>
  <c r="K155" i="13"/>
  <c r="J155" i="13"/>
  <c r="I155" i="13"/>
  <c r="H155" i="13"/>
  <c r="G155" i="13"/>
  <c r="F155" i="13"/>
  <c r="E155" i="13"/>
  <c r="D155" i="13"/>
  <c r="D146" i="13"/>
  <c r="D135" i="13"/>
  <c r="L123" i="13"/>
  <c r="L127" i="13" s="1"/>
  <c r="K123" i="13"/>
  <c r="K127" i="13" s="1"/>
  <c r="J123" i="13"/>
  <c r="J127" i="13" s="1"/>
  <c r="H123" i="13"/>
  <c r="H127" i="13" s="1"/>
  <c r="G123" i="13"/>
  <c r="G127" i="13" s="1"/>
  <c r="F123" i="13"/>
  <c r="F127" i="13" s="1"/>
  <c r="E123" i="13"/>
  <c r="E127" i="13" s="1"/>
  <c r="D117" i="13"/>
  <c r="L105" i="13"/>
  <c r="K105" i="13"/>
  <c r="J105" i="13"/>
  <c r="H105" i="13"/>
  <c r="G105" i="13"/>
  <c r="F105" i="13"/>
  <c r="E105" i="13"/>
  <c r="D97" i="13"/>
  <c r="L86" i="13"/>
  <c r="K86" i="13"/>
  <c r="J86" i="13"/>
  <c r="H86" i="13"/>
  <c r="G86" i="13"/>
  <c r="F86" i="13"/>
  <c r="E86" i="13"/>
  <c r="D78" i="13"/>
  <c r="D58" i="13"/>
  <c r="D50" i="13"/>
  <c r="D39" i="13"/>
  <c r="L7" i="13"/>
  <c r="L11" i="13" s="1"/>
  <c r="K7" i="13"/>
  <c r="K11" i="13" s="1"/>
  <c r="J7" i="13"/>
  <c r="J11" i="13" s="1"/>
  <c r="I7" i="13"/>
  <c r="I11" i="13" s="1"/>
  <c r="H7" i="13"/>
  <c r="H11" i="13" s="1"/>
  <c r="G7" i="13"/>
  <c r="G11" i="13" s="1"/>
  <c r="F7" i="13"/>
  <c r="F11" i="13" s="1"/>
  <c r="E7" i="13"/>
  <c r="E11" i="13" s="1"/>
  <c r="L39" i="8"/>
  <c r="K39" i="8"/>
  <c r="J39" i="8"/>
  <c r="I39" i="8"/>
  <c r="H39" i="8"/>
  <c r="G39" i="8"/>
  <c r="F39" i="8"/>
  <c r="E39" i="8"/>
  <c r="L175" i="8"/>
  <c r="K175" i="8"/>
  <c r="J175" i="8"/>
  <c r="I175" i="8"/>
  <c r="H175" i="8"/>
  <c r="G175" i="8"/>
  <c r="F175" i="8"/>
  <c r="E175" i="8"/>
  <c r="L175" i="13" l="1"/>
  <c r="L176" i="13" s="1"/>
  <c r="K78" i="13"/>
  <c r="D136" i="13"/>
  <c r="G88" i="13"/>
  <c r="D40" i="13"/>
  <c r="J136" i="13"/>
  <c r="E108" i="13"/>
  <c r="E118" i="13" s="1"/>
  <c r="H88" i="13"/>
  <c r="H98" i="13" s="1"/>
  <c r="G108" i="13"/>
  <c r="G118" i="13" s="1"/>
  <c r="K108" i="13"/>
  <c r="K118" i="13" s="1"/>
  <c r="K97" i="13"/>
  <c r="L97" i="13"/>
  <c r="J108" i="13"/>
  <c r="J118" i="13" s="1"/>
  <c r="F88" i="13"/>
  <c r="F98" i="13" s="1"/>
  <c r="F108" i="13"/>
  <c r="F118" i="13" s="1"/>
  <c r="J88" i="13"/>
  <c r="E21" i="13"/>
  <c r="L88" i="13"/>
  <c r="K88" i="13"/>
  <c r="E88" i="13"/>
  <c r="G21" i="13"/>
  <c r="H195" i="13"/>
  <c r="I176" i="13"/>
  <c r="E166" i="13"/>
  <c r="E176" i="13" s="1"/>
  <c r="F156" i="13"/>
  <c r="E156" i="13"/>
  <c r="H156" i="13"/>
  <c r="H21" i="13"/>
  <c r="G136" i="13"/>
  <c r="E136" i="13"/>
  <c r="H108" i="13"/>
  <c r="H118" i="13" s="1"/>
  <c r="E40" i="13"/>
  <c r="K176" i="13"/>
  <c r="F136" i="13"/>
  <c r="L136" i="13"/>
  <c r="J176" i="13"/>
  <c r="E97" i="13"/>
  <c r="I156" i="13"/>
  <c r="D176" i="13"/>
  <c r="K40" i="13"/>
  <c r="D118" i="13"/>
  <c r="F176" i="13"/>
  <c r="L108" i="13"/>
  <c r="L118" i="13" s="1"/>
  <c r="G176" i="13"/>
  <c r="D156" i="13"/>
  <c r="L156" i="13"/>
  <c r="J156" i="13"/>
  <c r="K156" i="13"/>
  <c r="H136" i="13"/>
  <c r="I136" i="13"/>
  <c r="I118" i="13"/>
  <c r="J97" i="13"/>
  <c r="G98" i="13"/>
  <c r="D98" i="13"/>
  <c r="K79" i="13"/>
  <c r="E79" i="13"/>
  <c r="G79" i="13"/>
  <c r="F59" i="13"/>
  <c r="H59" i="13"/>
  <c r="J59" i="13"/>
  <c r="I40" i="13"/>
  <c r="F40" i="13"/>
  <c r="G40" i="13"/>
  <c r="H40" i="13"/>
  <c r="J195" i="13"/>
  <c r="K195" i="13"/>
  <c r="L195" i="13"/>
  <c r="E195" i="13"/>
  <c r="D195" i="13"/>
  <c r="F195" i="13"/>
  <c r="G195" i="13"/>
  <c r="I195" i="13"/>
  <c r="H176" i="13"/>
  <c r="G156" i="13"/>
  <c r="I98" i="13"/>
  <c r="H79" i="13"/>
  <c r="I79" i="13"/>
  <c r="L79" i="13"/>
  <c r="J79" i="13"/>
  <c r="D79" i="13"/>
  <c r="F79" i="13"/>
  <c r="L59" i="13"/>
  <c r="E59" i="13"/>
  <c r="G59" i="13"/>
  <c r="D59" i="13"/>
  <c r="K59" i="13"/>
  <c r="I59" i="13"/>
  <c r="J40" i="13"/>
  <c r="L40" i="13"/>
  <c r="I21" i="13"/>
  <c r="L21" i="13"/>
  <c r="J21" i="13"/>
  <c r="K21" i="13"/>
  <c r="K136" i="13"/>
  <c r="F21" i="13"/>
  <c r="J98" i="13" l="1"/>
  <c r="J196" i="13" s="1"/>
  <c r="J197" i="13" s="1"/>
  <c r="L98" i="13"/>
  <c r="K98" i="13"/>
  <c r="E98" i="13"/>
  <c r="E196" i="13" s="1"/>
  <c r="E197" i="13" s="1"/>
  <c r="D196" i="13"/>
  <c r="D197" i="13" s="1"/>
  <c r="I196" i="13"/>
  <c r="I197" i="13" s="1"/>
  <c r="G196" i="13"/>
  <c r="G197" i="13" s="1"/>
  <c r="H196" i="13"/>
  <c r="H197" i="13" s="1"/>
  <c r="F196" i="13"/>
  <c r="F197" i="13" s="1"/>
  <c r="L196" i="13"/>
  <c r="L197" i="13" s="1"/>
  <c r="K196" i="13"/>
  <c r="K197" i="13" s="1"/>
  <c r="D175" i="8"/>
  <c r="L155" i="8"/>
  <c r="K155" i="8"/>
  <c r="J155" i="8"/>
  <c r="I155" i="8"/>
  <c r="H155" i="8"/>
  <c r="G155" i="8"/>
  <c r="F155" i="8"/>
  <c r="E155" i="8"/>
  <c r="D155" i="8"/>
  <c r="L141" i="8"/>
  <c r="K141" i="8"/>
  <c r="J141" i="8"/>
  <c r="I141" i="8"/>
  <c r="H141" i="8"/>
  <c r="G141" i="8"/>
  <c r="L7" i="8"/>
  <c r="K7" i="8"/>
  <c r="J7" i="8"/>
  <c r="I7" i="8"/>
  <c r="H7" i="8"/>
  <c r="G7" i="8"/>
  <c r="F7" i="8"/>
  <c r="E7" i="8"/>
  <c r="L123" i="8"/>
  <c r="K123" i="8"/>
  <c r="J123" i="8"/>
  <c r="H123" i="8"/>
  <c r="G123" i="8"/>
  <c r="F123" i="8"/>
  <c r="E123" i="8"/>
  <c r="L125" i="8"/>
  <c r="K125" i="8"/>
  <c r="J125" i="8"/>
  <c r="H125" i="8"/>
  <c r="G125" i="8"/>
  <c r="E125" i="8"/>
  <c r="L78" i="8"/>
  <c r="K78" i="8"/>
  <c r="J78" i="8"/>
  <c r="I78" i="8"/>
  <c r="H78" i="8"/>
  <c r="G78" i="8"/>
  <c r="F78" i="8"/>
  <c r="E78" i="8"/>
  <c r="D78" i="8"/>
  <c r="L58" i="8"/>
  <c r="K58" i="8"/>
  <c r="J58" i="8"/>
  <c r="I58" i="8"/>
  <c r="H58" i="8"/>
  <c r="G58" i="8"/>
  <c r="F58" i="8"/>
  <c r="E58" i="8"/>
  <c r="D58" i="8"/>
  <c r="D39" i="8"/>
  <c r="E135" i="8" l="1"/>
  <c r="I88" i="8" l="1"/>
  <c r="D88" i="8"/>
  <c r="L190" i="8" l="1"/>
  <c r="L194" i="8" s="1"/>
  <c r="K190" i="8"/>
  <c r="K194" i="8" s="1"/>
  <c r="J190" i="8"/>
  <c r="J194" i="8" s="1"/>
  <c r="I190" i="8"/>
  <c r="I194" i="8" s="1"/>
  <c r="H190" i="8"/>
  <c r="H194" i="8" s="1"/>
  <c r="G190" i="8"/>
  <c r="G194" i="8" s="1"/>
  <c r="F190" i="8"/>
  <c r="F194" i="8" s="1"/>
  <c r="E190" i="8"/>
  <c r="E194" i="8" s="1"/>
  <c r="D194" i="8" l="1"/>
  <c r="L18" i="8" l="1"/>
  <c r="L20" i="8" s="1"/>
  <c r="K18" i="8"/>
  <c r="K20" i="8" s="1"/>
  <c r="J18" i="8"/>
  <c r="J20" i="8" s="1"/>
  <c r="H18" i="8"/>
  <c r="H20" i="8" s="1"/>
  <c r="G18" i="8"/>
  <c r="G20" i="8" s="1"/>
  <c r="F18" i="8"/>
  <c r="F20" i="8" s="1"/>
  <c r="E18" i="8"/>
  <c r="E20" i="8" s="1"/>
  <c r="K163" i="8" l="1"/>
  <c r="H163" i="8"/>
  <c r="F163" i="8"/>
  <c r="E163" i="8"/>
  <c r="L105" i="8" l="1"/>
  <c r="K105" i="8"/>
  <c r="J105" i="8"/>
  <c r="H105" i="8"/>
  <c r="G105" i="8"/>
  <c r="F105" i="8"/>
  <c r="E105" i="8"/>
  <c r="L86" i="8" l="1"/>
  <c r="L88" i="8" s="1"/>
  <c r="K86" i="8"/>
  <c r="K88" i="8" s="1"/>
  <c r="J86" i="8"/>
  <c r="J88" i="8" s="1"/>
  <c r="H86" i="8"/>
  <c r="H88" i="8" s="1"/>
  <c r="G86" i="8"/>
  <c r="G88" i="8" s="1"/>
  <c r="F86" i="8"/>
  <c r="F88" i="8" s="1"/>
  <c r="E86" i="8"/>
  <c r="E88" i="8" s="1"/>
  <c r="L186" i="8" l="1"/>
  <c r="K186" i="8"/>
  <c r="J186" i="8"/>
  <c r="I186" i="8"/>
  <c r="H186" i="8"/>
  <c r="G186" i="8"/>
  <c r="F186" i="8"/>
  <c r="E186" i="8"/>
  <c r="D186" i="8"/>
  <c r="L69" i="8" l="1"/>
  <c r="K69" i="8"/>
  <c r="J69" i="8"/>
  <c r="I69" i="8"/>
  <c r="H69" i="8"/>
  <c r="G69" i="8"/>
  <c r="F69" i="8"/>
  <c r="E69" i="8"/>
  <c r="D69" i="8"/>
  <c r="L115" i="8" l="1"/>
  <c r="K115" i="8"/>
  <c r="J115" i="8"/>
  <c r="H115" i="8"/>
  <c r="G115" i="8"/>
  <c r="F115" i="8"/>
  <c r="E115" i="8"/>
  <c r="E11" i="8" l="1"/>
  <c r="L166" i="8" l="1"/>
  <c r="K166" i="8"/>
  <c r="J166" i="8"/>
  <c r="I166" i="8"/>
  <c r="H166" i="8"/>
  <c r="G166" i="8"/>
  <c r="F166" i="8"/>
  <c r="E166" i="8"/>
  <c r="D166" i="8"/>
  <c r="D11" i="8" l="1"/>
  <c r="F11" i="8" l="1"/>
  <c r="G11" i="8"/>
  <c r="H11" i="8"/>
  <c r="I11" i="8"/>
  <c r="J11" i="8"/>
  <c r="K11" i="8"/>
  <c r="L11" i="8"/>
  <c r="D21" i="8"/>
  <c r="E21" i="8"/>
  <c r="D31" i="8"/>
  <c r="E31" i="8"/>
  <c r="F31" i="8"/>
  <c r="G31" i="8"/>
  <c r="H31" i="8"/>
  <c r="I31" i="8"/>
  <c r="J31" i="8"/>
  <c r="K31" i="8"/>
  <c r="L31" i="8"/>
  <c r="I127" i="8"/>
  <c r="G50" i="8"/>
  <c r="L146" i="8"/>
  <c r="K146" i="8"/>
  <c r="J146" i="8"/>
  <c r="I146" i="8"/>
  <c r="H146" i="8"/>
  <c r="G146" i="8"/>
  <c r="F146" i="8"/>
  <c r="E146" i="8"/>
  <c r="D146" i="8"/>
  <c r="D156" i="8" s="1"/>
  <c r="L135" i="8"/>
  <c r="K135" i="8"/>
  <c r="J135" i="8"/>
  <c r="I135" i="8"/>
  <c r="H135" i="8"/>
  <c r="G135" i="8"/>
  <c r="F135" i="8"/>
  <c r="D135" i="8"/>
  <c r="L127" i="8"/>
  <c r="K127" i="8"/>
  <c r="J127" i="8"/>
  <c r="H127" i="8"/>
  <c r="G127" i="8"/>
  <c r="F127" i="8"/>
  <c r="E127" i="8"/>
  <c r="D127" i="8"/>
  <c r="L117" i="8"/>
  <c r="K117" i="8"/>
  <c r="J117" i="8"/>
  <c r="I117" i="8"/>
  <c r="H117" i="8"/>
  <c r="G117" i="8"/>
  <c r="F117" i="8"/>
  <c r="E117" i="8"/>
  <c r="D117" i="8"/>
  <c r="L108" i="8"/>
  <c r="K108" i="8"/>
  <c r="J108" i="8"/>
  <c r="I108" i="8"/>
  <c r="H108" i="8"/>
  <c r="G108" i="8"/>
  <c r="F108" i="8"/>
  <c r="E108" i="8"/>
  <c r="D108" i="8"/>
  <c r="L97" i="8"/>
  <c r="K97" i="8"/>
  <c r="J97" i="8"/>
  <c r="I97" i="8"/>
  <c r="H97" i="8"/>
  <c r="G97" i="8"/>
  <c r="F97" i="8"/>
  <c r="E97" i="8"/>
  <c r="D97" i="8"/>
  <c r="L50" i="8"/>
  <c r="K50" i="8"/>
  <c r="J50" i="8"/>
  <c r="I50" i="8"/>
  <c r="H50" i="8"/>
  <c r="F50" i="8"/>
  <c r="E50" i="8"/>
  <c r="D50" i="8"/>
  <c r="I21" i="8" l="1"/>
  <c r="K40" i="8"/>
  <c r="G21" i="8"/>
  <c r="I40" i="8"/>
  <c r="E40" i="8"/>
  <c r="J40" i="8"/>
  <c r="L21" i="8"/>
  <c r="H21" i="8"/>
  <c r="J21" i="8"/>
  <c r="F21" i="8"/>
  <c r="H40" i="8"/>
  <c r="F40" i="8"/>
  <c r="K21" i="8"/>
  <c r="D40" i="8"/>
  <c r="G40" i="8"/>
  <c r="L40" i="8"/>
  <c r="D195" i="8"/>
  <c r="D59" i="8"/>
  <c r="E59" i="8"/>
  <c r="F59" i="8"/>
  <c r="G59" i="8"/>
  <c r="H59" i="8"/>
  <c r="I59" i="8"/>
  <c r="J59" i="8"/>
  <c r="K59" i="8"/>
  <c r="L59" i="8"/>
  <c r="D79" i="8"/>
  <c r="E79" i="8"/>
  <c r="F79" i="8"/>
  <c r="G79" i="8"/>
  <c r="H79" i="8"/>
  <c r="I79" i="8"/>
  <c r="J79" i="8"/>
  <c r="K79" i="8"/>
  <c r="L79" i="8"/>
  <c r="D98" i="8"/>
  <c r="E98" i="8"/>
  <c r="F98" i="8"/>
  <c r="G98" i="8"/>
  <c r="H98" i="8"/>
  <c r="I98" i="8"/>
  <c r="J98" i="8"/>
  <c r="K98" i="8"/>
  <c r="L98" i="8"/>
  <c r="D118" i="8"/>
  <c r="E118" i="8"/>
  <c r="F118" i="8"/>
  <c r="G118" i="8"/>
  <c r="H118" i="8"/>
  <c r="I118" i="8"/>
  <c r="J118" i="8"/>
  <c r="K118" i="8"/>
  <c r="L118" i="8"/>
  <c r="D136" i="8"/>
  <c r="E136" i="8"/>
  <c r="F136" i="8"/>
  <c r="G136" i="8"/>
  <c r="H136" i="8"/>
  <c r="I136" i="8"/>
  <c r="J136" i="8"/>
  <c r="K136" i="8"/>
  <c r="L136" i="8"/>
  <c r="E156" i="8"/>
  <c r="F156" i="8"/>
  <c r="G156" i="8"/>
  <c r="H156" i="8"/>
  <c r="I156" i="8"/>
  <c r="J156" i="8"/>
  <c r="K156" i="8"/>
  <c r="L156" i="8"/>
  <c r="D176" i="8"/>
  <c r="E176" i="8"/>
  <c r="F176" i="8"/>
  <c r="G176" i="8"/>
  <c r="H176" i="8"/>
  <c r="I176" i="8"/>
  <c r="J176" i="8"/>
  <c r="K176" i="8"/>
  <c r="L176" i="8"/>
  <c r="E195" i="8"/>
  <c r="F195" i="8"/>
  <c r="G195" i="8"/>
  <c r="H195" i="8"/>
  <c r="I195" i="8"/>
  <c r="J195" i="8"/>
  <c r="K195" i="8"/>
  <c r="L195" i="8"/>
  <c r="E196" i="8" l="1"/>
  <c r="E197" i="8" s="1"/>
  <c r="I196" i="8"/>
  <c r="I197" i="8" s="1"/>
  <c r="L196" i="8"/>
  <c r="L197" i="8" s="1"/>
  <c r="K196" i="8"/>
  <c r="K197" i="8" s="1"/>
  <c r="G196" i="8"/>
  <c r="G197" i="8" s="1"/>
  <c r="H196" i="8"/>
  <c r="H197" i="8" s="1"/>
  <c r="J196" i="8"/>
  <c r="J197" i="8" s="1"/>
  <c r="F196" i="8"/>
  <c r="F197" i="8" s="1"/>
  <c r="D196" i="8"/>
  <c r="D197" i="8" s="1"/>
</calcChain>
</file>

<file path=xl/sharedStrings.xml><?xml version="1.0" encoding="utf-8"?>
<sst xmlns="http://schemas.openxmlformats.org/spreadsheetml/2006/main" count="820" uniqueCount="97">
  <si>
    <t>Наименование блюда</t>
  </si>
  <si>
    <t>Обед</t>
  </si>
  <si>
    <t>Итого обед:</t>
  </si>
  <si>
    <t>Всего:</t>
  </si>
  <si>
    <t>№, рецептура</t>
  </si>
  <si>
    <t>День 2</t>
  </si>
  <si>
    <t>День 1</t>
  </si>
  <si>
    <t>День 3</t>
  </si>
  <si>
    <t>День 4</t>
  </si>
  <si>
    <t>День 5</t>
  </si>
  <si>
    <t>СРЕДНЕЕ ЗА 1ДЕНЬ:</t>
  </si>
  <si>
    <t>ВСЕГО за 10 дней:</t>
  </si>
  <si>
    <t>Пищевая ценность</t>
  </si>
  <si>
    <t>420/2016</t>
  </si>
  <si>
    <t>18/2016</t>
  </si>
  <si>
    <t>132/2016</t>
  </si>
  <si>
    <t>19/2016</t>
  </si>
  <si>
    <t>403/2016</t>
  </si>
  <si>
    <t>122/2016</t>
  </si>
  <si>
    <t>13/2016</t>
  </si>
  <si>
    <t xml:space="preserve">  Обед</t>
  </si>
  <si>
    <t>День 6</t>
  </si>
  <si>
    <t>День 7</t>
  </si>
  <si>
    <t>День 8</t>
  </si>
  <si>
    <t>День 9</t>
  </si>
  <si>
    <t>День 10</t>
  </si>
  <si>
    <t xml:space="preserve">Завтрак </t>
  </si>
  <si>
    <t>Итого завтрак:</t>
  </si>
  <si>
    <t>226/2016</t>
  </si>
  <si>
    <t xml:space="preserve">           * Овощи натуральные - допускается использование иных овещей ;     ** Фрукт свежий - допускается выдача иных фруктов;     *** Кисломолочный продукт - допускается использование иного кисломолоч. продукта ;</t>
  </si>
  <si>
    <t>Масса порций, г.</t>
  </si>
  <si>
    <t>белки, г.</t>
  </si>
  <si>
    <t>жиры, г.</t>
  </si>
  <si>
    <t>углеводы, г.</t>
  </si>
  <si>
    <t>Энергетическая ценность, ккал.</t>
  </si>
  <si>
    <t>Вит. С, мг.</t>
  </si>
  <si>
    <t>Ca, мг.</t>
  </si>
  <si>
    <t>Mg, мг.</t>
  </si>
  <si>
    <t>Fе, мг.</t>
  </si>
  <si>
    <t>Макароны, запеченные с сыром</t>
  </si>
  <si>
    <t>Хлеб пшеничный</t>
  </si>
  <si>
    <t>Хлеб ржаной</t>
  </si>
  <si>
    <t>Чай с сахаром</t>
  </si>
  <si>
    <t>193/2016</t>
  </si>
  <si>
    <t>Каша гречневая</t>
  </si>
  <si>
    <t>Масло сливочное</t>
  </si>
  <si>
    <t>210/2016</t>
  </si>
  <si>
    <t>484/2016</t>
  </si>
  <si>
    <t>Сок фруктовый</t>
  </si>
  <si>
    <t>303/2017</t>
  </si>
  <si>
    <t>Рассольник Ленинградский</t>
  </si>
  <si>
    <t>ПП</t>
  </si>
  <si>
    <t>Фрукт свежий (по сезону)</t>
  </si>
  <si>
    <t>182/2017</t>
  </si>
  <si>
    <t>15/2017</t>
  </si>
  <si>
    <t>70/71/2015</t>
  </si>
  <si>
    <t xml:space="preserve">Котлета (биточки) рыбные </t>
  </si>
  <si>
    <t>Картофельное пюре</t>
  </si>
  <si>
    <t xml:space="preserve">                    Основное меню   для детей  1-4 классов  </t>
  </si>
  <si>
    <t xml:space="preserve">Овощи натуральные по сезону </t>
  </si>
  <si>
    <t>Сыр (порциями)</t>
  </si>
  <si>
    <t>234/2017</t>
  </si>
  <si>
    <t>643/2022</t>
  </si>
  <si>
    <t xml:space="preserve">Плов из риса с курагой </t>
  </si>
  <si>
    <t>378/2022</t>
  </si>
  <si>
    <t>47/2015</t>
  </si>
  <si>
    <t>Салат из квашеной капусты</t>
  </si>
  <si>
    <t>291/2017</t>
  </si>
  <si>
    <t>92/2017</t>
  </si>
  <si>
    <t>82/2017</t>
  </si>
  <si>
    <t>203/2012</t>
  </si>
  <si>
    <t xml:space="preserve">                    Основное меню   для детей  5-11 классов  </t>
  </si>
  <si>
    <t>Блины со сгущенным молоком</t>
  </si>
  <si>
    <t>101/2017</t>
  </si>
  <si>
    <t>Суп с крупой</t>
  </si>
  <si>
    <t xml:space="preserve">Суп картофельный с горохом </t>
  </si>
  <si>
    <t>Рагу с мясной консервой</t>
  </si>
  <si>
    <t>289/2017</t>
  </si>
  <si>
    <t>Щи из свежей капусты</t>
  </si>
  <si>
    <t>Жаркое по-домашнему с мясной консервой</t>
  </si>
  <si>
    <t>Плов из птицы (мясная консерва)</t>
  </si>
  <si>
    <t>54-28м</t>
  </si>
  <si>
    <t>Омлет запеченный</t>
  </si>
  <si>
    <t>Гречка по-купечески с мясной консервой</t>
  </si>
  <si>
    <t>278/2021</t>
  </si>
  <si>
    <t>Суп куриный с яйцом</t>
  </si>
  <si>
    <t>Гуляш из мясной консервы</t>
  </si>
  <si>
    <t>203/2017</t>
  </si>
  <si>
    <t>311/2016</t>
  </si>
  <si>
    <t>Макароны отварные</t>
  </si>
  <si>
    <t>Оладьи со сгущенным молоком</t>
  </si>
  <si>
    <t>137/2016</t>
  </si>
  <si>
    <t>Суп крестьянский с крупой</t>
  </si>
  <si>
    <t xml:space="preserve">Борщ с капустой и картофелем </t>
  </si>
  <si>
    <t>Молочная каша жидкая (крупа в ассортименте)</t>
  </si>
  <si>
    <t>413/2022</t>
  </si>
  <si>
    <t>Омлет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</si>
</sst>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1"/>
      <color rgb="FF000000"/>
      <name val="Calibri"/>
      <family val="2"/>
      <charset val="1"/>
    </font>
    <font>
      <b/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i/>
      <sz val="16"/>
      <color theme="1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2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57">
    <xf numFmtId="0" fontId="0" fillId="0" borderId="0" xfId="0"/>
    <xf numFmtId="49" fontId="4" fillId="0" borderId="15" xfId="0" applyNumberFormat="1" applyFont="1" applyFill="1" applyBorder="1" applyAlignment="1">
      <alignment horizontal="center" vertical="center" wrapText="1"/>
    </xf>
    <xf numFmtId="2" fontId="4" fillId="0" borderId="15" xfId="0" applyNumberFormat="1" applyFont="1" applyFill="1" applyBorder="1" applyAlignment="1">
      <alignment horizontal="left" vertical="center" wrapText="1"/>
    </xf>
    <xf numFmtId="1" fontId="4" fillId="0" borderId="15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0" borderId="6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left" vertical="center" wrapText="1"/>
    </xf>
    <xf numFmtId="1" fontId="4" fillId="0" borderId="5" xfId="0" applyNumberFormat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2" fontId="5" fillId="0" borderId="5" xfId="0" applyNumberFormat="1" applyFont="1" applyFill="1" applyBorder="1" applyAlignment="1">
      <alignment horizontal="center" vertical="center"/>
    </xf>
    <xf numFmtId="2" fontId="4" fillId="0" borderId="1" xfId="0" applyNumberFormat="1" applyFont="1" applyFill="1" applyBorder="1" applyAlignment="1">
      <alignment horizontal="left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2" fontId="4" fillId="0" borderId="3" xfId="0" applyNumberFormat="1" applyFont="1" applyFill="1" applyBorder="1" applyAlignment="1">
      <alignment horizontal="center" vertical="center" wrapText="1"/>
    </xf>
    <xf numFmtId="2" fontId="4" fillId="0" borderId="9" xfId="0" applyNumberFormat="1" applyFont="1" applyFill="1" applyBorder="1" applyAlignment="1">
      <alignment horizontal="center" vertical="center" wrapText="1"/>
    </xf>
    <xf numFmtId="2" fontId="5" fillId="0" borderId="6" xfId="0" applyNumberFormat="1" applyFont="1" applyFill="1" applyBorder="1" applyAlignment="1">
      <alignment horizontal="center" vertical="center"/>
    </xf>
    <xf numFmtId="2" fontId="4" fillId="0" borderId="6" xfId="0" applyNumberFormat="1" applyFont="1" applyFill="1" applyBorder="1" applyAlignment="1">
      <alignment horizontal="left" vertical="center" wrapText="1"/>
    </xf>
    <xf numFmtId="0" fontId="5" fillId="0" borderId="0" xfId="0" applyFont="1" applyFill="1"/>
    <xf numFmtId="0" fontId="3" fillId="0" borderId="9" xfId="0" applyFont="1" applyFill="1" applyBorder="1" applyAlignment="1">
      <alignment horizontal="left" vertical="center" wrapText="1"/>
    </xf>
    <xf numFmtId="0" fontId="3" fillId="0" borderId="10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2" fontId="6" fillId="0" borderId="5" xfId="0" applyNumberFormat="1" applyFont="1" applyFill="1" applyBorder="1" applyAlignment="1">
      <alignment horizontal="left" vertical="center" wrapText="1"/>
    </xf>
    <xf numFmtId="2" fontId="5" fillId="0" borderId="9" xfId="0" applyNumberFormat="1" applyFont="1" applyFill="1" applyBorder="1" applyAlignment="1">
      <alignment horizontal="left" vertical="center"/>
    </xf>
    <xf numFmtId="2" fontId="5" fillId="0" borderId="9" xfId="0" applyNumberFormat="1" applyFont="1" applyFill="1" applyBorder="1" applyAlignment="1">
      <alignment horizontal="center" vertical="center"/>
    </xf>
    <xf numFmtId="2" fontId="5" fillId="0" borderId="10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horizontal="left" vertical="center" wrapText="1"/>
    </xf>
    <xf numFmtId="2" fontId="6" fillId="0" borderId="9" xfId="0" applyNumberFormat="1" applyFont="1" applyFill="1" applyBorder="1" applyAlignment="1">
      <alignment horizontal="left" vertical="center" wrapText="1"/>
    </xf>
    <xf numFmtId="1" fontId="6" fillId="0" borderId="9" xfId="0" applyNumberFormat="1" applyFont="1" applyFill="1" applyBorder="1" applyAlignment="1">
      <alignment horizontal="left" vertical="center" wrapText="1"/>
    </xf>
    <xf numFmtId="2" fontId="6" fillId="0" borderId="10" xfId="0" applyNumberFormat="1" applyFont="1" applyFill="1" applyBorder="1" applyAlignment="1">
      <alignment horizontal="left" vertical="center" wrapText="1"/>
    </xf>
    <xf numFmtId="2" fontId="4" fillId="0" borderId="15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2" fontId="4" fillId="0" borderId="2" xfId="0" applyNumberFormat="1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wrapText="1"/>
    </xf>
    <xf numFmtId="2" fontId="3" fillId="0" borderId="9" xfId="0" applyNumberFormat="1" applyFont="1" applyFill="1" applyBorder="1" applyAlignment="1">
      <alignment horizontal="left" vertical="center" wrapText="1"/>
    </xf>
    <xf numFmtId="2" fontId="3" fillId="0" borderId="10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/>
    <xf numFmtId="49" fontId="5" fillId="0" borderId="6" xfId="0" applyNumberFormat="1" applyFont="1" applyFill="1" applyBorder="1" applyAlignment="1">
      <alignment horizontal="center" vertical="center"/>
    </xf>
    <xf numFmtId="2" fontId="5" fillId="0" borderId="0" xfId="0" applyNumberFormat="1" applyFont="1" applyFill="1" applyAlignment="1">
      <alignment horizontal="left" vertical="center"/>
    </xf>
    <xf numFmtId="2" fontId="4" fillId="0" borderId="4" xfId="0" applyNumberFormat="1" applyFont="1" applyFill="1" applyBorder="1" applyAlignment="1">
      <alignment horizontal="center" vertical="center" wrapText="1"/>
    </xf>
    <xf numFmtId="49" fontId="4" fillId="0" borderId="16" xfId="0" applyNumberFormat="1" applyFont="1" applyFill="1" applyBorder="1" applyAlignment="1">
      <alignment horizontal="center" vertical="center" wrapText="1"/>
    </xf>
    <xf numFmtId="2" fontId="4" fillId="0" borderId="10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left" wrapText="1"/>
    </xf>
    <xf numFmtId="2" fontId="6" fillId="0" borderId="2" xfId="0" applyNumberFormat="1" applyFont="1" applyFill="1" applyBorder="1" applyAlignment="1">
      <alignment horizontal="left" vertical="center" wrapText="1"/>
    </xf>
    <xf numFmtId="2" fontId="6" fillId="0" borderId="4" xfId="0" applyNumberFormat="1" applyFont="1" applyFill="1" applyBorder="1" applyAlignment="1">
      <alignment horizontal="left" vertical="center" wrapText="1"/>
    </xf>
    <xf numFmtId="49" fontId="6" fillId="0" borderId="5" xfId="0" applyNumberFormat="1" applyFont="1" applyFill="1" applyBorder="1" applyAlignment="1">
      <alignment vertical="center" wrapText="1"/>
    </xf>
    <xf numFmtId="1" fontId="6" fillId="0" borderId="9" xfId="0" applyNumberFormat="1" applyFont="1" applyFill="1" applyBorder="1" applyAlignment="1">
      <alignment vertical="center" wrapText="1"/>
    </xf>
    <xf numFmtId="2" fontId="6" fillId="0" borderId="9" xfId="0" applyNumberFormat="1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left"/>
    </xf>
    <xf numFmtId="1" fontId="6" fillId="0" borderId="1" xfId="0" applyNumberFormat="1" applyFont="1" applyFill="1" applyBorder="1" applyAlignment="1">
      <alignment horizontal="center"/>
    </xf>
    <xf numFmtId="2" fontId="6" fillId="0" borderId="1" xfId="0" applyNumberFormat="1" applyFont="1" applyFill="1" applyBorder="1" applyAlignment="1">
      <alignment horizontal="center"/>
    </xf>
    <xf numFmtId="2" fontId="6" fillId="0" borderId="6" xfId="0" applyNumberFormat="1" applyFont="1" applyFill="1" applyBorder="1" applyAlignment="1">
      <alignment horizontal="center"/>
    </xf>
    <xf numFmtId="2" fontId="6" fillId="0" borderId="2" xfId="0" applyNumberFormat="1" applyFont="1" applyFill="1" applyBorder="1" applyAlignment="1">
      <alignment horizontal="center"/>
    </xf>
    <xf numFmtId="2" fontId="6" fillId="0" borderId="3" xfId="0" applyNumberFormat="1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left"/>
    </xf>
    <xf numFmtId="1" fontId="6" fillId="0" borderId="5" xfId="0" applyNumberFormat="1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center"/>
    </xf>
    <xf numFmtId="2" fontId="4" fillId="0" borderId="16" xfId="0" applyNumberFormat="1" applyFont="1" applyFill="1" applyBorder="1" applyAlignment="1">
      <alignment horizontal="left" vertical="center" wrapText="1"/>
    </xf>
    <xf numFmtId="1" fontId="4" fillId="0" borderId="16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wrapText="1"/>
    </xf>
    <xf numFmtId="49" fontId="4" fillId="0" borderId="6" xfId="0" applyNumberFormat="1" applyFont="1" applyFill="1" applyBorder="1" applyAlignment="1">
      <alignment horizontal="center" wrapText="1"/>
    </xf>
    <xf numFmtId="49" fontId="6" fillId="0" borderId="1" xfId="0" applyNumberFormat="1" applyFont="1" applyFill="1" applyBorder="1" applyAlignment="1">
      <alignment horizontal="left" vertical="center" wrapText="1"/>
    </xf>
    <xf numFmtId="2" fontId="5" fillId="0" borderId="2" xfId="0" applyNumberFormat="1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vertical="center" wrapText="1"/>
    </xf>
    <xf numFmtId="1" fontId="6" fillId="0" borderId="2" xfId="0" applyNumberFormat="1" applyFont="1" applyFill="1" applyBorder="1" applyAlignment="1">
      <alignment vertical="center" wrapText="1"/>
    </xf>
    <xf numFmtId="2" fontId="5" fillId="0" borderId="2" xfId="0" applyNumberFormat="1" applyFont="1" applyFill="1" applyBorder="1"/>
    <xf numFmtId="2" fontId="5" fillId="0" borderId="4" xfId="0" applyNumberFormat="1" applyFont="1" applyFill="1" applyBorder="1"/>
    <xf numFmtId="49" fontId="4" fillId="0" borderId="1" xfId="0" applyNumberFormat="1" applyFont="1" applyFill="1" applyBorder="1" applyAlignment="1">
      <alignment wrapText="1"/>
    </xf>
    <xf numFmtId="49" fontId="4" fillId="0" borderId="3" xfId="0" applyNumberFormat="1" applyFont="1" applyFill="1" applyBorder="1" applyAlignment="1">
      <alignment wrapText="1"/>
    </xf>
    <xf numFmtId="1" fontId="7" fillId="0" borderId="1" xfId="0" applyNumberFormat="1" applyFont="1" applyFill="1" applyBorder="1" applyAlignment="1">
      <alignment horizontal="center"/>
    </xf>
    <xf numFmtId="2" fontId="8" fillId="0" borderId="1" xfId="0" applyNumberFormat="1" applyFont="1" applyFill="1" applyBorder="1" applyAlignment="1">
      <alignment horizontal="center"/>
    </xf>
    <xf numFmtId="2" fontId="7" fillId="0" borderId="1" xfId="0" applyNumberFormat="1" applyFont="1" applyFill="1" applyBorder="1" applyAlignment="1">
      <alignment horizontal="center"/>
    </xf>
    <xf numFmtId="2" fontId="7" fillId="0" borderId="6" xfId="0" applyNumberFormat="1" applyFont="1" applyFill="1" applyBorder="1" applyAlignment="1">
      <alignment horizontal="center"/>
    </xf>
    <xf numFmtId="1" fontId="7" fillId="0" borderId="5" xfId="0" applyNumberFormat="1" applyFont="1" applyFill="1" applyBorder="1" applyAlignment="1">
      <alignment horizontal="center"/>
    </xf>
    <xf numFmtId="2" fontId="8" fillId="0" borderId="6" xfId="0" applyNumberFormat="1" applyFont="1" applyFill="1" applyBorder="1" applyAlignment="1">
      <alignment horizontal="center"/>
    </xf>
    <xf numFmtId="2" fontId="8" fillId="0" borderId="10" xfId="0" applyNumberFormat="1" applyFont="1" applyFill="1" applyBorder="1" applyAlignment="1">
      <alignment horizontal="center"/>
    </xf>
    <xf numFmtId="2" fontId="8" fillId="0" borderId="5" xfId="0" applyNumberFormat="1" applyFont="1" applyFill="1" applyBorder="1" applyAlignment="1">
      <alignment horizontal="center"/>
    </xf>
    <xf numFmtId="2" fontId="7" fillId="0" borderId="5" xfId="0" applyNumberFormat="1" applyFont="1" applyFill="1" applyBorder="1" applyAlignment="1">
      <alignment horizontal="center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164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/>
    </xf>
    <xf numFmtId="2" fontId="6" fillId="0" borderId="9" xfId="0" applyNumberFormat="1" applyFont="1" applyFill="1" applyBorder="1" applyAlignment="1">
      <alignment horizontal="center"/>
    </xf>
    <xf numFmtId="2" fontId="6" fillId="0" borderId="10" xfId="0" applyNumberFormat="1" applyFont="1" applyFill="1" applyBorder="1" applyAlignment="1">
      <alignment horizontal="center"/>
    </xf>
    <xf numFmtId="2" fontId="6" fillId="0" borderId="9" xfId="0" applyNumberFormat="1" applyFont="1" applyFill="1" applyBorder="1" applyAlignment="1">
      <alignment horizontal="left"/>
    </xf>
    <xf numFmtId="1" fontId="6" fillId="0" borderId="6" xfId="0" applyNumberFormat="1" applyFont="1" applyFill="1" applyBorder="1" applyAlignment="1">
      <alignment horizontal="center"/>
    </xf>
    <xf numFmtId="2" fontId="6" fillId="0" borderId="3" xfId="0" applyNumberFormat="1" applyFont="1" applyFill="1" applyBorder="1" applyAlignment="1">
      <alignment horizontal="left"/>
    </xf>
    <xf numFmtId="1" fontId="6" fillId="0" borderId="3" xfId="0" applyNumberFormat="1" applyFont="1" applyFill="1" applyBorder="1" applyAlignment="1">
      <alignment horizontal="center"/>
    </xf>
    <xf numFmtId="2" fontId="6" fillId="0" borderId="8" xfId="0" applyNumberFormat="1" applyFont="1" applyFill="1" applyBorder="1" applyAlignment="1">
      <alignment horizontal="center"/>
    </xf>
    <xf numFmtId="0" fontId="5" fillId="0" borderId="6" xfId="0" applyFont="1" applyFill="1" applyBorder="1"/>
    <xf numFmtId="2" fontId="4" fillId="0" borderId="0" xfId="0" applyNumberFormat="1" applyFont="1" applyFill="1" applyBorder="1" applyAlignment="1">
      <alignment horizontal="center" vertical="center" wrapText="1"/>
    </xf>
    <xf numFmtId="2" fontId="4" fillId="0" borderId="7" xfId="0" applyNumberFormat="1" applyFont="1" applyFill="1" applyBorder="1" applyAlignment="1">
      <alignment horizontal="center" vertical="center" wrapText="1"/>
    </xf>
    <xf numFmtId="2" fontId="4" fillId="0" borderId="8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2" fontId="5" fillId="0" borderId="4" xfId="0" applyNumberFormat="1" applyFont="1" applyFill="1" applyBorder="1" applyAlignment="1">
      <alignment horizontal="left"/>
    </xf>
    <xf numFmtId="1" fontId="4" fillId="0" borderId="2" xfId="0" applyNumberFormat="1" applyFont="1" applyFill="1" applyBorder="1" applyAlignment="1">
      <alignment horizontal="center" vertical="center" wrapText="1"/>
    </xf>
    <xf numFmtId="49" fontId="5" fillId="0" borderId="11" xfId="0" applyNumberFormat="1" applyFont="1" applyFill="1" applyBorder="1" applyAlignment="1">
      <alignment horizontal="center"/>
    </xf>
    <xf numFmtId="2" fontId="3" fillId="0" borderId="13" xfId="1" applyNumberFormat="1" applyFont="1" applyFill="1" applyBorder="1" applyAlignment="1">
      <alignment horizontal="left"/>
    </xf>
    <xf numFmtId="49" fontId="5" fillId="0" borderId="12" xfId="0" applyNumberFormat="1" applyFont="1" applyFill="1" applyBorder="1" applyAlignment="1">
      <alignment horizontal="center"/>
    </xf>
    <xf numFmtId="2" fontId="3" fillId="0" borderId="14" xfId="1" applyNumberFormat="1" applyFont="1" applyFill="1" applyBorder="1" applyAlignment="1">
      <alignment horizontal="left"/>
    </xf>
    <xf numFmtId="165" fontId="6" fillId="0" borderId="3" xfId="0" applyNumberFormat="1" applyFont="1" applyFill="1" applyBorder="1" applyAlignment="1">
      <alignment horizontal="center"/>
    </xf>
    <xf numFmtId="49" fontId="6" fillId="0" borderId="8" xfId="0" applyNumberFormat="1" applyFont="1" applyFill="1" applyBorder="1" applyAlignment="1">
      <alignment horizontal="center" vertical="center" wrapText="1"/>
    </xf>
    <xf numFmtId="165" fontId="6" fillId="0" borderId="6" xfId="0" applyNumberFormat="1" applyFont="1" applyFill="1" applyBorder="1" applyAlignment="1">
      <alignment horizontal="center"/>
    </xf>
    <xf numFmtId="49" fontId="4" fillId="0" borderId="7" xfId="0" applyNumberFormat="1" applyFont="1" applyFill="1" applyBorder="1" applyAlignment="1">
      <alignment horizontal="center" wrapText="1"/>
    </xf>
    <xf numFmtId="2" fontId="6" fillId="0" borderId="7" xfId="0" applyNumberFormat="1" applyFont="1" applyFill="1" applyBorder="1" applyAlignment="1">
      <alignment horizontal="left"/>
    </xf>
    <xf numFmtId="1" fontId="6" fillId="0" borderId="7" xfId="0" applyNumberFormat="1" applyFont="1" applyFill="1" applyBorder="1" applyAlignment="1">
      <alignment horizontal="center"/>
    </xf>
    <xf numFmtId="2" fontId="6" fillId="0" borderId="7" xfId="0" applyNumberFormat="1" applyFont="1" applyFill="1" applyBorder="1" applyAlignment="1">
      <alignment horizontal="center"/>
    </xf>
    <xf numFmtId="49" fontId="6" fillId="0" borderId="5" xfId="0" applyNumberFormat="1" applyFont="1" applyFill="1" applyBorder="1" applyAlignment="1">
      <alignment wrapText="1"/>
    </xf>
    <xf numFmtId="49" fontId="5" fillId="0" borderId="6" xfId="0" applyNumberFormat="1" applyFont="1" applyFill="1" applyBorder="1"/>
    <xf numFmtId="0" fontId="6" fillId="0" borderId="6" xfId="0" applyNumberFormat="1" applyFont="1" applyFill="1" applyBorder="1" applyAlignment="1">
      <alignment horizontal="left"/>
    </xf>
    <xf numFmtId="0" fontId="6" fillId="0" borderId="6" xfId="0" applyNumberFormat="1" applyFont="1" applyFill="1" applyBorder="1" applyAlignment="1">
      <alignment horizontal="center"/>
    </xf>
    <xf numFmtId="2" fontId="6" fillId="0" borderId="6" xfId="0" applyNumberFormat="1" applyFont="1" applyFill="1" applyBorder="1" applyAlignment="1">
      <alignment horizontal="left"/>
    </xf>
    <xf numFmtId="49" fontId="6" fillId="0" borderId="15" xfId="0" applyNumberFormat="1" applyFont="1" applyFill="1" applyBorder="1" applyAlignment="1">
      <alignment horizontal="left" vertical="center" wrapText="1"/>
    </xf>
    <xf numFmtId="49" fontId="6" fillId="0" borderId="6" xfId="0" applyNumberFormat="1" applyFont="1" applyFill="1" applyBorder="1" applyAlignment="1">
      <alignment horizontal="left" vertical="center" wrapText="1"/>
    </xf>
    <xf numFmtId="2" fontId="6" fillId="0" borderId="0" xfId="0" applyNumberFormat="1" applyFont="1" applyFill="1" applyAlignment="1">
      <alignment horizontal="left"/>
    </xf>
    <xf numFmtId="2" fontId="6" fillId="0" borderId="0" xfId="0" applyNumberFormat="1" applyFont="1" applyFill="1" applyAlignment="1">
      <alignment horizontal="center"/>
    </xf>
    <xf numFmtId="49" fontId="6" fillId="0" borderId="6" xfId="0" applyNumberFormat="1" applyFont="1" applyFill="1" applyBorder="1" applyAlignment="1">
      <alignment horizontal="left" wrapText="1"/>
    </xf>
    <xf numFmtId="2" fontId="6" fillId="0" borderId="2" xfId="0" applyNumberFormat="1" applyFont="1" applyFill="1" applyBorder="1" applyAlignment="1">
      <alignment horizontal="left" wrapText="1"/>
    </xf>
    <xf numFmtId="1" fontId="6" fillId="0" borderId="6" xfId="0" applyNumberFormat="1" applyFont="1" applyFill="1" applyBorder="1" applyAlignment="1">
      <alignment horizontal="center" wrapText="1"/>
    </xf>
    <xf numFmtId="2" fontId="6" fillId="0" borderId="6" xfId="0" applyNumberFormat="1" applyFont="1" applyFill="1" applyBorder="1" applyAlignment="1">
      <alignment horizontal="center" wrapText="1"/>
    </xf>
    <xf numFmtId="2" fontId="6" fillId="0" borderId="2" xfId="0" applyNumberFormat="1" applyFont="1" applyFill="1" applyBorder="1" applyAlignment="1">
      <alignment horizontal="center" wrapText="1"/>
    </xf>
    <xf numFmtId="49" fontId="6" fillId="0" borderId="5" xfId="0" applyNumberFormat="1" applyFont="1" applyFill="1" applyBorder="1" applyAlignment="1">
      <alignment horizontal="left" wrapText="1"/>
    </xf>
    <xf numFmtId="1" fontId="6" fillId="0" borderId="9" xfId="0" applyNumberFormat="1" applyFont="1" applyFill="1" applyBorder="1" applyAlignment="1">
      <alignment horizontal="center"/>
    </xf>
    <xf numFmtId="165" fontId="6" fillId="0" borderId="9" xfId="0" applyNumberFormat="1" applyFont="1" applyFill="1" applyBorder="1" applyAlignment="1">
      <alignment horizontal="center"/>
    </xf>
    <xf numFmtId="2" fontId="6" fillId="0" borderId="8" xfId="0" applyNumberFormat="1" applyFont="1" applyFill="1" applyBorder="1" applyAlignment="1">
      <alignment horizontal="left"/>
    </xf>
    <xf numFmtId="1" fontId="6" fillId="0" borderId="8" xfId="0" applyNumberFormat="1" applyFont="1" applyFill="1" applyBorder="1" applyAlignment="1">
      <alignment horizontal="center"/>
    </xf>
    <xf numFmtId="165" fontId="6" fillId="0" borderId="5" xfId="0" applyNumberFormat="1" applyFont="1" applyFill="1" applyBorder="1" applyAlignment="1">
      <alignment horizontal="center"/>
    </xf>
    <xf numFmtId="49" fontId="9" fillId="0" borderId="5" xfId="0" applyNumberFormat="1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165" fontId="6" fillId="0" borderId="1" xfId="0" applyNumberFormat="1" applyFont="1" applyFill="1" applyBorder="1" applyAlignment="1">
      <alignment horizontal="center"/>
    </xf>
    <xf numFmtId="165" fontId="6" fillId="0" borderId="8" xfId="0" applyNumberFormat="1" applyFont="1" applyFill="1" applyBorder="1" applyAlignment="1">
      <alignment horizontal="center"/>
    </xf>
    <xf numFmtId="49" fontId="6" fillId="0" borderId="8" xfId="0" applyNumberFormat="1" applyFont="1" applyFill="1" applyBorder="1" applyAlignment="1">
      <alignment horizontal="left" vertical="center" wrapText="1"/>
    </xf>
    <xf numFmtId="49" fontId="5" fillId="0" borderId="2" xfId="0" applyNumberFormat="1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16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1" xfId="2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6"/>
  <sheetViews>
    <sheetView view="pageBreakPreview" topLeftCell="B184" zoomScale="78" zoomScaleNormal="78" zoomScaleSheetLayoutView="78" workbookViewId="0">
      <selection activeCell="C84" sqref="C84"/>
    </sheetView>
  </sheetViews>
  <sheetFormatPr defaultColWidth="9.140625" defaultRowHeight="39.75" customHeight="1" x14ac:dyDescent="0.3"/>
  <cols>
    <col min="1" max="1" width="4" style="18" customWidth="1"/>
    <col min="2" max="2" width="32" style="88" customWidth="1"/>
    <col min="3" max="3" width="63.5703125" style="87" customWidth="1"/>
    <col min="4" max="4" width="24.42578125" style="88" customWidth="1"/>
    <col min="5" max="5" width="23.42578125" style="88" customWidth="1"/>
    <col min="6" max="6" width="24" style="88" customWidth="1"/>
    <col min="7" max="7" width="22.28515625" style="88" customWidth="1"/>
    <col min="8" max="8" width="25.42578125" style="88" customWidth="1"/>
    <col min="9" max="9" width="22.28515625" style="88" customWidth="1"/>
    <col min="10" max="10" width="21.28515625" style="88" customWidth="1"/>
    <col min="11" max="11" width="21" style="89" customWidth="1"/>
    <col min="12" max="12" width="22" style="88" customWidth="1"/>
    <col min="13" max="13" width="8" style="18" customWidth="1"/>
    <col min="14" max="16384" width="9.140625" style="18"/>
  </cols>
  <sheetData>
    <row r="1" spans="2:12" ht="30" customHeight="1" thickBot="1" x14ac:dyDescent="0.35"/>
    <row r="2" spans="2:12" ht="31.5" customHeight="1" thickBot="1" x14ac:dyDescent="0.35">
      <c r="B2" s="154" t="s">
        <v>58</v>
      </c>
      <c r="C2" s="155"/>
      <c r="D2" s="155"/>
      <c r="E2" s="155"/>
      <c r="F2" s="155"/>
      <c r="G2" s="155"/>
      <c r="H2" s="155"/>
      <c r="I2" s="155"/>
      <c r="J2" s="155"/>
      <c r="K2" s="155"/>
      <c r="L2" s="156"/>
    </row>
    <row r="3" spans="2:12" ht="28.5" customHeight="1" thickBot="1" x14ac:dyDescent="0.35">
      <c r="B3" s="138" t="s">
        <v>6</v>
      </c>
      <c r="C3" s="19"/>
      <c r="D3" s="19"/>
      <c r="E3" s="19"/>
      <c r="F3" s="19"/>
      <c r="G3" s="19"/>
      <c r="H3" s="19"/>
      <c r="I3" s="19"/>
      <c r="J3" s="19"/>
      <c r="K3" s="19"/>
      <c r="L3" s="20"/>
    </row>
    <row r="4" spans="2:12" ht="21.75" customHeight="1" thickBot="1" x14ac:dyDescent="0.35">
      <c r="B4" s="147" t="s">
        <v>4</v>
      </c>
      <c r="C4" s="147" t="s">
        <v>0</v>
      </c>
      <c r="D4" s="147" t="s">
        <v>30</v>
      </c>
      <c r="E4" s="149" t="s">
        <v>12</v>
      </c>
      <c r="F4" s="150"/>
      <c r="G4" s="150"/>
      <c r="H4" s="151"/>
      <c r="I4" s="152" t="s">
        <v>35</v>
      </c>
      <c r="J4" s="143" t="s">
        <v>36</v>
      </c>
      <c r="K4" s="143" t="s">
        <v>37</v>
      </c>
      <c r="L4" s="143" t="s">
        <v>38</v>
      </c>
    </row>
    <row r="5" spans="2:12" ht="59.25" customHeight="1" thickBot="1" x14ac:dyDescent="0.35">
      <c r="B5" s="148"/>
      <c r="C5" s="148"/>
      <c r="D5" s="148"/>
      <c r="E5" s="21" t="s">
        <v>31</v>
      </c>
      <c r="F5" s="21" t="s">
        <v>32</v>
      </c>
      <c r="G5" s="21" t="s">
        <v>33</v>
      </c>
      <c r="H5" s="21" t="s">
        <v>34</v>
      </c>
      <c r="I5" s="153"/>
      <c r="J5" s="144"/>
      <c r="K5" s="144"/>
      <c r="L5" s="144"/>
    </row>
    <row r="6" spans="2:12" ht="27.75" customHeight="1" thickBot="1" x14ac:dyDescent="0.35">
      <c r="B6" s="22" t="s">
        <v>26</v>
      </c>
      <c r="C6" s="23"/>
      <c r="D6" s="24"/>
      <c r="E6" s="24"/>
      <c r="F6" s="24"/>
      <c r="G6" s="24"/>
      <c r="H6" s="24"/>
      <c r="I6" s="24"/>
      <c r="J6" s="24"/>
      <c r="K6" s="24"/>
      <c r="L6" s="25"/>
    </row>
    <row r="7" spans="2:12" ht="29.25" customHeight="1" thickBot="1" x14ac:dyDescent="0.35">
      <c r="B7" s="33" t="s">
        <v>51</v>
      </c>
      <c r="C7" s="12" t="s">
        <v>72</v>
      </c>
      <c r="D7" s="34">
        <v>160</v>
      </c>
      <c r="E7" s="4">
        <f>12.54*160/170</f>
        <v>11.802352941176469</v>
      </c>
      <c r="F7" s="4">
        <f>15.05*160/170</f>
        <v>14.164705882352941</v>
      </c>
      <c r="G7" s="4">
        <f>47.8*160/170</f>
        <v>44.988235294117644</v>
      </c>
      <c r="H7" s="4">
        <f>368.9*160/170</f>
        <v>347.2</v>
      </c>
      <c r="I7" s="10">
        <f>0.17*160/170</f>
        <v>0.16</v>
      </c>
      <c r="J7" s="10">
        <f>138.65*160/170</f>
        <v>130.49411764705883</v>
      </c>
      <c r="K7" s="10">
        <f>24.8*160/170</f>
        <v>23.341176470588234</v>
      </c>
      <c r="L7" s="5">
        <f>1.39*160/170</f>
        <v>1.3082352941176469</v>
      </c>
    </row>
    <row r="8" spans="2:12" ht="27.75" customHeight="1" thickBot="1" x14ac:dyDescent="0.35">
      <c r="B8" s="33" t="s">
        <v>14</v>
      </c>
      <c r="C8" s="12" t="s">
        <v>40</v>
      </c>
      <c r="D8" s="34">
        <v>40</v>
      </c>
      <c r="E8" s="4">
        <v>3.04</v>
      </c>
      <c r="F8" s="4">
        <v>0.31999999999999995</v>
      </c>
      <c r="G8" s="4">
        <v>19.653333333333332</v>
      </c>
      <c r="H8" s="4">
        <v>94</v>
      </c>
      <c r="I8" s="10">
        <v>0</v>
      </c>
      <c r="J8" s="10">
        <v>9.1999999999999993</v>
      </c>
      <c r="K8" s="10">
        <v>13.2</v>
      </c>
      <c r="L8" s="5">
        <v>0.85333333333333328</v>
      </c>
    </row>
    <row r="9" spans="2:12" ht="30" customHeight="1" thickBot="1" x14ac:dyDescent="0.35">
      <c r="B9" s="7" t="s">
        <v>13</v>
      </c>
      <c r="C9" s="8" t="s">
        <v>42</v>
      </c>
      <c r="D9" s="9">
        <v>200</v>
      </c>
      <c r="E9" s="10">
        <v>0</v>
      </c>
      <c r="F9" s="10">
        <v>0</v>
      </c>
      <c r="G9" s="10">
        <v>6.9860000000000007</v>
      </c>
      <c r="H9" s="10">
        <v>27.93</v>
      </c>
      <c r="I9" s="10">
        <v>0.05</v>
      </c>
      <c r="J9" s="10">
        <v>2.69</v>
      </c>
      <c r="K9" s="11">
        <v>2.2000000000000002</v>
      </c>
      <c r="L9" s="5">
        <v>0.43</v>
      </c>
    </row>
    <row r="10" spans="2:12" ht="28.5" customHeight="1" thickBot="1" x14ac:dyDescent="0.35">
      <c r="B10" s="7" t="s">
        <v>17</v>
      </c>
      <c r="C10" s="26" t="s">
        <v>52</v>
      </c>
      <c r="D10" s="34">
        <v>100</v>
      </c>
      <c r="E10" s="4">
        <v>0.4</v>
      </c>
      <c r="F10" s="4">
        <v>0.4</v>
      </c>
      <c r="G10" s="4">
        <v>9.8000000000000007</v>
      </c>
      <c r="H10" s="4">
        <v>47</v>
      </c>
      <c r="I10" s="4">
        <v>10</v>
      </c>
      <c r="J10" s="4">
        <v>16</v>
      </c>
      <c r="K10" s="11">
        <v>9</v>
      </c>
      <c r="L10" s="5">
        <v>2.2000000000000002</v>
      </c>
    </row>
    <row r="11" spans="2:12" ht="32.25" customHeight="1" thickBot="1" x14ac:dyDescent="0.35">
      <c r="B11" s="111"/>
      <c r="C11" s="62" t="s">
        <v>27</v>
      </c>
      <c r="D11" s="94">
        <f t="shared" ref="D11:L11" si="0">SUM(D7:D10)</f>
        <v>500</v>
      </c>
      <c r="E11" s="112">
        <f t="shared" si="0"/>
        <v>15.242352941176469</v>
      </c>
      <c r="F11" s="59">
        <f t="shared" si="0"/>
        <v>14.884705882352941</v>
      </c>
      <c r="G11" s="59">
        <f t="shared" si="0"/>
        <v>81.427568627450981</v>
      </c>
      <c r="H11" s="59">
        <f t="shared" si="0"/>
        <v>516.13</v>
      </c>
      <c r="I11" s="59">
        <f t="shared" si="0"/>
        <v>10.210000000000001</v>
      </c>
      <c r="J11" s="59">
        <f t="shared" si="0"/>
        <v>158.38411764705882</v>
      </c>
      <c r="K11" s="59">
        <f t="shared" si="0"/>
        <v>47.741176470588236</v>
      </c>
      <c r="L11" s="59">
        <f t="shared" si="0"/>
        <v>4.7915686274509799</v>
      </c>
    </row>
    <row r="12" spans="2:12" ht="28.9" customHeight="1" thickBot="1" x14ac:dyDescent="0.35">
      <c r="B12" s="27" t="s">
        <v>1</v>
      </c>
      <c r="C12" s="28"/>
      <c r="D12" s="29"/>
      <c r="E12" s="28"/>
      <c r="F12" s="28"/>
      <c r="G12" s="28"/>
      <c r="H12" s="28"/>
      <c r="I12" s="28"/>
      <c r="J12" s="28"/>
      <c r="K12" s="28"/>
      <c r="L12" s="30"/>
    </row>
    <row r="13" spans="2:12" ht="29.25" customHeight="1" thickBot="1" x14ac:dyDescent="0.35">
      <c r="B13" s="1" t="s">
        <v>65</v>
      </c>
      <c r="C13" s="2" t="s">
        <v>66</v>
      </c>
      <c r="D13" s="3">
        <v>60</v>
      </c>
      <c r="E13" s="31">
        <v>0.96</v>
      </c>
      <c r="F13" s="31">
        <v>3.06</v>
      </c>
      <c r="G13" s="31">
        <v>1.95</v>
      </c>
      <c r="H13" s="31">
        <v>40.61</v>
      </c>
      <c r="I13" s="14">
        <v>11.89</v>
      </c>
      <c r="J13" s="15">
        <v>31.34</v>
      </c>
      <c r="K13" s="16">
        <v>9.61</v>
      </c>
      <c r="L13" s="32">
        <v>0.4</v>
      </c>
    </row>
    <row r="14" spans="2:12" ht="29.25" customHeight="1" thickBot="1" x14ac:dyDescent="0.35">
      <c r="B14" s="33" t="s">
        <v>73</v>
      </c>
      <c r="C14" s="12" t="s">
        <v>74</v>
      </c>
      <c r="D14" s="34">
        <v>200</v>
      </c>
      <c r="E14" s="4">
        <v>1.57</v>
      </c>
      <c r="F14" s="4">
        <v>2.17</v>
      </c>
      <c r="G14" s="4">
        <v>9.69</v>
      </c>
      <c r="H14" s="5">
        <v>68.599999999999994</v>
      </c>
      <c r="I14" s="16">
        <v>6.6</v>
      </c>
      <c r="J14" s="24">
        <v>17.600000000000001</v>
      </c>
      <c r="K14" s="16">
        <v>18.22</v>
      </c>
      <c r="L14" s="25">
        <v>0.7</v>
      </c>
    </row>
    <row r="15" spans="2:12" ht="28.5" customHeight="1" thickBot="1" x14ac:dyDescent="0.35">
      <c r="B15" s="35" t="s">
        <v>61</v>
      </c>
      <c r="C15" s="26" t="s">
        <v>56</v>
      </c>
      <c r="D15" s="13">
        <v>100</v>
      </c>
      <c r="E15" s="14">
        <v>10.63</v>
      </c>
      <c r="F15" s="14">
        <v>12.64</v>
      </c>
      <c r="G15" s="14">
        <v>13.07</v>
      </c>
      <c r="H15" s="5">
        <v>209.45</v>
      </c>
      <c r="I15" s="5">
        <v>0.54</v>
      </c>
      <c r="J15" s="15">
        <v>60.77</v>
      </c>
      <c r="K15" s="16">
        <v>33.950000000000003</v>
      </c>
      <c r="L15" s="25">
        <v>1.2</v>
      </c>
    </row>
    <row r="16" spans="2:12" ht="27.75" customHeight="1" thickBot="1" x14ac:dyDescent="0.35">
      <c r="B16" s="33" t="s">
        <v>49</v>
      </c>
      <c r="C16" s="12" t="s">
        <v>44</v>
      </c>
      <c r="D16" s="34">
        <v>150</v>
      </c>
      <c r="E16" s="4">
        <v>4</v>
      </c>
      <c r="F16" s="4">
        <v>4.24</v>
      </c>
      <c r="G16" s="4">
        <v>24.55</v>
      </c>
      <c r="H16" s="31">
        <v>152.4</v>
      </c>
      <c r="I16" s="14">
        <v>0</v>
      </c>
      <c r="J16" s="36">
        <v>10.53</v>
      </c>
      <c r="K16" s="37">
        <v>99.9</v>
      </c>
      <c r="L16" s="32">
        <v>3.36</v>
      </c>
    </row>
    <row r="17" spans="2:16" ht="27.75" customHeight="1" thickBot="1" x14ac:dyDescent="0.35">
      <c r="B17" s="33" t="s">
        <v>13</v>
      </c>
      <c r="C17" s="12" t="s">
        <v>42</v>
      </c>
      <c r="D17" s="34">
        <v>200</v>
      </c>
      <c r="E17" s="4">
        <v>0</v>
      </c>
      <c r="F17" s="4">
        <v>0</v>
      </c>
      <c r="G17" s="4">
        <v>6.9860000000000007</v>
      </c>
      <c r="H17" s="4">
        <v>27.93</v>
      </c>
      <c r="I17" s="14">
        <v>0.05</v>
      </c>
      <c r="J17" s="36">
        <v>2.69</v>
      </c>
      <c r="K17" s="37">
        <v>2.2000000000000002</v>
      </c>
      <c r="L17" s="32">
        <v>0.43</v>
      </c>
    </row>
    <row r="18" spans="2:16" ht="28.5" customHeight="1" thickBot="1" x14ac:dyDescent="0.35">
      <c r="B18" s="7" t="s">
        <v>14</v>
      </c>
      <c r="C18" s="8" t="s">
        <v>40</v>
      </c>
      <c r="D18" s="9">
        <v>45</v>
      </c>
      <c r="E18" s="10">
        <f>3.04*45/40</f>
        <v>3.4200000000000004</v>
      </c>
      <c r="F18" s="10">
        <f>0.32*45/40</f>
        <v>0.36</v>
      </c>
      <c r="G18" s="10">
        <f>19.65*45/40</f>
        <v>22.106249999999996</v>
      </c>
      <c r="H18" s="10">
        <f>94*45/40</f>
        <v>105.75</v>
      </c>
      <c r="I18" s="10">
        <v>0</v>
      </c>
      <c r="J18" s="10">
        <f>9.2*45/40</f>
        <v>10.349999999999998</v>
      </c>
      <c r="K18" s="11">
        <f>13.2*45/40</f>
        <v>14.85</v>
      </c>
      <c r="L18" s="5">
        <f>0.76*45/40</f>
        <v>0.85500000000000009</v>
      </c>
    </row>
    <row r="19" spans="2:16" ht="30" customHeight="1" thickBot="1" x14ac:dyDescent="0.35">
      <c r="B19" s="7" t="s">
        <v>16</v>
      </c>
      <c r="C19" s="26" t="s">
        <v>41</v>
      </c>
      <c r="D19" s="13">
        <v>25</v>
      </c>
      <c r="E19" s="14">
        <v>1.65</v>
      </c>
      <c r="F19" s="14">
        <v>3</v>
      </c>
      <c r="G19" s="14">
        <v>8.35</v>
      </c>
      <c r="H19" s="14">
        <v>43.5</v>
      </c>
      <c r="I19" s="5">
        <v>0</v>
      </c>
      <c r="J19" s="14">
        <v>8.25</v>
      </c>
      <c r="K19" s="16">
        <v>14.250000000000002</v>
      </c>
      <c r="L19" s="5">
        <v>1.125</v>
      </c>
      <c r="P19" s="98"/>
    </row>
    <row r="20" spans="2:16" ht="34.5" customHeight="1" thickBot="1" x14ac:dyDescent="0.35">
      <c r="B20" s="38"/>
      <c r="C20" s="62" t="s">
        <v>2</v>
      </c>
      <c r="D20" s="63">
        <f>D19+D18+D17+D16+D15+D14+D13</f>
        <v>780</v>
      </c>
      <c r="E20" s="136">
        <f t="shared" ref="E20:L20" si="1">E19+E18+E17+E16+E15+E14+E13</f>
        <v>22.230000000000004</v>
      </c>
      <c r="F20" s="136">
        <f t="shared" si="1"/>
        <v>25.470000000000002</v>
      </c>
      <c r="G20" s="136">
        <f t="shared" si="1"/>
        <v>86.702250000000006</v>
      </c>
      <c r="H20" s="136">
        <f t="shared" si="1"/>
        <v>648.24</v>
      </c>
      <c r="I20" s="136">
        <f t="shared" si="1"/>
        <v>19.079999999999998</v>
      </c>
      <c r="J20" s="136">
        <f t="shared" si="1"/>
        <v>141.53</v>
      </c>
      <c r="K20" s="136">
        <f t="shared" si="1"/>
        <v>192.98000000000002</v>
      </c>
      <c r="L20" s="112">
        <f t="shared" si="1"/>
        <v>8.07</v>
      </c>
    </row>
    <row r="21" spans="2:16" ht="34.9" customHeight="1" thickBot="1" x14ac:dyDescent="0.35">
      <c r="B21" s="113"/>
      <c r="C21" s="114" t="s">
        <v>3</v>
      </c>
      <c r="D21" s="115">
        <f t="shared" ref="D21:L21" si="2">D20+D11</f>
        <v>1280</v>
      </c>
      <c r="E21" s="116">
        <f t="shared" si="2"/>
        <v>37.472352941176474</v>
      </c>
      <c r="F21" s="116">
        <f t="shared" si="2"/>
        <v>40.354705882352945</v>
      </c>
      <c r="G21" s="116">
        <f t="shared" si="2"/>
        <v>168.12981862745099</v>
      </c>
      <c r="H21" s="116">
        <f t="shared" si="2"/>
        <v>1164.3699999999999</v>
      </c>
      <c r="I21" s="116">
        <f t="shared" si="2"/>
        <v>29.29</v>
      </c>
      <c r="J21" s="116">
        <f t="shared" si="2"/>
        <v>299.91411764705879</v>
      </c>
      <c r="K21" s="116">
        <f t="shared" si="2"/>
        <v>240.72117647058826</v>
      </c>
      <c r="L21" s="59">
        <f t="shared" si="2"/>
        <v>12.86156862745098</v>
      </c>
    </row>
    <row r="22" spans="2:16" ht="30.75" customHeight="1" thickBot="1" x14ac:dyDescent="0.35">
      <c r="B22" s="137" t="s">
        <v>5</v>
      </c>
      <c r="C22" s="39"/>
      <c r="D22" s="39"/>
      <c r="E22" s="39"/>
      <c r="F22" s="39"/>
      <c r="G22" s="39"/>
      <c r="H22" s="39"/>
      <c r="I22" s="39"/>
      <c r="J22" s="39"/>
      <c r="K22" s="39"/>
      <c r="L22" s="40"/>
    </row>
    <row r="23" spans="2:16" ht="27.75" customHeight="1" thickBot="1" x14ac:dyDescent="0.35">
      <c r="B23" s="145" t="s">
        <v>4</v>
      </c>
      <c r="C23" s="147" t="s">
        <v>0</v>
      </c>
      <c r="D23" s="147" t="s">
        <v>30</v>
      </c>
      <c r="E23" s="149" t="s">
        <v>12</v>
      </c>
      <c r="F23" s="150"/>
      <c r="G23" s="150"/>
      <c r="H23" s="151"/>
      <c r="I23" s="152" t="s">
        <v>35</v>
      </c>
      <c r="J23" s="143" t="s">
        <v>36</v>
      </c>
      <c r="K23" s="143" t="s">
        <v>37</v>
      </c>
      <c r="L23" s="143" t="s">
        <v>38</v>
      </c>
    </row>
    <row r="24" spans="2:16" ht="57" customHeight="1" thickBot="1" x14ac:dyDescent="0.35">
      <c r="B24" s="146"/>
      <c r="C24" s="148"/>
      <c r="D24" s="148"/>
      <c r="E24" s="21" t="s">
        <v>31</v>
      </c>
      <c r="F24" s="21" t="s">
        <v>32</v>
      </c>
      <c r="G24" s="21" t="s">
        <v>33</v>
      </c>
      <c r="H24" s="21" t="s">
        <v>34</v>
      </c>
      <c r="I24" s="153"/>
      <c r="J24" s="144"/>
      <c r="K24" s="144"/>
      <c r="L24" s="144"/>
    </row>
    <row r="25" spans="2:16" ht="28.5" customHeight="1" thickBot="1" x14ac:dyDescent="0.35">
      <c r="B25" s="27" t="s">
        <v>26</v>
      </c>
      <c r="C25" s="28"/>
      <c r="D25" s="28"/>
      <c r="E25" s="28"/>
      <c r="F25" s="28"/>
      <c r="G25" s="28"/>
      <c r="H25" s="28"/>
      <c r="I25" s="28"/>
      <c r="J25" s="28"/>
      <c r="K25" s="28"/>
      <c r="L25" s="30"/>
    </row>
    <row r="26" spans="2:16" ht="33.75" customHeight="1" thickBot="1" x14ac:dyDescent="0.35">
      <c r="B26" s="7" t="s">
        <v>55</v>
      </c>
      <c r="C26" s="12" t="s">
        <v>59</v>
      </c>
      <c r="D26" s="34">
        <v>60</v>
      </c>
      <c r="E26" s="4">
        <v>0.66</v>
      </c>
      <c r="F26" s="4">
        <v>0.12</v>
      </c>
      <c r="G26" s="4">
        <v>2.2799999999999998</v>
      </c>
      <c r="H26" s="4">
        <v>13.2</v>
      </c>
      <c r="I26" s="4">
        <v>10.5</v>
      </c>
      <c r="J26" s="4">
        <v>8.4</v>
      </c>
      <c r="K26" s="14">
        <v>12</v>
      </c>
      <c r="L26" s="14">
        <v>0.51</v>
      </c>
    </row>
    <row r="27" spans="2:16" ht="31.5" customHeight="1" thickBot="1" x14ac:dyDescent="0.35">
      <c r="B27" s="33" t="s">
        <v>28</v>
      </c>
      <c r="C27" s="12" t="s">
        <v>39</v>
      </c>
      <c r="D27" s="34">
        <v>150</v>
      </c>
      <c r="E27" s="4">
        <v>12.8</v>
      </c>
      <c r="F27" s="4">
        <v>14.52</v>
      </c>
      <c r="G27" s="4">
        <v>25.58</v>
      </c>
      <c r="H27" s="4">
        <v>369.21</v>
      </c>
      <c r="I27" s="4">
        <v>7.0000000000000007E-2</v>
      </c>
      <c r="J27" s="4">
        <v>215</v>
      </c>
      <c r="K27" s="14">
        <v>15.68</v>
      </c>
      <c r="L27" s="14">
        <v>1.03</v>
      </c>
    </row>
    <row r="28" spans="2:16" ht="30.75" customHeight="1" thickBot="1" x14ac:dyDescent="0.35">
      <c r="B28" s="7" t="s">
        <v>14</v>
      </c>
      <c r="C28" s="12" t="s">
        <v>40</v>
      </c>
      <c r="D28" s="34">
        <v>20</v>
      </c>
      <c r="E28" s="4">
        <v>1.52</v>
      </c>
      <c r="F28" s="4">
        <v>0.16</v>
      </c>
      <c r="G28" s="4">
        <v>9.84</v>
      </c>
      <c r="H28" s="4">
        <v>47</v>
      </c>
      <c r="I28" s="4">
        <v>0</v>
      </c>
      <c r="J28" s="4">
        <v>4.5999999999999996</v>
      </c>
      <c r="K28" s="5">
        <v>6.6</v>
      </c>
      <c r="L28" s="5">
        <v>0.38</v>
      </c>
    </row>
    <row r="29" spans="2:16" ht="30.75" customHeight="1" thickBot="1" x14ac:dyDescent="0.35">
      <c r="B29" s="7" t="s">
        <v>17</v>
      </c>
      <c r="C29" s="12" t="s">
        <v>52</v>
      </c>
      <c r="D29" s="34">
        <v>100</v>
      </c>
      <c r="E29" s="4">
        <v>0.4</v>
      </c>
      <c r="F29" s="4">
        <v>0.4</v>
      </c>
      <c r="G29" s="4">
        <v>9.8000000000000007</v>
      </c>
      <c r="H29" s="4">
        <v>47</v>
      </c>
      <c r="I29" s="4">
        <v>10</v>
      </c>
      <c r="J29" s="4">
        <v>16</v>
      </c>
      <c r="K29" s="5">
        <v>9</v>
      </c>
      <c r="L29" s="5">
        <v>2.2000000000000002</v>
      </c>
    </row>
    <row r="30" spans="2:16" ht="33.75" customHeight="1" thickBot="1" x14ac:dyDescent="0.35">
      <c r="B30" s="7" t="s">
        <v>13</v>
      </c>
      <c r="C30" s="17" t="s">
        <v>42</v>
      </c>
      <c r="D30" s="9">
        <v>200</v>
      </c>
      <c r="E30" s="10">
        <v>0</v>
      </c>
      <c r="F30" s="10">
        <v>0</v>
      </c>
      <c r="G30" s="10">
        <v>6.9860000000000007</v>
      </c>
      <c r="H30" s="10">
        <v>27.93</v>
      </c>
      <c r="I30" s="10">
        <v>0.05</v>
      </c>
      <c r="J30" s="10">
        <v>2.69</v>
      </c>
      <c r="K30" s="11">
        <v>2.2000000000000002</v>
      </c>
      <c r="L30" s="5">
        <v>0.43</v>
      </c>
    </row>
    <row r="31" spans="2:16" ht="31.5" customHeight="1" thickBot="1" x14ac:dyDescent="0.35">
      <c r="B31" s="117"/>
      <c r="C31" s="62" t="s">
        <v>27</v>
      </c>
      <c r="D31" s="63">
        <f t="shared" ref="D31:L31" si="3">SUM(D26:D30)</f>
        <v>530</v>
      </c>
      <c r="E31" s="64">
        <f t="shared" si="3"/>
        <v>15.38</v>
      </c>
      <c r="F31" s="64">
        <f t="shared" si="3"/>
        <v>15.2</v>
      </c>
      <c r="G31" s="64">
        <f t="shared" si="3"/>
        <v>54.486000000000004</v>
      </c>
      <c r="H31" s="64">
        <f t="shared" si="3"/>
        <v>504.34</v>
      </c>
      <c r="I31" s="64">
        <f t="shared" si="3"/>
        <v>20.62</v>
      </c>
      <c r="J31" s="64">
        <f t="shared" si="3"/>
        <v>246.69</v>
      </c>
      <c r="K31" s="64">
        <f t="shared" si="3"/>
        <v>45.480000000000004</v>
      </c>
      <c r="L31" s="59">
        <f t="shared" si="3"/>
        <v>4.55</v>
      </c>
    </row>
    <row r="32" spans="2:16" ht="27.75" customHeight="1" thickBot="1" x14ac:dyDescent="0.35">
      <c r="B32" s="27" t="s">
        <v>1</v>
      </c>
      <c r="C32" s="28"/>
      <c r="D32" s="29"/>
      <c r="E32" s="28"/>
      <c r="F32" s="28"/>
      <c r="G32" s="28"/>
      <c r="H32" s="28"/>
      <c r="I32" s="28"/>
      <c r="J32" s="28"/>
      <c r="K32" s="28"/>
      <c r="L32" s="30"/>
    </row>
    <row r="33" spans="2:12" ht="30.75" customHeight="1" thickBot="1" x14ac:dyDescent="0.35">
      <c r="B33" s="42" t="s">
        <v>55</v>
      </c>
      <c r="C33" s="43" t="s">
        <v>59</v>
      </c>
      <c r="D33" s="34">
        <v>60</v>
      </c>
      <c r="E33" s="31">
        <v>0.66</v>
      </c>
      <c r="F33" s="31">
        <v>0.12</v>
      </c>
      <c r="G33" s="31">
        <v>2.2799999999999998</v>
      </c>
      <c r="H33" s="31">
        <v>13.2</v>
      </c>
      <c r="I33" s="14">
        <v>10.5</v>
      </c>
      <c r="J33" s="44">
        <v>8.4</v>
      </c>
      <c r="K33" s="37">
        <v>12</v>
      </c>
      <c r="L33" s="14">
        <v>0.51</v>
      </c>
    </row>
    <row r="34" spans="2:12" ht="28.5" customHeight="1" thickBot="1" x14ac:dyDescent="0.35">
      <c r="B34" s="45" t="s">
        <v>15</v>
      </c>
      <c r="C34" s="12" t="s">
        <v>75</v>
      </c>
      <c r="D34" s="34">
        <v>200</v>
      </c>
      <c r="E34" s="4">
        <v>4.0999999999999996</v>
      </c>
      <c r="F34" s="4">
        <v>8.9</v>
      </c>
      <c r="G34" s="4">
        <v>22.84</v>
      </c>
      <c r="H34" s="4">
        <v>158</v>
      </c>
      <c r="I34" s="14">
        <v>3.75</v>
      </c>
      <c r="J34" s="36">
        <v>24.37</v>
      </c>
      <c r="K34" s="11">
        <v>22.94</v>
      </c>
      <c r="L34" s="5">
        <v>1.72</v>
      </c>
    </row>
    <row r="35" spans="2:12" ht="30" customHeight="1" thickBot="1" x14ac:dyDescent="0.35">
      <c r="B35" s="7" t="s">
        <v>77</v>
      </c>
      <c r="C35" s="12" t="s">
        <v>76</v>
      </c>
      <c r="D35" s="34">
        <v>200</v>
      </c>
      <c r="E35" s="4">
        <v>14.35</v>
      </c>
      <c r="F35" s="4">
        <v>13.39</v>
      </c>
      <c r="G35" s="4">
        <v>20.260000000000002</v>
      </c>
      <c r="H35" s="5">
        <v>248</v>
      </c>
      <c r="I35" s="5">
        <v>12.94</v>
      </c>
      <c r="J35" s="46">
        <v>42.05</v>
      </c>
      <c r="K35" s="16">
        <v>44.22</v>
      </c>
      <c r="L35" s="5">
        <v>2.19</v>
      </c>
    </row>
    <row r="36" spans="2:12" ht="33" customHeight="1" thickBot="1" x14ac:dyDescent="0.35">
      <c r="B36" s="33" t="s">
        <v>14</v>
      </c>
      <c r="C36" s="12" t="s">
        <v>40</v>
      </c>
      <c r="D36" s="34">
        <v>45</v>
      </c>
      <c r="E36" s="4">
        <v>3.4200000000000004</v>
      </c>
      <c r="F36" s="4">
        <v>0.36</v>
      </c>
      <c r="G36" s="4">
        <v>22.106249999999996</v>
      </c>
      <c r="H36" s="4">
        <v>105.75</v>
      </c>
      <c r="I36" s="16">
        <v>0</v>
      </c>
      <c r="J36" s="24">
        <v>10.349999999999998</v>
      </c>
      <c r="K36" s="16">
        <v>14.85</v>
      </c>
      <c r="L36" s="16">
        <v>0.85500000000000009</v>
      </c>
    </row>
    <row r="37" spans="2:12" ht="33" customHeight="1" thickBot="1" x14ac:dyDescent="0.35">
      <c r="B37" s="7" t="s">
        <v>16</v>
      </c>
      <c r="C37" s="26" t="s">
        <v>41</v>
      </c>
      <c r="D37" s="13">
        <v>25</v>
      </c>
      <c r="E37" s="14">
        <v>1.65</v>
      </c>
      <c r="F37" s="14">
        <v>3</v>
      </c>
      <c r="G37" s="14">
        <v>8.35</v>
      </c>
      <c r="H37" s="4">
        <v>43.5</v>
      </c>
      <c r="I37" s="5">
        <v>0</v>
      </c>
      <c r="J37" s="15">
        <v>8.25</v>
      </c>
      <c r="K37" s="16">
        <v>14.250000000000002</v>
      </c>
      <c r="L37" s="5">
        <v>1.125</v>
      </c>
    </row>
    <row r="38" spans="2:12" ht="32.25" customHeight="1" thickBot="1" x14ac:dyDescent="0.35">
      <c r="B38" s="7" t="s">
        <v>47</v>
      </c>
      <c r="C38" s="26" t="s">
        <v>48</v>
      </c>
      <c r="D38" s="13">
        <v>180</v>
      </c>
      <c r="E38" s="14">
        <v>0.9</v>
      </c>
      <c r="F38" s="14">
        <v>0.18</v>
      </c>
      <c r="G38" s="14">
        <v>18.18</v>
      </c>
      <c r="H38" s="4">
        <v>82.8</v>
      </c>
      <c r="I38" s="5">
        <v>3.6</v>
      </c>
      <c r="J38" s="15">
        <v>12.6</v>
      </c>
      <c r="K38" s="16">
        <v>7.2</v>
      </c>
      <c r="L38" s="5">
        <v>2.52</v>
      </c>
    </row>
    <row r="39" spans="2:12" ht="29.25" customHeight="1" thickBot="1" x14ac:dyDescent="0.35">
      <c r="B39" s="35"/>
      <c r="C39" s="95" t="s">
        <v>2</v>
      </c>
      <c r="D39" s="96">
        <f t="shared" ref="D39:L39" si="4">SUM(D33:D38)</f>
        <v>710</v>
      </c>
      <c r="E39" s="110">
        <f t="shared" si="4"/>
        <v>25.08</v>
      </c>
      <c r="F39" s="110">
        <f t="shared" si="4"/>
        <v>25.95</v>
      </c>
      <c r="G39" s="110">
        <f t="shared" si="4"/>
        <v>94.016249999999985</v>
      </c>
      <c r="H39" s="110">
        <f t="shared" si="4"/>
        <v>651.25</v>
      </c>
      <c r="I39" s="110">
        <f t="shared" si="4"/>
        <v>30.79</v>
      </c>
      <c r="J39" s="110">
        <f t="shared" si="4"/>
        <v>106.01999999999998</v>
      </c>
      <c r="K39" s="110">
        <f t="shared" si="4"/>
        <v>115.46</v>
      </c>
      <c r="L39" s="110">
        <f t="shared" si="4"/>
        <v>8.92</v>
      </c>
    </row>
    <row r="40" spans="2:12" ht="33" customHeight="1" thickBot="1" x14ac:dyDescent="0.35">
      <c r="B40" s="7"/>
      <c r="C40" s="62" t="s">
        <v>3</v>
      </c>
      <c r="D40" s="63">
        <f t="shared" ref="D40:L40" si="5">D39+D31</f>
        <v>1240</v>
      </c>
      <c r="E40" s="64">
        <f t="shared" si="5"/>
        <v>40.46</v>
      </c>
      <c r="F40" s="64">
        <f t="shared" si="5"/>
        <v>41.15</v>
      </c>
      <c r="G40" s="64">
        <f t="shared" si="5"/>
        <v>148.50225</v>
      </c>
      <c r="H40" s="64">
        <f t="shared" si="5"/>
        <v>1155.5899999999999</v>
      </c>
      <c r="I40" s="64">
        <f t="shared" si="5"/>
        <v>51.41</v>
      </c>
      <c r="J40" s="64">
        <f t="shared" si="5"/>
        <v>352.71</v>
      </c>
      <c r="K40" s="64">
        <f t="shared" si="5"/>
        <v>160.94</v>
      </c>
      <c r="L40" s="59">
        <f t="shared" si="5"/>
        <v>13.469999999999999</v>
      </c>
    </row>
    <row r="41" spans="2:12" ht="37.5" customHeight="1" thickBot="1" x14ac:dyDescent="0.35">
      <c r="B41" s="137" t="s">
        <v>7</v>
      </c>
      <c r="C41" s="39"/>
      <c r="D41" s="39"/>
      <c r="E41" s="39"/>
      <c r="F41" s="39"/>
      <c r="G41" s="39"/>
      <c r="H41" s="39"/>
      <c r="I41" s="39"/>
      <c r="J41" s="39"/>
      <c r="K41" s="39"/>
      <c r="L41" s="40"/>
    </row>
    <row r="42" spans="2:12" ht="27" customHeight="1" thickBot="1" x14ac:dyDescent="0.35">
      <c r="B42" s="145" t="s">
        <v>4</v>
      </c>
      <c r="C42" s="147" t="s">
        <v>0</v>
      </c>
      <c r="D42" s="147" t="s">
        <v>30</v>
      </c>
      <c r="E42" s="149" t="s">
        <v>12</v>
      </c>
      <c r="F42" s="150"/>
      <c r="G42" s="150"/>
      <c r="H42" s="151"/>
      <c r="I42" s="152" t="s">
        <v>35</v>
      </c>
      <c r="J42" s="143" t="s">
        <v>36</v>
      </c>
      <c r="K42" s="143" t="s">
        <v>37</v>
      </c>
      <c r="L42" s="143" t="s">
        <v>38</v>
      </c>
    </row>
    <row r="43" spans="2:12" ht="63.75" customHeight="1" thickBot="1" x14ac:dyDescent="0.35">
      <c r="B43" s="146"/>
      <c r="C43" s="148"/>
      <c r="D43" s="148"/>
      <c r="E43" s="21" t="s">
        <v>31</v>
      </c>
      <c r="F43" s="21" t="s">
        <v>32</v>
      </c>
      <c r="G43" s="21" t="s">
        <v>33</v>
      </c>
      <c r="H43" s="21" t="s">
        <v>34</v>
      </c>
      <c r="I43" s="153"/>
      <c r="J43" s="144"/>
      <c r="K43" s="144"/>
      <c r="L43" s="144"/>
    </row>
    <row r="44" spans="2:12" ht="27" customHeight="1" thickBot="1" x14ac:dyDescent="0.35">
      <c r="B44" s="27" t="s">
        <v>26</v>
      </c>
      <c r="C44" s="28"/>
      <c r="D44" s="28"/>
      <c r="E44" s="28"/>
      <c r="F44" s="28"/>
      <c r="G44" s="28"/>
      <c r="H44" s="28"/>
      <c r="I44" s="28"/>
      <c r="J44" s="28"/>
      <c r="K44" s="28"/>
      <c r="L44" s="30"/>
    </row>
    <row r="45" spans="2:12" ht="30" customHeight="1" thickBot="1" x14ac:dyDescent="0.35">
      <c r="B45" s="1" t="s">
        <v>55</v>
      </c>
      <c r="C45" s="12" t="s">
        <v>59</v>
      </c>
      <c r="D45" s="34">
        <v>60</v>
      </c>
      <c r="E45" s="31">
        <v>0.66</v>
      </c>
      <c r="F45" s="31">
        <v>0.12</v>
      </c>
      <c r="G45" s="31">
        <v>2.2799999999999998</v>
      </c>
      <c r="H45" s="31">
        <v>13.2</v>
      </c>
      <c r="I45" s="14">
        <v>10.5</v>
      </c>
      <c r="J45" s="44">
        <v>8.4</v>
      </c>
      <c r="K45" s="16">
        <v>12</v>
      </c>
      <c r="L45" s="5">
        <v>0.51</v>
      </c>
    </row>
    <row r="46" spans="2:12" ht="29.25" customHeight="1" thickBot="1" x14ac:dyDescent="0.35">
      <c r="B46" s="7" t="s">
        <v>81</v>
      </c>
      <c r="C46" s="8" t="s">
        <v>79</v>
      </c>
      <c r="D46" s="9">
        <v>200</v>
      </c>
      <c r="E46" s="10">
        <v>24.8</v>
      </c>
      <c r="F46" s="10">
        <v>16.32</v>
      </c>
      <c r="G46" s="10">
        <v>17.600000000000001</v>
      </c>
      <c r="H46" s="10">
        <v>268.98</v>
      </c>
      <c r="I46" s="10">
        <v>10.3</v>
      </c>
      <c r="J46" s="10">
        <v>25</v>
      </c>
      <c r="K46" s="11">
        <v>101</v>
      </c>
      <c r="L46" s="5">
        <v>2.29</v>
      </c>
    </row>
    <row r="47" spans="2:12" ht="30.75" customHeight="1" thickBot="1" x14ac:dyDescent="0.35">
      <c r="B47" s="7" t="s">
        <v>14</v>
      </c>
      <c r="C47" s="26" t="s">
        <v>40</v>
      </c>
      <c r="D47" s="13">
        <v>20</v>
      </c>
      <c r="E47" s="14">
        <v>1.52</v>
      </c>
      <c r="F47" s="14">
        <v>0.16</v>
      </c>
      <c r="G47" s="14">
        <v>9.84</v>
      </c>
      <c r="H47" s="4">
        <v>47</v>
      </c>
      <c r="I47" s="5">
        <v>0</v>
      </c>
      <c r="J47" s="15">
        <v>4.5999999999999996</v>
      </c>
      <c r="K47" s="16">
        <v>6.6</v>
      </c>
      <c r="L47" s="5">
        <v>0.38</v>
      </c>
    </row>
    <row r="48" spans="2:12" ht="30" customHeight="1" thickBot="1" x14ac:dyDescent="0.35">
      <c r="B48" s="7" t="s">
        <v>16</v>
      </c>
      <c r="C48" s="26" t="s">
        <v>41</v>
      </c>
      <c r="D48" s="34">
        <v>30</v>
      </c>
      <c r="E48" s="4">
        <v>1.98</v>
      </c>
      <c r="F48" s="4">
        <v>0.36</v>
      </c>
      <c r="G48" s="4">
        <v>10.02</v>
      </c>
      <c r="H48" s="4">
        <v>52.2</v>
      </c>
      <c r="I48" s="5">
        <v>0</v>
      </c>
      <c r="J48" s="15">
        <v>9.9</v>
      </c>
      <c r="K48" s="11">
        <v>17.100000000000001</v>
      </c>
      <c r="L48" s="5">
        <v>1.35</v>
      </c>
    </row>
    <row r="49" spans="2:12" ht="27.75" customHeight="1" thickBot="1" x14ac:dyDescent="0.35">
      <c r="B49" s="7" t="s">
        <v>47</v>
      </c>
      <c r="C49" s="12" t="s">
        <v>48</v>
      </c>
      <c r="D49" s="34">
        <v>200</v>
      </c>
      <c r="E49" s="10">
        <v>1</v>
      </c>
      <c r="F49" s="10">
        <v>0.2</v>
      </c>
      <c r="G49" s="10">
        <v>20.2</v>
      </c>
      <c r="H49" s="10">
        <v>92</v>
      </c>
      <c r="I49" s="10">
        <v>4</v>
      </c>
      <c r="J49" s="10">
        <v>14</v>
      </c>
      <c r="K49" s="5">
        <v>8</v>
      </c>
      <c r="L49" s="5">
        <v>2.8</v>
      </c>
    </row>
    <row r="50" spans="2:12" ht="31.5" customHeight="1" thickBot="1" x14ac:dyDescent="0.35">
      <c r="B50" s="118"/>
      <c r="C50" s="119" t="s">
        <v>27</v>
      </c>
      <c r="D50" s="120">
        <f t="shared" ref="D50:L50" si="6">SUM(D45:D49)</f>
        <v>510</v>
      </c>
      <c r="E50" s="59">
        <f t="shared" si="6"/>
        <v>29.96</v>
      </c>
      <c r="F50" s="59">
        <f t="shared" si="6"/>
        <v>17.16</v>
      </c>
      <c r="G50" s="59">
        <f t="shared" si="6"/>
        <v>59.94</v>
      </c>
      <c r="H50" s="59">
        <f t="shared" si="6"/>
        <v>473.38</v>
      </c>
      <c r="I50" s="59">
        <f t="shared" si="6"/>
        <v>24.8</v>
      </c>
      <c r="J50" s="59">
        <f t="shared" si="6"/>
        <v>61.9</v>
      </c>
      <c r="K50" s="59">
        <f t="shared" si="6"/>
        <v>144.69999999999999</v>
      </c>
      <c r="L50" s="59">
        <f t="shared" si="6"/>
        <v>7.3299999999999992</v>
      </c>
    </row>
    <row r="51" spans="2:12" ht="26.25" customHeight="1" thickBot="1" x14ac:dyDescent="0.35">
      <c r="B51" s="27" t="s">
        <v>1</v>
      </c>
      <c r="C51" s="28"/>
      <c r="D51" s="29"/>
      <c r="E51" s="28"/>
      <c r="F51" s="28"/>
      <c r="G51" s="28"/>
      <c r="H51" s="28"/>
      <c r="I51" s="28"/>
      <c r="J51" s="28"/>
      <c r="K51" s="28"/>
      <c r="L51" s="30"/>
    </row>
    <row r="52" spans="2:12" ht="29.25" customHeight="1" thickBot="1" x14ac:dyDescent="0.35">
      <c r="B52" s="33" t="s">
        <v>55</v>
      </c>
      <c r="C52" s="12" t="s">
        <v>59</v>
      </c>
      <c r="D52" s="34">
        <v>60</v>
      </c>
      <c r="E52" s="4">
        <v>0.66</v>
      </c>
      <c r="F52" s="4">
        <v>0.12</v>
      </c>
      <c r="G52" s="4">
        <v>2.2799999999999998</v>
      </c>
      <c r="H52" s="4">
        <v>13.2</v>
      </c>
      <c r="I52" s="14">
        <v>10.5</v>
      </c>
      <c r="J52" s="36">
        <v>8.4</v>
      </c>
      <c r="K52" s="16">
        <v>12</v>
      </c>
      <c r="L52" s="5">
        <v>0.54</v>
      </c>
    </row>
    <row r="53" spans="2:12" ht="29.25" customHeight="1" thickBot="1" x14ac:dyDescent="0.35">
      <c r="B53" s="33" t="s">
        <v>68</v>
      </c>
      <c r="C53" s="12" t="s">
        <v>78</v>
      </c>
      <c r="D53" s="34">
        <v>200</v>
      </c>
      <c r="E53" s="4">
        <v>1.53</v>
      </c>
      <c r="F53" s="4">
        <v>3.9</v>
      </c>
      <c r="G53" s="4">
        <v>6.67</v>
      </c>
      <c r="H53" s="4">
        <v>118.96</v>
      </c>
      <c r="I53" s="14">
        <v>23.64</v>
      </c>
      <c r="J53" s="36">
        <v>42.83</v>
      </c>
      <c r="K53" s="16">
        <v>16.77</v>
      </c>
      <c r="L53" s="5">
        <v>0.59</v>
      </c>
    </row>
    <row r="54" spans="2:12" ht="28.5" customHeight="1" thickBot="1" x14ac:dyDescent="0.35">
      <c r="B54" s="35" t="s">
        <v>67</v>
      </c>
      <c r="C54" s="26" t="s">
        <v>80</v>
      </c>
      <c r="D54" s="13">
        <v>200</v>
      </c>
      <c r="E54" s="14">
        <v>16.940000000000001</v>
      </c>
      <c r="F54" s="14">
        <v>10.46</v>
      </c>
      <c r="G54" s="14">
        <v>25.73</v>
      </c>
      <c r="H54" s="5">
        <v>305.33</v>
      </c>
      <c r="I54" s="5">
        <v>6.02</v>
      </c>
      <c r="J54" s="15">
        <v>46.34</v>
      </c>
      <c r="K54" s="16">
        <v>54.04</v>
      </c>
      <c r="L54" s="5">
        <v>1.97</v>
      </c>
    </row>
    <row r="55" spans="2:12" ht="28.5" customHeight="1" thickBot="1" x14ac:dyDescent="0.35">
      <c r="B55" s="7" t="s">
        <v>14</v>
      </c>
      <c r="C55" s="26" t="s">
        <v>40</v>
      </c>
      <c r="D55" s="13">
        <v>45</v>
      </c>
      <c r="E55" s="14">
        <v>3.4200000000000004</v>
      </c>
      <c r="F55" s="14">
        <v>0.36</v>
      </c>
      <c r="G55" s="14">
        <v>22.106249999999996</v>
      </c>
      <c r="H55" s="4">
        <v>105.75</v>
      </c>
      <c r="I55" s="5">
        <v>0</v>
      </c>
      <c r="J55" s="15">
        <v>10.349999999999998</v>
      </c>
      <c r="K55" s="16">
        <v>14.85</v>
      </c>
      <c r="L55" s="5">
        <v>0.85500000000000009</v>
      </c>
    </row>
    <row r="56" spans="2:12" ht="27.75" customHeight="1" thickBot="1" x14ac:dyDescent="0.35">
      <c r="B56" s="7" t="s">
        <v>16</v>
      </c>
      <c r="C56" s="26" t="s">
        <v>41</v>
      </c>
      <c r="D56" s="13">
        <v>25</v>
      </c>
      <c r="E56" s="14">
        <v>1.65</v>
      </c>
      <c r="F56" s="14">
        <v>3</v>
      </c>
      <c r="G56" s="14">
        <v>8.35</v>
      </c>
      <c r="H56" s="4">
        <v>43.5</v>
      </c>
      <c r="I56" s="5">
        <v>0</v>
      </c>
      <c r="J56" s="15">
        <v>8.25</v>
      </c>
      <c r="K56" s="16">
        <v>14.250000000000002</v>
      </c>
      <c r="L56" s="5">
        <v>1.125</v>
      </c>
    </row>
    <row r="57" spans="2:12" ht="30" customHeight="1" thickBot="1" x14ac:dyDescent="0.35">
      <c r="B57" s="7" t="s">
        <v>13</v>
      </c>
      <c r="C57" s="17" t="s">
        <v>42</v>
      </c>
      <c r="D57" s="9">
        <v>200</v>
      </c>
      <c r="E57" s="10">
        <v>0</v>
      </c>
      <c r="F57" s="10">
        <v>0</v>
      </c>
      <c r="G57" s="10">
        <v>6.9860000000000007</v>
      </c>
      <c r="H57" s="10">
        <v>27.93</v>
      </c>
      <c r="I57" s="10">
        <v>0.05</v>
      </c>
      <c r="J57" s="10">
        <v>2.69</v>
      </c>
      <c r="K57" s="11">
        <v>2.2000000000000002</v>
      </c>
      <c r="L57" s="5">
        <v>0.43</v>
      </c>
    </row>
    <row r="58" spans="2:12" ht="30.75" customHeight="1" thickBot="1" x14ac:dyDescent="0.35">
      <c r="B58" s="67"/>
      <c r="C58" s="56" t="s">
        <v>2</v>
      </c>
      <c r="D58" s="57">
        <f t="shared" ref="D58:L58" si="7">SUM(D52:D57)</f>
        <v>730</v>
      </c>
      <c r="E58" s="139">
        <f t="shared" si="7"/>
        <v>24.200000000000003</v>
      </c>
      <c r="F58" s="139">
        <f t="shared" si="7"/>
        <v>17.84</v>
      </c>
      <c r="G58" s="139">
        <f t="shared" si="7"/>
        <v>72.122249999999994</v>
      </c>
      <c r="H58" s="139">
        <f t="shared" si="7"/>
        <v>614.66999999999996</v>
      </c>
      <c r="I58" s="139">
        <f t="shared" si="7"/>
        <v>40.209999999999994</v>
      </c>
      <c r="J58" s="139">
        <f t="shared" si="7"/>
        <v>118.85999999999999</v>
      </c>
      <c r="K58" s="139">
        <f t="shared" si="7"/>
        <v>114.11</v>
      </c>
      <c r="L58" s="139">
        <f t="shared" si="7"/>
        <v>5.51</v>
      </c>
    </row>
    <row r="59" spans="2:12" ht="32.25" customHeight="1" thickBot="1" x14ac:dyDescent="0.35">
      <c r="B59" s="38"/>
      <c r="C59" s="62" t="s">
        <v>3</v>
      </c>
      <c r="D59" s="63">
        <f t="shared" ref="D59:L59" si="8">D58+D50</f>
        <v>1240</v>
      </c>
      <c r="E59" s="64">
        <f t="shared" si="8"/>
        <v>54.160000000000004</v>
      </c>
      <c r="F59" s="64">
        <f t="shared" si="8"/>
        <v>35</v>
      </c>
      <c r="G59" s="64">
        <f t="shared" si="8"/>
        <v>132.06225000000001</v>
      </c>
      <c r="H59" s="64">
        <f t="shared" si="8"/>
        <v>1088.05</v>
      </c>
      <c r="I59" s="64">
        <f t="shared" si="8"/>
        <v>65.009999999999991</v>
      </c>
      <c r="J59" s="64">
        <f t="shared" si="8"/>
        <v>180.76</v>
      </c>
      <c r="K59" s="64">
        <f t="shared" si="8"/>
        <v>258.81</v>
      </c>
      <c r="L59" s="59">
        <f t="shared" si="8"/>
        <v>12.84</v>
      </c>
    </row>
    <row r="60" spans="2:12" ht="38.25" customHeight="1" thickBot="1" x14ac:dyDescent="0.35">
      <c r="B60" s="137" t="s">
        <v>8</v>
      </c>
      <c r="C60" s="39"/>
      <c r="D60" s="39"/>
      <c r="E60" s="39"/>
      <c r="F60" s="39"/>
      <c r="G60" s="39"/>
      <c r="H60" s="39"/>
      <c r="I60" s="39"/>
      <c r="J60" s="39"/>
      <c r="K60" s="39"/>
      <c r="L60" s="40"/>
    </row>
    <row r="61" spans="2:12" ht="22.5" customHeight="1" thickBot="1" x14ac:dyDescent="0.35">
      <c r="B61" s="145" t="s">
        <v>4</v>
      </c>
      <c r="C61" s="147" t="s">
        <v>0</v>
      </c>
      <c r="D61" s="147" t="s">
        <v>30</v>
      </c>
      <c r="E61" s="149" t="s">
        <v>12</v>
      </c>
      <c r="F61" s="150"/>
      <c r="G61" s="150"/>
      <c r="H61" s="151"/>
      <c r="I61" s="152" t="s">
        <v>35</v>
      </c>
      <c r="J61" s="143" t="s">
        <v>36</v>
      </c>
      <c r="K61" s="143" t="s">
        <v>37</v>
      </c>
      <c r="L61" s="143" t="s">
        <v>38</v>
      </c>
    </row>
    <row r="62" spans="2:12" ht="59.25" customHeight="1" thickBot="1" x14ac:dyDescent="0.35">
      <c r="B62" s="146"/>
      <c r="C62" s="148"/>
      <c r="D62" s="148"/>
      <c r="E62" s="21" t="s">
        <v>31</v>
      </c>
      <c r="F62" s="21" t="s">
        <v>32</v>
      </c>
      <c r="G62" s="21" t="s">
        <v>33</v>
      </c>
      <c r="H62" s="21" t="s">
        <v>34</v>
      </c>
      <c r="I62" s="153"/>
      <c r="J62" s="144"/>
      <c r="K62" s="144"/>
      <c r="L62" s="144"/>
    </row>
    <row r="63" spans="2:12" ht="28.5" customHeight="1" thickBot="1" x14ac:dyDescent="0.35">
      <c r="B63" s="27" t="s">
        <v>26</v>
      </c>
      <c r="C63" s="28"/>
      <c r="D63" s="28"/>
      <c r="E63" s="28"/>
      <c r="F63" s="28"/>
      <c r="G63" s="28"/>
      <c r="H63" s="28"/>
      <c r="I63" s="28"/>
      <c r="J63" s="28"/>
      <c r="K63" s="48"/>
      <c r="L63" s="49"/>
    </row>
    <row r="64" spans="2:12" ht="28.5" customHeight="1" thickBot="1" x14ac:dyDescent="0.35">
      <c r="B64" s="1" t="s">
        <v>55</v>
      </c>
      <c r="C64" s="2" t="s">
        <v>59</v>
      </c>
      <c r="D64" s="3">
        <v>60</v>
      </c>
      <c r="E64" s="4">
        <v>0.66</v>
      </c>
      <c r="F64" s="4">
        <v>0.12</v>
      </c>
      <c r="G64" s="4">
        <v>2.2799999999999998</v>
      </c>
      <c r="H64" s="4">
        <v>13.2</v>
      </c>
      <c r="I64" s="4">
        <v>10.5</v>
      </c>
      <c r="J64" s="5">
        <v>8.4</v>
      </c>
      <c r="K64" s="6">
        <v>12</v>
      </c>
      <c r="L64" s="5">
        <v>0.54</v>
      </c>
    </row>
    <row r="65" spans="2:12" ht="28.5" customHeight="1" thickBot="1" x14ac:dyDescent="0.35">
      <c r="B65" s="7" t="s">
        <v>46</v>
      </c>
      <c r="C65" s="12" t="s">
        <v>82</v>
      </c>
      <c r="D65" s="34">
        <v>150</v>
      </c>
      <c r="E65" s="10">
        <v>10.210000000000001</v>
      </c>
      <c r="F65" s="10">
        <v>14.9</v>
      </c>
      <c r="G65" s="10">
        <v>1.92</v>
      </c>
      <c r="H65" s="10">
        <v>245.036</v>
      </c>
      <c r="I65" s="10">
        <v>0.43</v>
      </c>
      <c r="J65" s="10">
        <v>86.51</v>
      </c>
      <c r="K65" s="11">
        <v>14.59</v>
      </c>
      <c r="L65" s="5">
        <v>2.1</v>
      </c>
    </row>
    <row r="66" spans="2:12" ht="29.25" customHeight="1" thickBot="1" x14ac:dyDescent="0.35">
      <c r="B66" s="7" t="s">
        <v>14</v>
      </c>
      <c r="C66" s="8" t="s">
        <v>40</v>
      </c>
      <c r="D66" s="34">
        <v>50</v>
      </c>
      <c r="E66" s="4">
        <v>3.8</v>
      </c>
      <c r="F66" s="4">
        <v>0.4</v>
      </c>
      <c r="G66" s="5">
        <v>24.6</v>
      </c>
      <c r="H66" s="4">
        <v>117.5</v>
      </c>
      <c r="I66" s="5">
        <v>0</v>
      </c>
      <c r="J66" s="15">
        <v>11.5</v>
      </c>
      <c r="K66" s="16">
        <v>16.5</v>
      </c>
      <c r="L66" s="5">
        <v>0.95</v>
      </c>
    </row>
    <row r="67" spans="2:12" ht="30" customHeight="1" thickBot="1" x14ac:dyDescent="0.35">
      <c r="B67" s="7" t="s">
        <v>16</v>
      </c>
      <c r="C67" s="12" t="s">
        <v>41</v>
      </c>
      <c r="D67" s="34">
        <v>40</v>
      </c>
      <c r="E67" s="5">
        <v>2.64</v>
      </c>
      <c r="F67" s="5">
        <v>0.48</v>
      </c>
      <c r="G67" s="99">
        <v>13.36</v>
      </c>
      <c r="H67" s="5">
        <v>69.599999999999994</v>
      </c>
      <c r="I67" s="99">
        <v>0</v>
      </c>
      <c r="J67" s="100">
        <v>13.2</v>
      </c>
      <c r="K67" s="101">
        <v>22.8</v>
      </c>
      <c r="L67" s="101">
        <v>1.8</v>
      </c>
    </row>
    <row r="68" spans="2:12" ht="29.25" customHeight="1" thickBot="1" x14ac:dyDescent="0.35">
      <c r="B68" s="7" t="s">
        <v>13</v>
      </c>
      <c r="C68" s="12" t="s">
        <v>42</v>
      </c>
      <c r="D68" s="34">
        <v>200</v>
      </c>
      <c r="E68" s="10">
        <v>0</v>
      </c>
      <c r="F68" s="10">
        <v>0</v>
      </c>
      <c r="G68" s="10">
        <v>6.9860000000000007</v>
      </c>
      <c r="H68" s="10">
        <v>27.93</v>
      </c>
      <c r="I68" s="10">
        <v>0.05</v>
      </c>
      <c r="J68" s="10">
        <v>2.69</v>
      </c>
      <c r="K68" s="5">
        <v>2.2000000000000002</v>
      </c>
      <c r="L68" s="5">
        <v>0.43</v>
      </c>
    </row>
    <row r="69" spans="2:12" ht="32.25" customHeight="1" thickBot="1" x14ac:dyDescent="0.35">
      <c r="B69" s="27"/>
      <c r="C69" s="121" t="s">
        <v>27</v>
      </c>
      <c r="D69" s="94">
        <f t="shared" ref="D69:L69" si="9">SUM(D64:D68)</f>
        <v>500</v>
      </c>
      <c r="E69" s="112">
        <f t="shared" si="9"/>
        <v>17.310000000000002</v>
      </c>
      <c r="F69" s="112">
        <f t="shared" si="9"/>
        <v>15.9</v>
      </c>
      <c r="G69" s="112">
        <f t="shared" si="9"/>
        <v>49.146000000000001</v>
      </c>
      <c r="H69" s="112">
        <f t="shared" si="9"/>
        <v>473.26600000000002</v>
      </c>
      <c r="I69" s="112">
        <f t="shared" si="9"/>
        <v>10.98</v>
      </c>
      <c r="J69" s="112">
        <f t="shared" si="9"/>
        <v>122.30000000000001</v>
      </c>
      <c r="K69" s="112">
        <f t="shared" si="9"/>
        <v>68.09</v>
      </c>
      <c r="L69" s="112">
        <f t="shared" si="9"/>
        <v>5.8199999999999994</v>
      </c>
    </row>
    <row r="70" spans="2:12" ht="25.5" customHeight="1" thickBot="1" x14ac:dyDescent="0.35">
      <c r="B70" s="50" t="s">
        <v>1</v>
      </c>
      <c r="C70" s="28"/>
      <c r="D70" s="51"/>
      <c r="E70" s="52"/>
      <c r="F70" s="52"/>
      <c r="G70" s="52"/>
      <c r="H70" s="52"/>
      <c r="I70" s="52"/>
      <c r="J70" s="52"/>
      <c r="K70" s="53"/>
      <c r="L70" s="54"/>
    </row>
    <row r="71" spans="2:12" ht="33" customHeight="1" thickBot="1" x14ac:dyDescent="0.35">
      <c r="B71" s="1" t="s">
        <v>55</v>
      </c>
      <c r="C71" s="2" t="s">
        <v>59</v>
      </c>
      <c r="D71" s="3">
        <v>60</v>
      </c>
      <c r="E71" s="4">
        <v>0.66</v>
      </c>
      <c r="F71" s="4">
        <v>0.12</v>
      </c>
      <c r="G71" s="4">
        <v>2.2799999999999998</v>
      </c>
      <c r="H71" s="4">
        <v>13.2</v>
      </c>
      <c r="I71" s="4">
        <v>10.5</v>
      </c>
      <c r="J71" s="5">
        <v>8.4</v>
      </c>
      <c r="K71" s="6">
        <v>12</v>
      </c>
      <c r="L71" s="5">
        <v>0.54</v>
      </c>
    </row>
    <row r="72" spans="2:12" ht="30.75" customHeight="1" thickBot="1" x14ac:dyDescent="0.35">
      <c r="B72" s="55" t="s">
        <v>18</v>
      </c>
      <c r="C72" s="12" t="s">
        <v>50</v>
      </c>
      <c r="D72" s="34">
        <v>200</v>
      </c>
      <c r="E72" s="4">
        <v>1.98</v>
      </c>
      <c r="F72" s="4">
        <v>3.51</v>
      </c>
      <c r="G72" s="4">
        <v>13.74</v>
      </c>
      <c r="H72" s="4">
        <v>95.14</v>
      </c>
      <c r="I72" s="14">
        <v>13.42</v>
      </c>
      <c r="J72" s="36">
        <v>20.309999999999999</v>
      </c>
      <c r="K72" s="11">
        <v>21.25</v>
      </c>
      <c r="L72" s="5">
        <v>0.8</v>
      </c>
    </row>
    <row r="73" spans="2:12" ht="33.75" customHeight="1" thickBot="1" x14ac:dyDescent="0.35">
      <c r="B73" s="35" t="s">
        <v>70</v>
      </c>
      <c r="C73" s="26" t="s">
        <v>83</v>
      </c>
      <c r="D73" s="13">
        <v>200</v>
      </c>
      <c r="E73" s="14">
        <v>9.6285714285714281</v>
      </c>
      <c r="F73" s="14">
        <v>15.707142857142857</v>
      </c>
      <c r="G73" s="14">
        <v>36.514285714285712</v>
      </c>
      <c r="H73" s="14">
        <v>285.72857142857146</v>
      </c>
      <c r="I73" s="14">
        <v>2.4785714285714286</v>
      </c>
      <c r="J73" s="44">
        <v>25.749999999999996</v>
      </c>
      <c r="K73" s="11">
        <v>90.492857142857147</v>
      </c>
      <c r="L73" s="5">
        <v>3.6714285714285713</v>
      </c>
    </row>
    <row r="74" spans="2:12" ht="33.75" customHeight="1" thickBot="1" x14ac:dyDescent="0.35">
      <c r="B74" s="33" t="s">
        <v>14</v>
      </c>
      <c r="C74" s="12" t="s">
        <v>40</v>
      </c>
      <c r="D74" s="34">
        <v>45</v>
      </c>
      <c r="E74" s="4">
        <v>3.4200000000000004</v>
      </c>
      <c r="F74" s="4">
        <v>0.36</v>
      </c>
      <c r="G74" s="4">
        <v>22.106249999999996</v>
      </c>
      <c r="H74" s="4">
        <v>105.75</v>
      </c>
      <c r="I74" s="14">
        <v>0</v>
      </c>
      <c r="J74" s="36">
        <v>10.349999999999998</v>
      </c>
      <c r="K74" s="37">
        <v>14.85</v>
      </c>
      <c r="L74" s="14">
        <v>0.85500000000000009</v>
      </c>
    </row>
    <row r="75" spans="2:12" ht="31.5" customHeight="1" thickBot="1" x14ac:dyDescent="0.35">
      <c r="B75" s="7" t="s">
        <v>16</v>
      </c>
      <c r="C75" s="26" t="s">
        <v>41</v>
      </c>
      <c r="D75" s="13">
        <v>25</v>
      </c>
      <c r="E75" s="14">
        <v>1.65</v>
      </c>
      <c r="F75" s="14">
        <v>3</v>
      </c>
      <c r="G75" s="14">
        <v>8.35</v>
      </c>
      <c r="H75" s="4">
        <v>43.5</v>
      </c>
      <c r="I75" s="5">
        <v>0</v>
      </c>
      <c r="J75" s="15">
        <v>8.25</v>
      </c>
      <c r="K75" s="16">
        <v>14.250000000000002</v>
      </c>
      <c r="L75" s="5">
        <v>1.125</v>
      </c>
    </row>
    <row r="76" spans="2:12" ht="32.25" customHeight="1" thickBot="1" x14ac:dyDescent="0.35">
      <c r="B76" s="33" t="s">
        <v>17</v>
      </c>
      <c r="C76" s="12" t="s">
        <v>52</v>
      </c>
      <c r="D76" s="34">
        <v>100</v>
      </c>
      <c r="E76" s="4">
        <v>0.4</v>
      </c>
      <c r="F76" s="4">
        <v>0.4</v>
      </c>
      <c r="G76" s="4">
        <v>9.8000000000000007</v>
      </c>
      <c r="H76" s="4">
        <v>47</v>
      </c>
      <c r="I76" s="16">
        <v>10</v>
      </c>
      <c r="J76" s="6">
        <v>16</v>
      </c>
      <c r="K76" s="37">
        <v>9</v>
      </c>
      <c r="L76" s="32">
        <v>2.2000000000000002</v>
      </c>
    </row>
    <row r="77" spans="2:12" ht="31.5" customHeight="1" thickBot="1" x14ac:dyDescent="0.35">
      <c r="B77" s="33" t="s">
        <v>47</v>
      </c>
      <c r="C77" s="12" t="s">
        <v>48</v>
      </c>
      <c r="D77" s="34">
        <v>180</v>
      </c>
      <c r="E77" s="4">
        <v>0.9</v>
      </c>
      <c r="F77" s="4">
        <v>0.18</v>
      </c>
      <c r="G77" s="4">
        <v>18.18</v>
      </c>
      <c r="H77" s="4">
        <v>82.8</v>
      </c>
      <c r="I77" s="16">
        <v>3.6</v>
      </c>
      <c r="J77" s="24">
        <v>12.6</v>
      </c>
      <c r="K77" s="16">
        <v>7.2</v>
      </c>
      <c r="L77" s="16">
        <v>2.52</v>
      </c>
    </row>
    <row r="78" spans="2:12" ht="33" customHeight="1" thickBot="1" x14ac:dyDescent="0.35">
      <c r="B78" s="35"/>
      <c r="C78" s="95" t="s">
        <v>2</v>
      </c>
      <c r="D78" s="96">
        <f t="shared" ref="D78:L78" si="10">SUM(D71:D77)</f>
        <v>810</v>
      </c>
      <c r="E78" s="110">
        <f t="shared" si="10"/>
        <v>18.638571428571424</v>
      </c>
      <c r="F78" s="110">
        <f t="shared" si="10"/>
        <v>23.277142857142856</v>
      </c>
      <c r="G78" s="110">
        <f t="shared" si="10"/>
        <v>110.97053571428569</v>
      </c>
      <c r="H78" s="110">
        <f t="shared" si="10"/>
        <v>673.11857142857139</v>
      </c>
      <c r="I78" s="110">
        <f t="shared" si="10"/>
        <v>39.998571428571431</v>
      </c>
      <c r="J78" s="110">
        <f t="shared" si="10"/>
        <v>101.65999999999998</v>
      </c>
      <c r="K78" s="110">
        <f t="shared" si="10"/>
        <v>169.04285714285714</v>
      </c>
      <c r="L78" s="110">
        <f t="shared" si="10"/>
        <v>11.711428571428572</v>
      </c>
    </row>
    <row r="79" spans="2:12" ht="34.5" customHeight="1" thickBot="1" x14ac:dyDescent="0.35">
      <c r="B79" s="7"/>
      <c r="C79" s="62" t="s">
        <v>3</v>
      </c>
      <c r="D79" s="63">
        <f t="shared" ref="D79:L79" si="11">D78+D69</f>
        <v>1310</v>
      </c>
      <c r="E79" s="64">
        <f t="shared" si="11"/>
        <v>35.948571428571427</v>
      </c>
      <c r="F79" s="64">
        <f t="shared" si="11"/>
        <v>39.177142857142854</v>
      </c>
      <c r="G79" s="64">
        <f t="shared" si="11"/>
        <v>160.1165357142857</v>
      </c>
      <c r="H79" s="64">
        <f t="shared" si="11"/>
        <v>1146.3845714285715</v>
      </c>
      <c r="I79" s="64">
        <f t="shared" si="11"/>
        <v>50.978571428571428</v>
      </c>
      <c r="J79" s="64">
        <f t="shared" si="11"/>
        <v>223.95999999999998</v>
      </c>
      <c r="K79" s="64">
        <f t="shared" si="11"/>
        <v>237.13285714285715</v>
      </c>
      <c r="L79" s="59">
        <f t="shared" si="11"/>
        <v>17.53142857142857</v>
      </c>
    </row>
    <row r="80" spans="2:12" ht="37.9" customHeight="1" thickBot="1" x14ac:dyDescent="0.35">
      <c r="B80" s="137" t="s">
        <v>9</v>
      </c>
      <c r="C80" s="39"/>
      <c r="D80" s="39"/>
      <c r="E80" s="39"/>
      <c r="F80" s="39"/>
      <c r="G80" s="39"/>
      <c r="H80" s="39"/>
      <c r="I80" s="39"/>
      <c r="J80" s="39"/>
      <c r="K80" s="39"/>
      <c r="L80" s="40"/>
    </row>
    <row r="81" spans="2:12" ht="24.75" customHeight="1" thickBot="1" x14ac:dyDescent="0.35">
      <c r="B81" s="145" t="s">
        <v>4</v>
      </c>
      <c r="C81" s="147" t="s">
        <v>0</v>
      </c>
      <c r="D81" s="147" t="s">
        <v>30</v>
      </c>
      <c r="E81" s="149" t="s">
        <v>12</v>
      </c>
      <c r="F81" s="150"/>
      <c r="G81" s="150"/>
      <c r="H81" s="151"/>
      <c r="I81" s="152" t="s">
        <v>35</v>
      </c>
      <c r="J81" s="143" t="s">
        <v>36</v>
      </c>
      <c r="K81" s="143" t="s">
        <v>37</v>
      </c>
      <c r="L81" s="143" t="s">
        <v>38</v>
      </c>
    </row>
    <row r="82" spans="2:12" ht="59.25" customHeight="1" thickBot="1" x14ac:dyDescent="0.35">
      <c r="B82" s="146"/>
      <c r="C82" s="148"/>
      <c r="D82" s="148"/>
      <c r="E82" s="21" t="s">
        <v>31</v>
      </c>
      <c r="F82" s="21" t="s">
        <v>32</v>
      </c>
      <c r="G82" s="21" t="s">
        <v>33</v>
      </c>
      <c r="H82" s="21" t="s">
        <v>34</v>
      </c>
      <c r="I82" s="153"/>
      <c r="J82" s="144"/>
      <c r="K82" s="144"/>
      <c r="L82" s="144"/>
    </row>
    <row r="83" spans="2:12" ht="25.5" customHeight="1" thickBot="1" x14ac:dyDescent="0.35">
      <c r="B83" s="27" t="s">
        <v>26</v>
      </c>
      <c r="C83" s="28"/>
      <c r="D83" s="28"/>
      <c r="E83" s="28"/>
      <c r="F83" s="28"/>
      <c r="G83" s="28"/>
      <c r="H83" s="28"/>
      <c r="I83" s="28"/>
      <c r="J83" s="28"/>
      <c r="K83" s="28"/>
      <c r="L83" s="30"/>
    </row>
    <row r="84" spans="2:12" ht="30.75" customHeight="1" thickBot="1" x14ac:dyDescent="0.35">
      <c r="B84" s="33" t="s">
        <v>53</v>
      </c>
      <c r="C84" s="2" t="s">
        <v>94</v>
      </c>
      <c r="D84" s="3">
        <v>250</v>
      </c>
      <c r="E84" s="4">
        <v>15.8</v>
      </c>
      <c r="F84" s="4">
        <v>11.8</v>
      </c>
      <c r="G84" s="4">
        <v>43.56</v>
      </c>
      <c r="H84" s="4">
        <v>315.29000000000002</v>
      </c>
      <c r="I84" s="4">
        <v>1.62</v>
      </c>
      <c r="J84" s="4">
        <v>158.62</v>
      </c>
      <c r="K84" s="37">
        <v>45.44</v>
      </c>
      <c r="L84" s="14">
        <v>0.73</v>
      </c>
    </row>
    <row r="85" spans="2:12" ht="28.5" customHeight="1" thickBot="1" x14ac:dyDescent="0.35">
      <c r="B85" s="7" t="s">
        <v>19</v>
      </c>
      <c r="C85" s="8" t="s">
        <v>45</v>
      </c>
      <c r="D85" s="9">
        <v>10</v>
      </c>
      <c r="E85" s="10">
        <v>0.05</v>
      </c>
      <c r="F85" s="10">
        <v>8.25</v>
      </c>
      <c r="G85" s="10">
        <v>0.08</v>
      </c>
      <c r="H85" s="10">
        <v>74.8</v>
      </c>
      <c r="I85" s="10">
        <v>0</v>
      </c>
      <c r="J85" s="10">
        <v>2.4</v>
      </c>
      <c r="K85" s="11">
        <v>0.05</v>
      </c>
      <c r="L85" s="5">
        <v>0.02</v>
      </c>
    </row>
    <row r="86" spans="2:12" ht="30" customHeight="1" thickBot="1" x14ac:dyDescent="0.35">
      <c r="B86" s="7" t="s">
        <v>14</v>
      </c>
      <c r="C86" s="12" t="s">
        <v>40</v>
      </c>
      <c r="D86" s="9">
        <v>40</v>
      </c>
      <c r="E86" s="4">
        <f>7.7*40/100</f>
        <v>3.08</v>
      </c>
      <c r="F86" s="4">
        <f>3*40/100</f>
        <v>1.2</v>
      </c>
      <c r="G86" s="4">
        <f>50.1*40/100</f>
        <v>20.04</v>
      </c>
      <c r="H86" s="4">
        <f>259*40/100</f>
        <v>103.6</v>
      </c>
      <c r="I86" s="4">
        <v>0</v>
      </c>
      <c r="J86" s="4">
        <f>22*40/100</f>
        <v>8.8000000000000007</v>
      </c>
      <c r="K86" s="16">
        <f>33*40/100</f>
        <v>13.2</v>
      </c>
      <c r="L86" s="5">
        <f>2*40/100</f>
        <v>0.8</v>
      </c>
    </row>
    <row r="87" spans="2:12" ht="30" customHeight="1" thickBot="1" x14ac:dyDescent="0.35">
      <c r="B87" s="7" t="s">
        <v>13</v>
      </c>
      <c r="C87" s="17" t="s">
        <v>42</v>
      </c>
      <c r="D87" s="9">
        <v>200</v>
      </c>
      <c r="E87" s="10">
        <v>0</v>
      </c>
      <c r="F87" s="10">
        <v>0</v>
      </c>
      <c r="G87" s="10">
        <v>6.9860000000000007</v>
      </c>
      <c r="H87" s="10">
        <v>27.93</v>
      </c>
      <c r="I87" s="10">
        <v>0.05</v>
      </c>
      <c r="J87" s="10">
        <v>2.69</v>
      </c>
      <c r="K87" s="16">
        <v>2.2000000000000002</v>
      </c>
      <c r="L87" s="5">
        <v>0.43</v>
      </c>
    </row>
    <row r="88" spans="2:12" ht="33" customHeight="1" thickBot="1" x14ac:dyDescent="0.35">
      <c r="B88" s="122"/>
      <c r="C88" s="134" t="s">
        <v>27</v>
      </c>
      <c r="D88" s="135">
        <f t="shared" ref="D88:L88" si="12">SUM(D84:D87)</f>
        <v>500</v>
      </c>
      <c r="E88" s="97">
        <f t="shared" si="12"/>
        <v>18.93</v>
      </c>
      <c r="F88" s="97">
        <f t="shared" si="12"/>
        <v>21.25</v>
      </c>
      <c r="G88" s="97">
        <f t="shared" si="12"/>
        <v>70.665999999999997</v>
      </c>
      <c r="H88" s="59">
        <f t="shared" si="12"/>
        <v>521.62</v>
      </c>
      <c r="I88" s="59">
        <f t="shared" si="12"/>
        <v>1.6700000000000002</v>
      </c>
      <c r="J88" s="59">
        <f t="shared" si="12"/>
        <v>172.51000000000002</v>
      </c>
      <c r="K88" s="59">
        <f t="shared" si="12"/>
        <v>60.89</v>
      </c>
      <c r="L88" s="59">
        <f t="shared" si="12"/>
        <v>1.98</v>
      </c>
    </row>
    <row r="89" spans="2:12" ht="25.5" customHeight="1" thickBot="1" x14ac:dyDescent="0.35">
      <c r="B89" s="27" t="s">
        <v>1</v>
      </c>
      <c r="C89" s="28"/>
      <c r="D89" s="29"/>
      <c r="E89" s="28"/>
      <c r="F89" s="28"/>
      <c r="G89" s="28"/>
      <c r="H89" s="28"/>
      <c r="I89" s="28"/>
      <c r="J89" s="28"/>
      <c r="K89" s="28"/>
      <c r="L89" s="30"/>
    </row>
    <row r="90" spans="2:12" ht="30.75" customHeight="1" thickBot="1" x14ac:dyDescent="0.35">
      <c r="B90" s="55" t="s">
        <v>55</v>
      </c>
      <c r="C90" s="65" t="s">
        <v>59</v>
      </c>
      <c r="D90" s="66">
        <v>60</v>
      </c>
      <c r="E90" s="14">
        <v>0.66</v>
      </c>
      <c r="F90" s="14">
        <v>0.12</v>
      </c>
      <c r="G90" s="14">
        <v>2.2799999999999998</v>
      </c>
      <c r="H90" s="14">
        <v>13.2</v>
      </c>
      <c r="I90" s="14">
        <v>10.5</v>
      </c>
      <c r="J90" s="44">
        <v>8.4</v>
      </c>
      <c r="K90" s="11">
        <v>12</v>
      </c>
      <c r="L90" s="5">
        <v>0.54</v>
      </c>
    </row>
    <row r="91" spans="2:12" ht="30" customHeight="1" thickBot="1" x14ac:dyDescent="0.35">
      <c r="B91" s="33" t="s">
        <v>84</v>
      </c>
      <c r="C91" s="12" t="s">
        <v>85</v>
      </c>
      <c r="D91" s="34">
        <v>200</v>
      </c>
      <c r="E91" s="4">
        <v>17.399999999999999</v>
      </c>
      <c r="F91" s="4">
        <v>4.2</v>
      </c>
      <c r="G91" s="4">
        <v>3.5</v>
      </c>
      <c r="H91" s="4">
        <v>120</v>
      </c>
      <c r="I91" s="37">
        <v>1.3</v>
      </c>
      <c r="J91" s="32">
        <v>18</v>
      </c>
      <c r="K91" s="37">
        <v>20</v>
      </c>
      <c r="L91" s="37">
        <v>1.2</v>
      </c>
    </row>
    <row r="92" spans="2:12" ht="30.75" customHeight="1" thickBot="1" x14ac:dyDescent="0.35">
      <c r="B92" s="33" t="s">
        <v>88</v>
      </c>
      <c r="C92" s="12" t="s">
        <v>86</v>
      </c>
      <c r="D92" s="34">
        <v>100</v>
      </c>
      <c r="E92" s="4">
        <v>12.33</v>
      </c>
      <c r="F92" s="4">
        <v>6.8</v>
      </c>
      <c r="G92" s="4">
        <v>11.5</v>
      </c>
      <c r="H92" s="4">
        <v>172.59</v>
      </c>
      <c r="I92" s="14">
        <v>1.2</v>
      </c>
      <c r="J92" s="36">
        <v>143.22999999999999</v>
      </c>
      <c r="K92" s="11">
        <v>45.71</v>
      </c>
      <c r="L92" s="5">
        <v>0.83</v>
      </c>
    </row>
    <row r="93" spans="2:12" ht="30.75" customHeight="1" thickBot="1" x14ac:dyDescent="0.35">
      <c r="B93" s="33" t="s">
        <v>87</v>
      </c>
      <c r="C93" s="12" t="s">
        <v>89</v>
      </c>
      <c r="D93" s="34">
        <v>150</v>
      </c>
      <c r="E93" s="4">
        <v>5.45</v>
      </c>
      <c r="F93" s="4">
        <v>5.78</v>
      </c>
      <c r="G93" s="4">
        <v>30.45</v>
      </c>
      <c r="H93" s="4">
        <v>195.71</v>
      </c>
      <c r="I93" s="14">
        <v>0</v>
      </c>
      <c r="J93" s="36">
        <v>12.14</v>
      </c>
      <c r="K93" s="11">
        <v>8.14</v>
      </c>
      <c r="L93" s="5">
        <v>0.23</v>
      </c>
    </row>
    <row r="94" spans="2:12" ht="31.5" customHeight="1" thickBot="1" x14ac:dyDescent="0.35">
      <c r="B94" s="33" t="s">
        <v>14</v>
      </c>
      <c r="C94" s="12" t="s">
        <v>40</v>
      </c>
      <c r="D94" s="34">
        <v>45</v>
      </c>
      <c r="E94" s="4">
        <v>3.4200000000000004</v>
      </c>
      <c r="F94" s="4">
        <v>0.36</v>
      </c>
      <c r="G94" s="4">
        <v>22.106249999999996</v>
      </c>
      <c r="H94" s="4">
        <v>105.75</v>
      </c>
      <c r="I94" s="14">
        <v>0</v>
      </c>
      <c r="J94" s="36">
        <v>10.349999999999998</v>
      </c>
      <c r="K94" s="16">
        <v>14.85</v>
      </c>
      <c r="L94" s="5">
        <v>0.85500000000000009</v>
      </c>
    </row>
    <row r="95" spans="2:12" ht="31.5" customHeight="1" thickBot="1" x14ac:dyDescent="0.35">
      <c r="B95" s="7" t="s">
        <v>16</v>
      </c>
      <c r="C95" s="17" t="s">
        <v>41</v>
      </c>
      <c r="D95" s="9">
        <v>25</v>
      </c>
      <c r="E95" s="10">
        <v>1.65</v>
      </c>
      <c r="F95" s="10">
        <v>3</v>
      </c>
      <c r="G95" s="10">
        <v>8.35</v>
      </c>
      <c r="H95" s="10">
        <v>43.5</v>
      </c>
      <c r="I95" s="5">
        <v>0</v>
      </c>
      <c r="J95" s="15">
        <v>8.25</v>
      </c>
      <c r="K95" s="16">
        <v>14.250000000000002</v>
      </c>
      <c r="L95" s="5">
        <v>1.125</v>
      </c>
    </row>
    <row r="96" spans="2:12" ht="30.75" customHeight="1" thickBot="1" x14ac:dyDescent="0.35">
      <c r="B96" s="7" t="s">
        <v>13</v>
      </c>
      <c r="C96" s="26" t="s">
        <v>42</v>
      </c>
      <c r="D96" s="13">
        <v>200</v>
      </c>
      <c r="E96" s="14">
        <v>0</v>
      </c>
      <c r="F96" s="14">
        <v>0</v>
      </c>
      <c r="G96" s="14">
        <v>6.9860000000000007</v>
      </c>
      <c r="H96" s="4">
        <v>27.93</v>
      </c>
      <c r="I96" s="5">
        <v>0.05</v>
      </c>
      <c r="J96" s="15">
        <v>2.69</v>
      </c>
      <c r="K96" s="16">
        <v>2.2000000000000002</v>
      </c>
      <c r="L96" s="5">
        <v>0.43</v>
      </c>
    </row>
    <row r="97" spans="2:12" ht="31.15" customHeight="1" thickBot="1" x14ac:dyDescent="0.35">
      <c r="B97" s="102"/>
      <c r="C97" s="56" t="s">
        <v>2</v>
      </c>
      <c r="D97" s="57">
        <f t="shared" ref="D97:L97" si="13">SUM(D90:D96)</f>
        <v>780</v>
      </c>
      <c r="E97" s="58">
        <f t="shared" si="13"/>
        <v>40.910000000000004</v>
      </c>
      <c r="F97" s="58">
        <f t="shared" si="13"/>
        <v>20.260000000000002</v>
      </c>
      <c r="G97" s="58">
        <f t="shared" si="13"/>
        <v>85.172250000000005</v>
      </c>
      <c r="H97" s="58">
        <f t="shared" si="13"/>
        <v>678.68</v>
      </c>
      <c r="I97" s="58">
        <f t="shared" si="13"/>
        <v>13.05</v>
      </c>
      <c r="J97" s="58">
        <f t="shared" si="13"/>
        <v>203.05999999999997</v>
      </c>
      <c r="K97" s="58">
        <f t="shared" si="13"/>
        <v>117.15</v>
      </c>
      <c r="L97" s="61">
        <f t="shared" si="13"/>
        <v>5.2099999999999991</v>
      </c>
    </row>
    <row r="98" spans="2:12" ht="31.9" customHeight="1" thickBot="1" x14ac:dyDescent="0.35">
      <c r="B98" s="102"/>
      <c r="C98" s="56" t="s">
        <v>3</v>
      </c>
      <c r="D98" s="57">
        <f t="shared" ref="D98:L98" si="14">D97+D88</f>
        <v>1280</v>
      </c>
      <c r="E98" s="58">
        <f t="shared" si="14"/>
        <v>59.84</v>
      </c>
      <c r="F98" s="58">
        <f t="shared" si="14"/>
        <v>41.510000000000005</v>
      </c>
      <c r="G98" s="58">
        <f t="shared" si="14"/>
        <v>155.83825000000002</v>
      </c>
      <c r="H98" s="58">
        <f t="shared" si="14"/>
        <v>1200.3</v>
      </c>
      <c r="I98" s="58">
        <f t="shared" si="14"/>
        <v>14.72</v>
      </c>
      <c r="J98" s="58">
        <f t="shared" si="14"/>
        <v>375.57</v>
      </c>
      <c r="K98" s="58">
        <f t="shared" si="14"/>
        <v>178.04000000000002</v>
      </c>
      <c r="L98" s="59">
        <f t="shared" si="14"/>
        <v>7.1899999999999995</v>
      </c>
    </row>
    <row r="99" spans="2:12" ht="34.5" customHeight="1" thickBot="1" x14ac:dyDescent="0.35">
      <c r="B99" s="137" t="s">
        <v>21</v>
      </c>
      <c r="C99" s="39"/>
      <c r="D99" s="39"/>
      <c r="E99" s="39"/>
      <c r="F99" s="39"/>
      <c r="G99" s="39"/>
      <c r="H99" s="39"/>
      <c r="I99" s="39"/>
      <c r="J99" s="39"/>
      <c r="K99" s="39"/>
      <c r="L99" s="40"/>
    </row>
    <row r="100" spans="2:12" ht="21.75" customHeight="1" thickBot="1" x14ac:dyDescent="0.35">
      <c r="B100" s="145" t="s">
        <v>4</v>
      </c>
      <c r="C100" s="147" t="s">
        <v>0</v>
      </c>
      <c r="D100" s="147" t="s">
        <v>30</v>
      </c>
      <c r="E100" s="149" t="s">
        <v>12</v>
      </c>
      <c r="F100" s="150"/>
      <c r="G100" s="150"/>
      <c r="H100" s="151"/>
      <c r="I100" s="152" t="s">
        <v>35</v>
      </c>
      <c r="J100" s="143" t="s">
        <v>36</v>
      </c>
      <c r="K100" s="143" t="s">
        <v>37</v>
      </c>
      <c r="L100" s="143" t="s">
        <v>38</v>
      </c>
    </row>
    <row r="101" spans="2:12" ht="56.25" customHeight="1" thickBot="1" x14ac:dyDescent="0.35">
      <c r="B101" s="146"/>
      <c r="C101" s="148"/>
      <c r="D101" s="148"/>
      <c r="E101" s="21" t="s">
        <v>31</v>
      </c>
      <c r="F101" s="21" t="s">
        <v>32</v>
      </c>
      <c r="G101" s="21" t="s">
        <v>33</v>
      </c>
      <c r="H101" s="21" t="s">
        <v>34</v>
      </c>
      <c r="I101" s="153"/>
      <c r="J101" s="144"/>
      <c r="K101" s="144"/>
      <c r="L101" s="144"/>
    </row>
    <row r="102" spans="2:12" ht="28.5" customHeight="1" thickBot="1" x14ac:dyDescent="0.35">
      <c r="B102" s="27" t="s">
        <v>26</v>
      </c>
      <c r="C102" s="28"/>
      <c r="D102" s="28"/>
      <c r="E102" s="28"/>
      <c r="F102" s="28"/>
      <c r="G102" s="28"/>
      <c r="H102" s="28"/>
      <c r="I102" s="28"/>
      <c r="J102" s="28"/>
      <c r="K102" s="28"/>
      <c r="L102" s="30"/>
    </row>
    <row r="103" spans="2:12" ht="27" customHeight="1" thickBot="1" x14ac:dyDescent="0.35">
      <c r="B103" s="7" t="s">
        <v>95</v>
      </c>
      <c r="C103" s="8" t="s">
        <v>96</v>
      </c>
      <c r="D103" s="9">
        <v>190</v>
      </c>
      <c r="E103" s="10">
        <v>17.97</v>
      </c>
      <c r="F103" s="10">
        <v>18.2</v>
      </c>
      <c r="G103" s="10">
        <v>5.04</v>
      </c>
      <c r="H103" s="10">
        <v>256.07</v>
      </c>
      <c r="I103" s="10">
        <v>2.85</v>
      </c>
      <c r="J103" s="5">
        <v>135.05000000000001</v>
      </c>
      <c r="K103" s="24">
        <v>27.12</v>
      </c>
      <c r="L103" s="5">
        <v>3.53</v>
      </c>
    </row>
    <row r="104" spans="2:12" ht="26.25" customHeight="1" thickBot="1" x14ac:dyDescent="0.35">
      <c r="B104" s="7" t="s">
        <v>19</v>
      </c>
      <c r="C104" s="8" t="s">
        <v>45</v>
      </c>
      <c r="D104" s="9">
        <v>10</v>
      </c>
      <c r="E104" s="10">
        <v>0.05</v>
      </c>
      <c r="F104" s="10">
        <v>8.25</v>
      </c>
      <c r="G104" s="10">
        <v>0.08</v>
      </c>
      <c r="H104" s="10">
        <v>74.8</v>
      </c>
      <c r="I104" s="10">
        <v>0</v>
      </c>
      <c r="J104" s="10">
        <v>2.4</v>
      </c>
      <c r="K104" s="11">
        <v>0.05</v>
      </c>
      <c r="L104" s="5">
        <v>0.02</v>
      </c>
    </row>
    <row r="105" spans="2:12" ht="27.75" customHeight="1" thickBot="1" x14ac:dyDescent="0.35">
      <c r="B105" s="7" t="s">
        <v>14</v>
      </c>
      <c r="C105" s="17" t="s">
        <v>40</v>
      </c>
      <c r="D105" s="9">
        <v>50</v>
      </c>
      <c r="E105" s="10">
        <f>3.08*50/40</f>
        <v>3.85</v>
      </c>
      <c r="F105" s="10">
        <f>1.2*50/40</f>
        <v>1.5</v>
      </c>
      <c r="G105" s="10">
        <f>20.04*50/40</f>
        <v>25.05</v>
      </c>
      <c r="H105" s="10">
        <f>103.6*50/40</f>
        <v>129.5</v>
      </c>
      <c r="I105" s="10">
        <v>0</v>
      </c>
      <c r="J105" s="10">
        <f>8.8*50/40</f>
        <v>11.000000000000002</v>
      </c>
      <c r="K105" s="11">
        <f>13.2*50/40</f>
        <v>16.5</v>
      </c>
      <c r="L105" s="5">
        <f>0.8*50/40</f>
        <v>1</v>
      </c>
    </row>
    <row r="106" spans="2:12" ht="27" customHeight="1" thickBot="1" x14ac:dyDescent="0.35">
      <c r="B106" s="33" t="s">
        <v>16</v>
      </c>
      <c r="C106" s="12" t="s">
        <v>41</v>
      </c>
      <c r="D106" s="34">
        <v>50</v>
      </c>
      <c r="E106" s="4">
        <v>3.3</v>
      </c>
      <c r="F106" s="4">
        <v>0.6</v>
      </c>
      <c r="G106" s="4">
        <v>16.7</v>
      </c>
      <c r="H106" s="4">
        <v>87</v>
      </c>
      <c r="I106" s="14">
        <v>0</v>
      </c>
      <c r="J106" s="36">
        <v>16.5</v>
      </c>
      <c r="K106" s="37">
        <v>28.5</v>
      </c>
      <c r="L106" s="14">
        <v>2.25</v>
      </c>
    </row>
    <row r="107" spans="2:12" ht="26.45" customHeight="1" thickBot="1" x14ac:dyDescent="0.35">
      <c r="B107" s="7" t="s">
        <v>13</v>
      </c>
      <c r="C107" s="17" t="s">
        <v>42</v>
      </c>
      <c r="D107" s="9">
        <v>200</v>
      </c>
      <c r="E107" s="10">
        <v>0</v>
      </c>
      <c r="F107" s="10">
        <v>0</v>
      </c>
      <c r="G107" s="10">
        <v>6.9860000000000007</v>
      </c>
      <c r="H107" s="10">
        <v>27.93</v>
      </c>
      <c r="I107" s="10">
        <v>0.05</v>
      </c>
      <c r="J107" s="10">
        <v>2.69</v>
      </c>
      <c r="K107" s="16">
        <v>2.2000000000000002</v>
      </c>
      <c r="L107" s="5">
        <v>0.43</v>
      </c>
    </row>
    <row r="108" spans="2:12" ht="31.5" customHeight="1" thickBot="1" x14ac:dyDescent="0.35">
      <c r="B108" s="123"/>
      <c r="C108" s="124" t="s">
        <v>27</v>
      </c>
      <c r="D108" s="94">
        <f t="shared" ref="D108:L108" si="15">SUM(D103:D107)</f>
        <v>500</v>
      </c>
      <c r="E108" s="59">
        <f t="shared" si="15"/>
        <v>25.17</v>
      </c>
      <c r="F108" s="59">
        <f t="shared" si="15"/>
        <v>28.55</v>
      </c>
      <c r="G108" s="59">
        <f t="shared" si="15"/>
        <v>53.856000000000009</v>
      </c>
      <c r="H108" s="59">
        <f t="shared" si="15"/>
        <v>575.29999999999995</v>
      </c>
      <c r="I108" s="59">
        <f t="shared" si="15"/>
        <v>2.9</v>
      </c>
      <c r="J108" s="59">
        <f t="shared" si="15"/>
        <v>167.64000000000001</v>
      </c>
      <c r="K108" s="59">
        <f t="shared" si="15"/>
        <v>74.37</v>
      </c>
      <c r="L108" s="59">
        <f t="shared" si="15"/>
        <v>7.2299999999999995</v>
      </c>
    </row>
    <row r="109" spans="2:12" ht="28.5" customHeight="1" thickBot="1" x14ac:dyDescent="0.35">
      <c r="B109" s="27" t="s">
        <v>1</v>
      </c>
      <c r="C109" s="28"/>
      <c r="D109" s="29"/>
      <c r="E109" s="28"/>
      <c r="F109" s="28"/>
      <c r="G109" s="28"/>
      <c r="H109" s="28"/>
      <c r="I109" s="28"/>
      <c r="J109" s="28"/>
      <c r="K109" s="28"/>
      <c r="L109" s="30"/>
    </row>
    <row r="110" spans="2:12" ht="29.25" customHeight="1" thickBot="1" x14ac:dyDescent="0.35">
      <c r="B110" s="42" t="s">
        <v>55</v>
      </c>
      <c r="C110" s="43" t="s">
        <v>59</v>
      </c>
      <c r="D110" s="34">
        <v>60</v>
      </c>
      <c r="E110" s="31">
        <v>0.66</v>
      </c>
      <c r="F110" s="31">
        <v>0.12</v>
      </c>
      <c r="G110" s="31">
        <v>2.2799999999999998</v>
      </c>
      <c r="H110" s="31">
        <v>13.2</v>
      </c>
      <c r="I110" s="14">
        <v>10.5</v>
      </c>
      <c r="J110" s="44">
        <v>8.4</v>
      </c>
      <c r="K110" s="37">
        <v>12</v>
      </c>
      <c r="L110" s="14">
        <v>0.54</v>
      </c>
    </row>
    <row r="111" spans="2:12" ht="30" customHeight="1" thickBot="1" x14ac:dyDescent="0.35">
      <c r="B111" s="33" t="s">
        <v>68</v>
      </c>
      <c r="C111" s="12" t="s">
        <v>78</v>
      </c>
      <c r="D111" s="34">
        <v>200</v>
      </c>
      <c r="E111" s="4">
        <v>1.53</v>
      </c>
      <c r="F111" s="4">
        <v>3.9</v>
      </c>
      <c r="G111" s="4">
        <v>6.67</v>
      </c>
      <c r="H111" s="10">
        <v>118.96</v>
      </c>
      <c r="I111" s="16">
        <v>23.64</v>
      </c>
      <c r="J111" s="24">
        <v>42.83</v>
      </c>
      <c r="K111" s="16">
        <v>16.77</v>
      </c>
      <c r="L111" s="16">
        <v>0.59</v>
      </c>
    </row>
    <row r="112" spans="2:12" ht="29.25" customHeight="1" thickBot="1" x14ac:dyDescent="0.35">
      <c r="B112" s="33" t="s">
        <v>61</v>
      </c>
      <c r="C112" s="12" t="s">
        <v>56</v>
      </c>
      <c r="D112" s="34">
        <v>100</v>
      </c>
      <c r="E112" s="4">
        <v>10.63</v>
      </c>
      <c r="F112" s="4">
        <v>12.64</v>
      </c>
      <c r="G112" s="4">
        <v>13.07</v>
      </c>
      <c r="H112" s="4">
        <v>209.45</v>
      </c>
      <c r="I112" s="14">
        <v>0.54</v>
      </c>
      <c r="J112" s="36">
        <v>60.77</v>
      </c>
      <c r="K112" s="16">
        <v>33.950000000000003</v>
      </c>
      <c r="L112" s="5">
        <v>1.2</v>
      </c>
    </row>
    <row r="113" spans="2:12" ht="26.25" customHeight="1" thickBot="1" x14ac:dyDescent="0.35">
      <c r="B113" s="33" t="s">
        <v>62</v>
      </c>
      <c r="C113" s="12" t="s">
        <v>57</v>
      </c>
      <c r="D113" s="34">
        <v>150</v>
      </c>
      <c r="E113" s="4">
        <v>3.25</v>
      </c>
      <c r="F113" s="4">
        <v>2.88</v>
      </c>
      <c r="G113" s="4">
        <v>28.99</v>
      </c>
      <c r="H113" s="4">
        <v>189.56</v>
      </c>
      <c r="I113" s="14">
        <v>25.95</v>
      </c>
      <c r="J113" s="36">
        <v>145.59</v>
      </c>
      <c r="K113" s="16">
        <v>32.99</v>
      </c>
      <c r="L113" s="5">
        <v>1.22</v>
      </c>
    </row>
    <row r="114" spans="2:12" ht="30" customHeight="1" thickBot="1" x14ac:dyDescent="0.35">
      <c r="B114" s="33" t="s">
        <v>14</v>
      </c>
      <c r="C114" s="12" t="s">
        <v>40</v>
      </c>
      <c r="D114" s="34">
        <v>45</v>
      </c>
      <c r="E114" s="4">
        <v>3.4200000000000004</v>
      </c>
      <c r="F114" s="4">
        <v>0.36</v>
      </c>
      <c r="G114" s="4">
        <v>22.106249999999996</v>
      </c>
      <c r="H114" s="4">
        <v>105.75</v>
      </c>
      <c r="I114" s="14">
        <v>0</v>
      </c>
      <c r="J114" s="36">
        <v>10.349999999999998</v>
      </c>
      <c r="K114" s="16">
        <v>14.85</v>
      </c>
      <c r="L114" s="5">
        <v>0.85500000000000009</v>
      </c>
    </row>
    <row r="115" spans="2:12" ht="28.5" customHeight="1" thickBot="1" x14ac:dyDescent="0.35">
      <c r="B115" s="33" t="s">
        <v>16</v>
      </c>
      <c r="C115" s="12" t="s">
        <v>41</v>
      </c>
      <c r="D115" s="34">
        <v>25</v>
      </c>
      <c r="E115" s="4">
        <f>1.98*25/30</f>
        <v>1.65</v>
      </c>
      <c r="F115" s="4">
        <f>0.36*250/30</f>
        <v>3</v>
      </c>
      <c r="G115" s="4">
        <f>10.02*25/30</f>
        <v>8.35</v>
      </c>
      <c r="H115" s="4">
        <f>52.2*25/30</f>
        <v>43.5</v>
      </c>
      <c r="I115" s="14">
        <v>0</v>
      </c>
      <c r="J115" s="36">
        <f>9.9*25/30</f>
        <v>8.25</v>
      </c>
      <c r="K115" s="37">
        <f>17.1*25/30</f>
        <v>14.250000000000002</v>
      </c>
      <c r="L115" s="14">
        <f>1.35*25/30</f>
        <v>1.125</v>
      </c>
    </row>
    <row r="116" spans="2:12" ht="27" customHeight="1" thickBot="1" x14ac:dyDescent="0.35">
      <c r="B116" s="33" t="s">
        <v>47</v>
      </c>
      <c r="C116" s="12" t="s">
        <v>48</v>
      </c>
      <c r="D116" s="34">
        <v>180</v>
      </c>
      <c r="E116" s="4">
        <v>0.9</v>
      </c>
      <c r="F116" s="4">
        <v>0.18</v>
      </c>
      <c r="G116" s="4">
        <v>18.18</v>
      </c>
      <c r="H116" s="4">
        <v>82.8</v>
      </c>
      <c r="I116" s="16">
        <v>3.6</v>
      </c>
      <c r="J116" s="24">
        <v>12.6</v>
      </c>
      <c r="K116" s="16">
        <v>7.2</v>
      </c>
      <c r="L116" s="16">
        <v>2.52</v>
      </c>
    </row>
    <row r="117" spans="2:12" ht="32.25" customHeight="1" thickBot="1" x14ac:dyDescent="0.35">
      <c r="B117" s="33"/>
      <c r="C117" s="56" t="s">
        <v>2</v>
      </c>
      <c r="D117" s="57">
        <f t="shared" ref="D117:L117" si="16">SUM(D110:D116)</f>
        <v>760</v>
      </c>
      <c r="E117" s="58">
        <f t="shared" si="16"/>
        <v>22.04</v>
      </c>
      <c r="F117" s="58">
        <f t="shared" si="16"/>
        <v>23.08</v>
      </c>
      <c r="G117" s="58">
        <f t="shared" si="16"/>
        <v>99.646249999999981</v>
      </c>
      <c r="H117" s="58">
        <f t="shared" si="16"/>
        <v>763.22</v>
      </c>
      <c r="I117" s="59">
        <f t="shared" si="16"/>
        <v>64.22999999999999</v>
      </c>
      <c r="J117" s="60">
        <f t="shared" si="16"/>
        <v>288.79000000000008</v>
      </c>
      <c r="K117" s="61">
        <f t="shared" si="16"/>
        <v>132.01</v>
      </c>
      <c r="L117" s="61">
        <f t="shared" si="16"/>
        <v>8.0500000000000007</v>
      </c>
    </row>
    <row r="118" spans="2:12" ht="33" customHeight="1" thickBot="1" x14ac:dyDescent="0.35">
      <c r="B118" s="7"/>
      <c r="C118" s="62" t="s">
        <v>3</v>
      </c>
      <c r="D118" s="63">
        <f t="shared" ref="D118:L118" si="17">D117+D108</f>
        <v>1260</v>
      </c>
      <c r="E118" s="64">
        <f t="shared" si="17"/>
        <v>47.21</v>
      </c>
      <c r="F118" s="64">
        <f t="shared" si="17"/>
        <v>51.629999999999995</v>
      </c>
      <c r="G118" s="64">
        <f t="shared" si="17"/>
        <v>153.50225</v>
      </c>
      <c r="H118" s="64">
        <f t="shared" si="17"/>
        <v>1338.52</v>
      </c>
      <c r="I118" s="64">
        <f t="shared" si="17"/>
        <v>67.13</v>
      </c>
      <c r="J118" s="64">
        <f t="shared" si="17"/>
        <v>456.43000000000006</v>
      </c>
      <c r="K118" s="64">
        <f t="shared" si="17"/>
        <v>206.38</v>
      </c>
      <c r="L118" s="59">
        <f t="shared" si="17"/>
        <v>15.280000000000001</v>
      </c>
    </row>
    <row r="119" spans="2:12" ht="35.25" customHeight="1" thickBot="1" x14ac:dyDescent="0.35">
      <c r="B119" s="137" t="s">
        <v>22</v>
      </c>
      <c r="C119" s="39"/>
      <c r="D119" s="39"/>
      <c r="E119" s="39"/>
      <c r="F119" s="39"/>
      <c r="G119" s="39"/>
      <c r="H119" s="39"/>
      <c r="I119" s="39"/>
      <c r="J119" s="39"/>
      <c r="K119" s="39"/>
      <c r="L119" s="40"/>
    </row>
    <row r="120" spans="2:12" ht="21.75" customHeight="1" thickBot="1" x14ac:dyDescent="0.35">
      <c r="B120" s="145" t="s">
        <v>4</v>
      </c>
      <c r="C120" s="147" t="s">
        <v>0</v>
      </c>
      <c r="D120" s="147" t="s">
        <v>30</v>
      </c>
      <c r="E120" s="149" t="s">
        <v>12</v>
      </c>
      <c r="F120" s="150"/>
      <c r="G120" s="150"/>
      <c r="H120" s="151"/>
      <c r="I120" s="152" t="s">
        <v>35</v>
      </c>
      <c r="J120" s="143" t="s">
        <v>36</v>
      </c>
      <c r="K120" s="143" t="s">
        <v>37</v>
      </c>
      <c r="L120" s="143" t="s">
        <v>38</v>
      </c>
    </row>
    <row r="121" spans="2:12" ht="56.25" customHeight="1" thickBot="1" x14ac:dyDescent="0.35">
      <c r="B121" s="146"/>
      <c r="C121" s="148"/>
      <c r="D121" s="148"/>
      <c r="E121" s="21" t="s">
        <v>31</v>
      </c>
      <c r="F121" s="21" t="s">
        <v>32</v>
      </c>
      <c r="G121" s="21" t="s">
        <v>33</v>
      </c>
      <c r="H121" s="21" t="s">
        <v>34</v>
      </c>
      <c r="I121" s="153"/>
      <c r="J121" s="144"/>
      <c r="K121" s="144"/>
      <c r="L121" s="144"/>
    </row>
    <row r="122" spans="2:12" ht="31.5" customHeight="1" thickBot="1" x14ac:dyDescent="0.35">
      <c r="B122" s="27" t="s">
        <v>26</v>
      </c>
      <c r="C122" s="28"/>
      <c r="D122" s="28"/>
      <c r="E122" s="28"/>
      <c r="F122" s="28"/>
      <c r="G122" s="28"/>
      <c r="H122" s="28"/>
      <c r="I122" s="28"/>
      <c r="J122" s="28"/>
      <c r="K122" s="28"/>
      <c r="L122" s="30"/>
    </row>
    <row r="123" spans="2:12" ht="31.5" customHeight="1" thickBot="1" x14ac:dyDescent="0.35">
      <c r="B123" s="55" t="s">
        <v>51</v>
      </c>
      <c r="C123" s="12" t="s">
        <v>90</v>
      </c>
      <c r="D123" s="34">
        <v>170</v>
      </c>
      <c r="E123" s="31">
        <f>1.44+11.1</f>
        <v>12.54</v>
      </c>
      <c r="F123" s="31">
        <f>13.35+1.7</f>
        <v>15.049999999999999</v>
      </c>
      <c r="G123" s="31">
        <f>11.1+36.7</f>
        <v>47.800000000000004</v>
      </c>
      <c r="H123" s="31">
        <f>65.6+303.3</f>
        <v>368.9</v>
      </c>
      <c r="I123" s="14">
        <v>0.17</v>
      </c>
      <c r="J123" s="44">
        <f>77.25+61.4</f>
        <v>138.65</v>
      </c>
      <c r="K123" s="16">
        <f>6.8+18</f>
        <v>24.8</v>
      </c>
      <c r="L123" s="5">
        <f>0.04+1.35</f>
        <v>1.3900000000000001</v>
      </c>
    </row>
    <row r="124" spans="2:12" ht="30" customHeight="1" thickBot="1" x14ac:dyDescent="0.35">
      <c r="B124" s="33" t="s">
        <v>13</v>
      </c>
      <c r="C124" s="12" t="s">
        <v>42</v>
      </c>
      <c r="D124" s="34">
        <v>200</v>
      </c>
      <c r="E124" s="4">
        <v>0</v>
      </c>
      <c r="F124" s="4">
        <v>0</v>
      </c>
      <c r="G124" s="4">
        <v>6.9860000000000007</v>
      </c>
      <c r="H124" s="4">
        <v>27.93</v>
      </c>
      <c r="I124" s="4">
        <v>0.05</v>
      </c>
      <c r="J124" s="4">
        <v>2.69</v>
      </c>
      <c r="K124" s="16">
        <v>2.2000000000000002</v>
      </c>
      <c r="L124" s="5">
        <v>0.43</v>
      </c>
    </row>
    <row r="125" spans="2:12" ht="32.25" customHeight="1" thickBot="1" x14ac:dyDescent="0.35">
      <c r="B125" s="33" t="s">
        <v>14</v>
      </c>
      <c r="C125" s="12" t="s">
        <v>40</v>
      </c>
      <c r="D125" s="34">
        <v>30</v>
      </c>
      <c r="E125" s="4">
        <f>4.56/2</f>
        <v>2.2799999999999998</v>
      </c>
      <c r="F125" s="4">
        <v>0.24</v>
      </c>
      <c r="G125" s="4">
        <f>29.48/2</f>
        <v>14.74</v>
      </c>
      <c r="H125" s="4">
        <f>141/2</f>
        <v>70.5</v>
      </c>
      <c r="I125" s="16">
        <v>0</v>
      </c>
      <c r="J125" s="24">
        <f>13.8/2</f>
        <v>6.9</v>
      </c>
      <c r="K125" s="16">
        <f>19.8/2</f>
        <v>9.9</v>
      </c>
      <c r="L125" s="16">
        <f>1.14666666666667/2</f>
        <v>0.57333333333333503</v>
      </c>
    </row>
    <row r="126" spans="2:12" ht="31.5" customHeight="1" thickBot="1" x14ac:dyDescent="0.35">
      <c r="B126" s="7" t="s">
        <v>17</v>
      </c>
      <c r="C126" s="26" t="s">
        <v>52</v>
      </c>
      <c r="D126" s="34">
        <v>100</v>
      </c>
      <c r="E126" s="4">
        <v>0.4</v>
      </c>
      <c r="F126" s="4">
        <v>0.4</v>
      </c>
      <c r="G126" s="4">
        <v>9.8000000000000007</v>
      </c>
      <c r="H126" s="4">
        <v>47</v>
      </c>
      <c r="I126" s="4">
        <v>10</v>
      </c>
      <c r="J126" s="4">
        <v>16</v>
      </c>
      <c r="K126" s="16">
        <v>9</v>
      </c>
      <c r="L126" s="5">
        <v>2.2000000000000002</v>
      </c>
    </row>
    <row r="127" spans="2:12" ht="33" customHeight="1" thickBot="1" x14ac:dyDescent="0.35">
      <c r="B127" s="122"/>
      <c r="C127" s="121" t="s">
        <v>27</v>
      </c>
      <c r="D127" s="94">
        <f t="shared" ref="D127:L127" si="18">SUM(D123:D126)</f>
        <v>500</v>
      </c>
      <c r="E127" s="59">
        <f t="shared" si="18"/>
        <v>15.219999999999999</v>
      </c>
      <c r="F127" s="59">
        <f t="shared" si="18"/>
        <v>15.69</v>
      </c>
      <c r="G127" s="59">
        <f t="shared" si="18"/>
        <v>79.325999999999993</v>
      </c>
      <c r="H127" s="59">
        <f t="shared" si="18"/>
        <v>514.32999999999993</v>
      </c>
      <c r="I127" s="59">
        <f t="shared" si="18"/>
        <v>10.220000000000001</v>
      </c>
      <c r="J127" s="59">
        <f t="shared" si="18"/>
        <v>164.24</v>
      </c>
      <c r="K127" s="125">
        <f t="shared" si="18"/>
        <v>45.9</v>
      </c>
      <c r="L127" s="59">
        <f t="shared" si="18"/>
        <v>4.5933333333333355</v>
      </c>
    </row>
    <row r="128" spans="2:12" ht="27.75" customHeight="1" thickBot="1" x14ac:dyDescent="0.35">
      <c r="B128" s="27" t="s">
        <v>1</v>
      </c>
      <c r="C128" s="28"/>
      <c r="D128" s="29"/>
      <c r="E128" s="28"/>
      <c r="F128" s="28"/>
      <c r="G128" s="28"/>
      <c r="H128" s="28"/>
      <c r="I128" s="28"/>
      <c r="J128" s="28"/>
      <c r="K128" s="28"/>
      <c r="L128" s="30"/>
    </row>
    <row r="129" spans="2:13" ht="29.25" customHeight="1" thickBot="1" x14ac:dyDescent="0.35">
      <c r="B129" s="1" t="s">
        <v>65</v>
      </c>
      <c r="C129" s="2" t="s">
        <v>66</v>
      </c>
      <c r="D129" s="3">
        <v>60</v>
      </c>
      <c r="E129" s="31">
        <v>0.96</v>
      </c>
      <c r="F129" s="31">
        <v>3.06</v>
      </c>
      <c r="G129" s="31">
        <v>1.95</v>
      </c>
      <c r="H129" s="31">
        <v>40.61</v>
      </c>
      <c r="I129" s="14">
        <v>11.89</v>
      </c>
      <c r="J129" s="15">
        <v>31.34</v>
      </c>
      <c r="K129" s="16">
        <v>9.61</v>
      </c>
      <c r="L129" s="32">
        <v>0.4</v>
      </c>
    </row>
    <row r="130" spans="2:13" ht="29.25" customHeight="1" thickBot="1" x14ac:dyDescent="0.35">
      <c r="B130" s="55" t="s">
        <v>18</v>
      </c>
      <c r="C130" s="12" t="s">
        <v>50</v>
      </c>
      <c r="D130" s="34">
        <v>200</v>
      </c>
      <c r="E130" s="4">
        <v>1.98</v>
      </c>
      <c r="F130" s="4">
        <v>3.51</v>
      </c>
      <c r="G130" s="4">
        <v>13.74</v>
      </c>
      <c r="H130" s="4">
        <v>95.14</v>
      </c>
      <c r="I130" s="14">
        <v>13.42</v>
      </c>
      <c r="J130" s="36">
        <v>20.309999999999999</v>
      </c>
      <c r="K130" s="11">
        <v>21.25</v>
      </c>
      <c r="L130" s="5">
        <v>0.8</v>
      </c>
    </row>
    <row r="131" spans="2:13" ht="29.25" customHeight="1" thickBot="1" x14ac:dyDescent="0.35">
      <c r="B131" s="45" t="s">
        <v>67</v>
      </c>
      <c r="C131" s="12" t="s">
        <v>80</v>
      </c>
      <c r="D131" s="34">
        <v>200</v>
      </c>
      <c r="E131" s="4">
        <v>16.940000000000001</v>
      </c>
      <c r="F131" s="4">
        <v>10.46</v>
      </c>
      <c r="G131" s="4">
        <v>25.73</v>
      </c>
      <c r="H131" s="4">
        <v>305.33</v>
      </c>
      <c r="I131" s="14">
        <v>6.02</v>
      </c>
      <c r="J131" s="36">
        <v>46.34</v>
      </c>
      <c r="K131" s="103">
        <v>54.04</v>
      </c>
      <c r="L131" s="14">
        <v>1.97</v>
      </c>
    </row>
    <row r="132" spans="2:13" ht="29.25" customHeight="1" thickBot="1" x14ac:dyDescent="0.35">
      <c r="B132" s="33" t="s">
        <v>14</v>
      </c>
      <c r="C132" s="12" t="s">
        <v>40</v>
      </c>
      <c r="D132" s="34">
        <v>45</v>
      </c>
      <c r="E132" s="4">
        <v>3.4200000000000004</v>
      </c>
      <c r="F132" s="4">
        <v>0.36</v>
      </c>
      <c r="G132" s="4">
        <v>22.106249999999996</v>
      </c>
      <c r="H132" s="4">
        <v>105.75</v>
      </c>
      <c r="I132" s="14">
        <v>0</v>
      </c>
      <c r="J132" s="36">
        <v>10.349999999999998</v>
      </c>
      <c r="K132" s="16">
        <v>14.85</v>
      </c>
      <c r="L132" s="5">
        <v>0.85500000000000009</v>
      </c>
    </row>
    <row r="133" spans="2:13" ht="30.75" customHeight="1" thickBot="1" x14ac:dyDescent="0.35">
      <c r="B133" s="33" t="s">
        <v>16</v>
      </c>
      <c r="C133" s="12" t="s">
        <v>41</v>
      </c>
      <c r="D133" s="34">
        <v>25</v>
      </c>
      <c r="E133" s="4">
        <v>1.65</v>
      </c>
      <c r="F133" s="4">
        <v>3</v>
      </c>
      <c r="G133" s="4">
        <v>8.35</v>
      </c>
      <c r="H133" s="4">
        <v>43.5</v>
      </c>
      <c r="I133" s="14">
        <v>0</v>
      </c>
      <c r="J133" s="36">
        <v>8.25</v>
      </c>
      <c r="K133" s="16">
        <v>14.250000000000002</v>
      </c>
      <c r="L133" s="5">
        <v>1.125</v>
      </c>
    </row>
    <row r="134" spans="2:13" ht="30" customHeight="1" thickBot="1" x14ac:dyDescent="0.35">
      <c r="B134" s="7" t="s">
        <v>47</v>
      </c>
      <c r="C134" s="26" t="s">
        <v>48</v>
      </c>
      <c r="D134" s="13">
        <v>180</v>
      </c>
      <c r="E134" s="14">
        <v>0.9</v>
      </c>
      <c r="F134" s="14">
        <v>0.18</v>
      </c>
      <c r="G134" s="14">
        <v>18.18</v>
      </c>
      <c r="H134" s="4">
        <v>82.8</v>
      </c>
      <c r="I134" s="5">
        <v>3.6</v>
      </c>
      <c r="J134" s="15">
        <v>12.6</v>
      </c>
      <c r="K134" s="16">
        <v>7.2</v>
      </c>
      <c r="L134" s="5">
        <v>2.52</v>
      </c>
    </row>
    <row r="135" spans="2:13" ht="32.25" customHeight="1" thickBot="1" x14ac:dyDescent="0.35">
      <c r="B135" s="33"/>
      <c r="C135" s="56" t="s">
        <v>2</v>
      </c>
      <c r="D135" s="57">
        <f t="shared" ref="D135:L135" si="19">SUM(D129:D134)</f>
        <v>710</v>
      </c>
      <c r="E135" s="58">
        <f t="shared" si="19"/>
        <v>25.85</v>
      </c>
      <c r="F135" s="58">
        <f t="shared" si="19"/>
        <v>20.57</v>
      </c>
      <c r="G135" s="58">
        <f t="shared" si="19"/>
        <v>90.056250000000006</v>
      </c>
      <c r="H135" s="58">
        <f t="shared" si="19"/>
        <v>673.12999999999988</v>
      </c>
      <c r="I135" s="58">
        <f t="shared" si="19"/>
        <v>34.93</v>
      </c>
      <c r="J135" s="58">
        <f t="shared" si="19"/>
        <v>129.19</v>
      </c>
      <c r="K135" s="58">
        <f t="shared" si="19"/>
        <v>121.2</v>
      </c>
      <c r="L135" s="61">
        <f t="shared" si="19"/>
        <v>7.67</v>
      </c>
      <c r="M135" s="41"/>
    </row>
    <row r="136" spans="2:13" ht="34.5" customHeight="1" thickBot="1" x14ac:dyDescent="0.35">
      <c r="B136" s="7"/>
      <c r="C136" s="62" t="s">
        <v>3</v>
      </c>
      <c r="D136" s="63">
        <f t="shared" ref="D136:L136" si="20">D135+D127</f>
        <v>1210</v>
      </c>
      <c r="E136" s="64">
        <f t="shared" si="20"/>
        <v>41.07</v>
      </c>
      <c r="F136" s="64">
        <f t="shared" si="20"/>
        <v>36.26</v>
      </c>
      <c r="G136" s="64">
        <f t="shared" si="20"/>
        <v>169.38225</v>
      </c>
      <c r="H136" s="64">
        <f t="shared" si="20"/>
        <v>1187.4599999999998</v>
      </c>
      <c r="I136" s="64">
        <f t="shared" si="20"/>
        <v>45.15</v>
      </c>
      <c r="J136" s="64">
        <f t="shared" si="20"/>
        <v>293.43</v>
      </c>
      <c r="K136" s="64">
        <f t="shared" si="20"/>
        <v>167.1</v>
      </c>
      <c r="L136" s="59">
        <f t="shared" si="20"/>
        <v>12.263333333333335</v>
      </c>
      <c r="M136" s="41"/>
    </row>
    <row r="137" spans="2:13" ht="32.25" customHeight="1" thickBot="1" x14ac:dyDescent="0.35">
      <c r="B137" s="137" t="s">
        <v>23</v>
      </c>
      <c r="C137" s="39"/>
      <c r="D137" s="39"/>
      <c r="E137" s="39"/>
      <c r="F137" s="39"/>
      <c r="G137" s="39"/>
      <c r="H137" s="39"/>
      <c r="I137" s="39"/>
      <c r="J137" s="39"/>
      <c r="K137" s="39"/>
      <c r="L137" s="40"/>
    </row>
    <row r="138" spans="2:13" ht="23.25" customHeight="1" thickBot="1" x14ac:dyDescent="0.35">
      <c r="B138" s="145" t="s">
        <v>4</v>
      </c>
      <c r="C138" s="147" t="s">
        <v>0</v>
      </c>
      <c r="D138" s="147" t="s">
        <v>30</v>
      </c>
      <c r="E138" s="149" t="s">
        <v>12</v>
      </c>
      <c r="F138" s="150"/>
      <c r="G138" s="150"/>
      <c r="H138" s="151"/>
      <c r="I138" s="152" t="s">
        <v>35</v>
      </c>
      <c r="J138" s="143" t="s">
        <v>36</v>
      </c>
      <c r="K138" s="143" t="s">
        <v>37</v>
      </c>
      <c r="L138" s="143" t="s">
        <v>38</v>
      </c>
    </row>
    <row r="139" spans="2:13" ht="54.75" customHeight="1" thickBot="1" x14ac:dyDescent="0.35">
      <c r="B139" s="146"/>
      <c r="C139" s="148"/>
      <c r="D139" s="148"/>
      <c r="E139" s="21" t="s">
        <v>31</v>
      </c>
      <c r="F139" s="21" t="s">
        <v>32</v>
      </c>
      <c r="G139" s="21" t="s">
        <v>33</v>
      </c>
      <c r="H139" s="21" t="s">
        <v>34</v>
      </c>
      <c r="I139" s="153"/>
      <c r="J139" s="144"/>
      <c r="K139" s="144"/>
      <c r="L139" s="144"/>
    </row>
    <row r="140" spans="2:13" ht="26.25" customHeight="1" thickBot="1" x14ac:dyDescent="0.35">
      <c r="B140" s="27" t="s">
        <v>26</v>
      </c>
      <c r="C140" s="28"/>
      <c r="D140" s="28"/>
      <c r="E140" s="28"/>
      <c r="F140" s="28"/>
      <c r="G140" s="28"/>
      <c r="H140" s="28"/>
      <c r="I140" s="28"/>
      <c r="J140" s="28"/>
      <c r="K140" s="28"/>
      <c r="L140" s="30"/>
    </row>
    <row r="141" spans="2:13" ht="30" customHeight="1" thickBot="1" x14ac:dyDescent="0.35">
      <c r="B141" s="7" t="s">
        <v>64</v>
      </c>
      <c r="C141" s="2" t="s">
        <v>63</v>
      </c>
      <c r="D141" s="3">
        <v>170</v>
      </c>
      <c r="E141" s="4">
        <v>10.27</v>
      </c>
      <c r="F141" s="4">
        <v>12.56</v>
      </c>
      <c r="G141" s="4">
        <f>55.76*170/200</f>
        <v>47.395999999999994</v>
      </c>
      <c r="H141" s="4">
        <f>368*170/200</f>
        <v>312.8</v>
      </c>
      <c r="I141" s="4">
        <f>1.08*170/200</f>
        <v>0.91800000000000015</v>
      </c>
      <c r="J141" s="4">
        <f>55.36*170/200</f>
        <v>47.056000000000004</v>
      </c>
      <c r="K141" s="37">
        <f>53.22*170/200</f>
        <v>45.236999999999995</v>
      </c>
      <c r="L141" s="14">
        <f>1.66*170/200</f>
        <v>1.411</v>
      </c>
    </row>
    <row r="142" spans="2:13" ht="32.25" customHeight="1" thickBot="1" x14ac:dyDescent="0.35">
      <c r="B142" s="7" t="s">
        <v>54</v>
      </c>
      <c r="C142" s="8" t="s">
        <v>60</v>
      </c>
      <c r="D142" s="9">
        <v>10</v>
      </c>
      <c r="E142" s="10">
        <v>2.0499999999999998</v>
      </c>
      <c r="F142" s="10">
        <v>2.2999999999999998</v>
      </c>
      <c r="G142" s="10">
        <v>0.23</v>
      </c>
      <c r="H142" s="10">
        <v>29.67</v>
      </c>
      <c r="I142" s="10">
        <v>0.06</v>
      </c>
      <c r="J142" s="10">
        <v>70</v>
      </c>
      <c r="K142" s="11">
        <v>3.3</v>
      </c>
      <c r="L142" s="5">
        <v>0.08</v>
      </c>
    </row>
    <row r="143" spans="2:13" ht="31.5" customHeight="1" thickBot="1" x14ac:dyDescent="0.35">
      <c r="B143" s="7" t="s">
        <v>14</v>
      </c>
      <c r="C143" s="12" t="s">
        <v>40</v>
      </c>
      <c r="D143" s="34">
        <v>20</v>
      </c>
      <c r="E143" s="4">
        <v>1.52</v>
      </c>
      <c r="F143" s="4">
        <v>0.16</v>
      </c>
      <c r="G143" s="4">
        <v>9.84</v>
      </c>
      <c r="H143" s="4">
        <v>47</v>
      </c>
      <c r="I143" s="4">
        <v>0</v>
      </c>
      <c r="J143" s="4">
        <v>4.5999999999999996</v>
      </c>
      <c r="K143" s="11">
        <v>6.6</v>
      </c>
      <c r="L143" s="5">
        <v>0.38</v>
      </c>
    </row>
    <row r="144" spans="2:13" ht="32.25" customHeight="1" thickBot="1" x14ac:dyDescent="0.35">
      <c r="B144" s="7" t="s">
        <v>47</v>
      </c>
      <c r="C144" s="12" t="s">
        <v>48</v>
      </c>
      <c r="D144" s="34">
        <v>200</v>
      </c>
      <c r="E144" s="10">
        <v>1</v>
      </c>
      <c r="F144" s="10">
        <v>0.2</v>
      </c>
      <c r="G144" s="10">
        <v>20.2</v>
      </c>
      <c r="H144" s="10">
        <v>92</v>
      </c>
      <c r="I144" s="10">
        <v>4</v>
      </c>
      <c r="J144" s="10">
        <v>14</v>
      </c>
      <c r="K144" s="5">
        <v>8</v>
      </c>
      <c r="L144" s="5">
        <v>2.8</v>
      </c>
    </row>
    <row r="145" spans="2:12" ht="30" customHeight="1" thickBot="1" x14ac:dyDescent="0.35">
      <c r="B145" s="7" t="s">
        <v>17</v>
      </c>
      <c r="C145" s="26" t="s">
        <v>52</v>
      </c>
      <c r="D145" s="34">
        <v>100</v>
      </c>
      <c r="E145" s="4">
        <v>0.4</v>
      </c>
      <c r="F145" s="4">
        <v>0.4</v>
      </c>
      <c r="G145" s="4">
        <v>9.8000000000000007</v>
      </c>
      <c r="H145" s="4">
        <v>47</v>
      </c>
      <c r="I145" s="4">
        <v>10</v>
      </c>
      <c r="J145" s="4">
        <v>16</v>
      </c>
      <c r="K145" s="16">
        <v>9</v>
      </c>
      <c r="L145" s="5">
        <v>2.2000000000000002</v>
      </c>
    </row>
    <row r="146" spans="2:12" ht="31.5" customHeight="1" thickBot="1" x14ac:dyDescent="0.35">
      <c r="B146" s="126"/>
      <c r="C146" s="127" t="s">
        <v>27</v>
      </c>
      <c r="D146" s="128">
        <f t="shared" ref="D146:L146" si="21">SUM(D141:D145)</f>
        <v>500</v>
      </c>
      <c r="E146" s="129">
        <f t="shared" si="21"/>
        <v>15.24</v>
      </c>
      <c r="F146" s="130">
        <f t="shared" si="21"/>
        <v>15.62</v>
      </c>
      <c r="G146" s="129">
        <f t="shared" si="21"/>
        <v>87.465999999999994</v>
      </c>
      <c r="H146" s="129">
        <f t="shared" si="21"/>
        <v>528.47</v>
      </c>
      <c r="I146" s="130">
        <f t="shared" si="21"/>
        <v>14.978</v>
      </c>
      <c r="J146" s="129">
        <f t="shared" si="21"/>
        <v>151.65600000000001</v>
      </c>
      <c r="K146" s="130">
        <f t="shared" si="21"/>
        <v>72.137</v>
      </c>
      <c r="L146" s="129">
        <f t="shared" si="21"/>
        <v>6.8709999999999996</v>
      </c>
    </row>
    <row r="147" spans="2:12" ht="29.25" customHeight="1" thickBot="1" x14ac:dyDescent="0.35">
      <c r="B147" s="27" t="s">
        <v>1</v>
      </c>
      <c r="C147" s="28"/>
      <c r="D147" s="29"/>
      <c r="E147" s="28"/>
      <c r="F147" s="28"/>
      <c r="G147" s="28"/>
      <c r="H147" s="28"/>
      <c r="I147" s="28"/>
      <c r="J147" s="28"/>
      <c r="K147" s="28"/>
      <c r="L147" s="30"/>
    </row>
    <row r="148" spans="2:12" ht="30" customHeight="1" thickBot="1" x14ac:dyDescent="0.35">
      <c r="B148" s="55" t="s">
        <v>55</v>
      </c>
      <c r="C148" s="65" t="s">
        <v>59</v>
      </c>
      <c r="D148" s="66">
        <v>60</v>
      </c>
      <c r="E148" s="14">
        <v>0.66</v>
      </c>
      <c r="F148" s="14">
        <v>0.12</v>
      </c>
      <c r="G148" s="14">
        <v>2.2799999999999998</v>
      </c>
      <c r="H148" s="14">
        <v>13.2</v>
      </c>
      <c r="I148" s="14">
        <v>10.5</v>
      </c>
      <c r="J148" s="44">
        <v>8.4</v>
      </c>
      <c r="K148" s="11">
        <v>12</v>
      </c>
      <c r="L148" s="5">
        <v>0.51</v>
      </c>
    </row>
    <row r="149" spans="2:12" ht="30" customHeight="1" thickBot="1" x14ac:dyDescent="0.35">
      <c r="B149" s="33" t="s">
        <v>15</v>
      </c>
      <c r="C149" s="12" t="s">
        <v>75</v>
      </c>
      <c r="D149" s="34">
        <v>200</v>
      </c>
      <c r="E149" s="4">
        <v>4.0999999999999996</v>
      </c>
      <c r="F149" s="4">
        <v>8.9</v>
      </c>
      <c r="G149" s="4">
        <v>22.84</v>
      </c>
      <c r="H149" s="5">
        <v>158</v>
      </c>
      <c r="I149" s="16">
        <v>3.75</v>
      </c>
      <c r="J149" s="24">
        <v>24.37</v>
      </c>
      <c r="K149" s="16">
        <v>22.94</v>
      </c>
      <c r="L149" s="25">
        <v>1.72</v>
      </c>
    </row>
    <row r="150" spans="2:12" ht="31.5" customHeight="1" thickBot="1" x14ac:dyDescent="0.35">
      <c r="B150" s="33" t="s">
        <v>81</v>
      </c>
      <c r="C150" s="12" t="s">
        <v>79</v>
      </c>
      <c r="D150" s="34">
        <v>200</v>
      </c>
      <c r="E150" s="4">
        <v>24.8</v>
      </c>
      <c r="F150" s="4">
        <v>16.32</v>
      </c>
      <c r="G150" s="4">
        <v>17.600000000000001</v>
      </c>
      <c r="H150" s="4">
        <v>268.98</v>
      </c>
      <c r="I150" s="14">
        <v>10.3</v>
      </c>
      <c r="J150" s="36">
        <v>25</v>
      </c>
      <c r="K150" s="16">
        <v>101</v>
      </c>
      <c r="L150" s="5">
        <v>2.29</v>
      </c>
    </row>
    <row r="151" spans="2:12" ht="32.25" customHeight="1" thickBot="1" x14ac:dyDescent="0.35">
      <c r="B151" s="7" t="s">
        <v>14</v>
      </c>
      <c r="C151" s="26" t="s">
        <v>40</v>
      </c>
      <c r="D151" s="13">
        <v>45</v>
      </c>
      <c r="E151" s="14">
        <v>3.4200000000000004</v>
      </c>
      <c r="F151" s="14">
        <v>0.36</v>
      </c>
      <c r="G151" s="14">
        <v>22.106249999999996</v>
      </c>
      <c r="H151" s="4">
        <v>105.75</v>
      </c>
      <c r="I151" s="5">
        <v>0</v>
      </c>
      <c r="J151" s="15">
        <v>10.349999999999998</v>
      </c>
      <c r="K151" s="16">
        <v>14.85</v>
      </c>
      <c r="L151" s="5">
        <v>0.85500000000000009</v>
      </c>
    </row>
    <row r="152" spans="2:12" ht="32.25" customHeight="1" thickBot="1" x14ac:dyDescent="0.35">
      <c r="B152" s="33" t="s">
        <v>16</v>
      </c>
      <c r="C152" s="12" t="s">
        <v>41</v>
      </c>
      <c r="D152" s="34">
        <v>25</v>
      </c>
      <c r="E152" s="4">
        <v>1.65</v>
      </c>
      <c r="F152" s="4">
        <v>3</v>
      </c>
      <c r="G152" s="4">
        <v>8.35</v>
      </c>
      <c r="H152" s="4">
        <v>43.5</v>
      </c>
      <c r="I152" s="5">
        <v>0</v>
      </c>
      <c r="J152" s="36">
        <v>8.25</v>
      </c>
      <c r="K152" s="37">
        <v>14.250000000000002</v>
      </c>
      <c r="L152" s="5">
        <v>1.125</v>
      </c>
    </row>
    <row r="153" spans="2:12" ht="30.75" customHeight="1" thickBot="1" x14ac:dyDescent="0.35">
      <c r="B153" s="33" t="s">
        <v>13</v>
      </c>
      <c r="C153" s="12" t="s">
        <v>42</v>
      </c>
      <c r="D153" s="34">
        <v>200</v>
      </c>
      <c r="E153" s="4">
        <v>0</v>
      </c>
      <c r="F153" s="4">
        <v>0</v>
      </c>
      <c r="G153" s="4">
        <v>6.9860000000000007</v>
      </c>
      <c r="H153" s="4">
        <v>27.93</v>
      </c>
      <c r="I153" s="4">
        <v>0.05</v>
      </c>
      <c r="J153" s="4">
        <v>2.69</v>
      </c>
      <c r="K153" s="16">
        <v>2.2000000000000002</v>
      </c>
      <c r="L153" s="5">
        <v>0.43</v>
      </c>
    </row>
    <row r="154" spans="2:12" ht="30.75" customHeight="1" thickBot="1" x14ac:dyDescent="0.35">
      <c r="B154" s="33" t="s">
        <v>17</v>
      </c>
      <c r="C154" s="12" t="s">
        <v>52</v>
      </c>
      <c r="D154" s="34">
        <v>100</v>
      </c>
      <c r="E154" s="4">
        <v>0.4</v>
      </c>
      <c r="F154" s="4">
        <v>0.4</v>
      </c>
      <c r="G154" s="4">
        <v>9.8000000000000007</v>
      </c>
      <c r="H154" s="4">
        <v>47</v>
      </c>
      <c r="I154" s="14">
        <v>10</v>
      </c>
      <c r="J154" s="36">
        <v>16</v>
      </c>
      <c r="K154" s="103">
        <v>9</v>
      </c>
      <c r="L154" s="5">
        <v>2.2000000000000002</v>
      </c>
    </row>
    <row r="155" spans="2:12" ht="32.25" customHeight="1" thickBot="1" x14ac:dyDescent="0.35">
      <c r="B155" s="67"/>
      <c r="C155" s="56" t="s">
        <v>2</v>
      </c>
      <c r="D155" s="57">
        <f t="shared" ref="D155:L155" si="22">SUM(D148:D154)</f>
        <v>830</v>
      </c>
      <c r="E155" s="58">
        <f t="shared" si="22"/>
        <v>35.03</v>
      </c>
      <c r="F155" s="58">
        <f t="shared" si="22"/>
        <v>29.099999999999998</v>
      </c>
      <c r="G155" s="58">
        <f t="shared" si="22"/>
        <v>89.962249999999983</v>
      </c>
      <c r="H155" s="58">
        <f t="shared" si="22"/>
        <v>664.36</v>
      </c>
      <c r="I155" s="58">
        <f t="shared" si="22"/>
        <v>34.6</v>
      </c>
      <c r="J155" s="58">
        <f t="shared" si="22"/>
        <v>95.06</v>
      </c>
      <c r="K155" s="58">
        <f t="shared" si="22"/>
        <v>176.23999999999998</v>
      </c>
      <c r="L155" s="58">
        <f t="shared" si="22"/>
        <v>9.129999999999999</v>
      </c>
    </row>
    <row r="156" spans="2:12" ht="33.75" customHeight="1" thickBot="1" x14ac:dyDescent="0.35">
      <c r="B156" s="38"/>
      <c r="C156" s="62" t="s">
        <v>3</v>
      </c>
      <c r="D156" s="63">
        <f t="shared" ref="D156:L156" si="23">D155+D146</f>
        <v>1330</v>
      </c>
      <c r="E156" s="64">
        <f t="shared" si="23"/>
        <v>50.27</v>
      </c>
      <c r="F156" s="64">
        <f t="shared" si="23"/>
        <v>44.72</v>
      </c>
      <c r="G156" s="64">
        <f t="shared" si="23"/>
        <v>177.42824999999999</v>
      </c>
      <c r="H156" s="64">
        <f t="shared" si="23"/>
        <v>1192.83</v>
      </c>
      <c r="I156" s="64">
        <f t="shared" si="23"/>
        <v>49.578000000000003</v>
      </c>
      <c r="J156" s="64">
        <f t="shared" si="23"/>
        <v>246.71600000000001</v>
      </c>
      <c r="K156" s="64">
        <f t="shared" si="23"/>
        <v>248.37699999999998</v>
      </c>
      <c r="L156" s="59">
        <f t="shared" si="23"/>
        <v>16.000999999999998</v>
      </c>
    </row>
    <row r="157" spans="2:12" ht="34.5" customHeight="1" thickBot="1" x14ac:dyDescent="0.35">
      <c r="B157" s="137" t="s">
        <v>24</v>
      </c>
      <c r="C157" s="39"/>
      <c r="D157" s="39"/>
      <c r="E157" s="39"/>
      <c r="F157" s="39"/>
      <c r="G157" s="39"/>
      <c r="H157" s="39"/>
      <c r="I157" s="39"/>
      <c r="J157" s="39"/>
      <c r="K157" s="39"/>
      <c r="L157" s="40"/>
    </row>
    <row r="158" spans="2:12" ht="21" customHeight="1" thickBot="1" x14ac:dyDescent="0.35">
      <c r="B158" s="145" t="s">
        <v>4</v>
      </c>
      <c r="C158" s="147" t="s">
        <v>0</v>
      </c>
      <c r="D158" s="147" t="s">
        <v>30</v>
      </c>
      <c r="E158" s="149" t="s">
        <v>12</v>
      </c>
      <c r="F158" s="150"/>
      <c r="G158" s="150"/>
      <c r="H158" s="151"/>
      <c r="I158" s="152" t="s">
        <v>35</v>
      </c>
      <c r="J158" s="143" t="s">
        <v>36</v>
      </c>
      <c r="K158" s="143" t="s">
        <v>37</v>
      </c>
      <c r="L158" s="143" t="s">
        <v>38</v>
      </c>
    </row>
    <row r="159" spans="2:12" ht="46.5" customHeight="1" thickBot="1" x14ac:dyDescent="0.35">
      <c r="B159" s="146"/>
      <c r="C159" s="148"/>
      <c r="D159" s="148"/>
      <c r="E159" s="21" t="s">
        <v>31</v>
      </c>
      <c r="F159" s="21" t="s">
        <v>32</v>
      </c>
      <c r="G159" s="21" t="s">
        <v>33</v>
      </c>
      <c r="H159" s="21" t="s">
        <v>34</v>
      </c>
      <c r="I159" s="153"/>
      <c r="J159" s="144"/>
      <c r="K159" s="144"/>
      <c r="L159" s="144"/>
    </row>
    <row r="160" spans="2:12" ht="25.5" customHeight="1" thickBot="1" x14ac:dyDescent="0.35">
      <c r="B160" s="27" t="s">
        <v>26</v>
      </c>
      <c r="C160" s="28"/>
      <c r="D160" s="28"/>
      <c r="E160" s="28"/>
      <c r="F160" s="28"/>
      <c r="G160" s="28"/>
      <c r="H160" s="28"/>
      <c r="I160" s="28"/>
      <c r="J160" s="28"/>
      <c r="K160" s="28"/>
      <c r="L160" s="30"/>
    </row>
    <row r="161" spans="2:12" ht="28.5" customHeight="1" thickBot="1" x14ac:dyDescent="0.35">
      <c r="B161" s="33" t="s">
        <v>43</v>
      </c>
      <c r="C161" s="2" t="s">
        <v>94</v>
      </c>
      <c r="D161" s="34">
        <v>250</v>
      </c>
      <c r="E161" s="4">
        <v>11.5</v>
      </c>
      <c r="F161" s="4">
        <v>8.8000000000000007</v>
      </c>
      <c r="G161" s="4">
        <v>39.287500000000001</v>
      </c>
      <c r="H161" s="4">
        <v>324.95</v>
      </c>
      <c r="I161" s="10">
        <v>4.2</v>
      </c>
      <c r="J161" s="10">
        <v>173.78749999999999</v>
      </c>
      <c r="K161" s="10">
        <v>67.325000000000003</v>
      </c>
      <c r="L161" s="5">
        <v>1.5625</v>
      </c>
    </row>
    <row r="162" spans="2:12" ht="27" customHeight="1" thickBot="1" x14ac:dyDescent="0.35">
      <c r="B162" s="7" t="s">
        <v>19</v>
      </c>
      <c r="C162" s="8" t="s">
        <v>45</v>
      </c>
      <c r="D162" s="9">
        <v>10</v>
      </c>
      <c r="E162" s="10">
        <v>0.05</v>
      </c>
      <c r="F162" s="10">
        <v>8.25</v>
      </c>
      <c r="G162" s="10">
        <v>0.08</v>
      </c>
      <c r="H162" s="10">
        <v>74.8</v>
      </c>
      <c r="I162" s="10">
        <v>0</v>
      </c>
      <c r="J162" s="10">
        <v>2.4</v>
      </c>
      <c r="K162" s="11">
        <v>0.05</v>
      </c>
      <c r="L162" s="5">
        <v>0.02</v>
      </c>
    </row>
    <row r="163" spans="2:12" ht="29.25" customHeight="1" thickBot="1" x14ac:dyDescent="0.35">
      <c r="B163" s="7" t="s">
        <v>14</v>
      </c>
      <c r="C163" s="12" t="s">
        <v>40</v>
      </c>
      <c r="D163" s="9">
        <v>20</v>
      </c>
      <c r="E163" s="4">
        <f>2.31*20/30</f>
        <v>1.54</v>
      </c>
      <c r="F163" s="4">
        <f>0.6</f>
        <v>0.6</v>
      </c>
      <c r="G163" s="4">
        <v>10.02</v>
      </c>
      <c r="H163" s="4">
        <f>103.6/2</f>
        <v>51.8</v>
      </c>
      <c r="I163" s="4">
        <v>0</v>
      </c>
      <c r="J163" s="4">
        <v>4.4000000000000004</v>
      </c>
      <c r="K163" s="16">
        <f>13.2/2</f>
        <v>6.6</v>
      </c>
      <c r="L163" s="5">
        <v>0.4</v>
      </c>
    </row>
    <row r="164" spans="2:12" ht="29.25" customHeight="1" thickBot="1" x14ac:dyDescent="0.35">
      <c r="B164" s="7" t="s">
        <v>16</v>
      </c>
      <c r="C164" s="26" t="s">
        <v>41</v>
      </c>
      <c r="D164" s="13">
        <v>40</v>
      </c>
      <c r="E164" s="14">
        <v>2.64</v>
      </c>
      <c r="F164" s="14">
        <v>4.8</v>
      </c>
      <c r="G164" s="14">
        <v>13.36</v>
      </c>
      <c r="H164" s="4">
        <v>69.599999999999994</v>
      </c>
      <c r="I164" s="5">
        <v>0</v>
      </c>
      <c r="J164" s="15">
        <v>13.2</v>
      </c>
      <c r="K164" s="16">
        <v>22.8</v>
      </c>
      <c r="L164" s="25">
        <v>1.8079999999999998</v>
      </c>
    </row>
    <row r="165" spans="2:12" ht="27" customHeight="1" thickBot="1" x14ac:dyDescent="0.35">
      <c r="B165" s="7" t="s">
        <v>13</v>
      </c>
      <c r="C165" s="26" t="s">
        <v>42</v>
      </c>
      <c r="D165" s="34">
        <v>200</v>
      </c>
      <c r="E165" s="4">
        <v>0</v>
      </c>
      <c r="F165" s="4">
        <v>0</v>
      </c>
      <c r="G165" s="4">
        <v>6.9860000000000007</v>
      </c>
      <c r="H165" s="4">
        <v>27.93</v>
      </c>
      <c r="I165" s="4">
        <v>0.05</v>
      </c>
      <c r="J165" s="4">
        <v>2.69</v>
      </c>
      <c r="K165" s="11">
        <v>2.2000000000000002</v>
      </c>
      <c r="L165" s="5">
        <v>0.43</v>
      </c>
    </row>
    <row r="166" spans="2:12" ht="28.5" customHeight="1" thickBot="1" x14ac:dyDescent="0.35">
      <c r="B166" s="126"/>
      <c r="C166" s="93" t="s">
        <v>27</v>
      </c>
      <c r="D166" s="94">
        <f t="shared" ref="D166:L166" si="24">SUM(D161:D165)</f>
        <v>520</v>
      </c>
      <c r="E166" s="59">
        <f t="shared" si="24"/>
        <v>15.73</v>
      </c>
      <c r="F166" s="59">
        <f t="shared" si="24"/>
        <v>22.450000000000003</v>
      </c>
      <c r="G166" s="59">
        <f t="shared" si="24"/>
        <v>69.733500000000006</v>
      </c>
      <c r="H166" s="59">
        <f t="shared" si="24"/>
        <v>549.07999999999993</v>
      </c>
      <c r="I166" s="59">
        <f t="shared" si="24"/>
        <v>4.25</v>
      </c>
      <c r="J166" s="59">
        <f t="shared" si="24"/>
        <v>196.47749999999999</v>
      </c>
      <c r="K166" s="59">
        <f t="shared" si="24"/>
        <v>98.974999999999994</v>
      </c>
      <c r="L166" s="59">
        <f t="shared" si="24"/>
        <v>4.2204999999999995</v>
      </c>
    </row>
    <row r="167" spans="2:12" ht="27.75" customHeight="1" thickBot="1" x14ac:dyDescent="0.35">
      <c r="B167" s="27" t="s">
        <v>1</v>
      </c>
      <c r="C167" s="28"/>
      <c r="D167" s="29"/>
      <c r="E167" s="28"/>
      <c r="F167" s="28"/>
      <c r="G167" s="28"/>
      <c r="H167" s="28"/>
      <c r="I167" s="28"/>
      <c r="J167" s="28"/>
      <c r="K167" s="28"/>
      <c r="L167" s="30"/>
    </row>
    <row r="168" spans="2:12" ht="30.75" customHeight="1" thickBot="1" x14ac:dyDescent="0.35">
      <c r="B168" s="55" t="s">
        <v>55</v>
      </c>
      <c r="C168" s="12" t="s">
        <v>59</v>
      </c>
      <c r="D168" s="34">
        <v>60</v>
      </c>
      <c r="E168" s="10">
        <v>0.66</v>
      </c>
      <c r="F168" s="10">
        <v>0.12</v>
      </c>
      <c r="G168" s="10">
        <v>2.2799999999999998</v>
      </c>
      <c r="H168" s="5">
        <v>13.2</v>
      </c>
      <c r="I168" s="14">
        <v>10.5</v>
      </c>
      <c r="J168" s="44">
        <v>8.4</v>
      </c>
      <c r="K168" s="16">
        <v>12</v>
      </c>
      <c r="L168" s="5">
        <v>0.54</v>
      </c>
    </row>
    <row r="169" spans="2:12" ht="30" customHeight="1" thickBot="1" x14ac:dyDescent="0.35">
      <c r="B169" s="55" t="s">
        <v>91</v>
      </c>
      <c r="C169" s="12" t="s">
        <v>92</v>
      </c>
      <c r="D169" s="34">
        <v>200</v>
      </c>
      <c r="E169" s="4">
        <v>2.19</v>
      </c>
      <c r="F169" s="4">
        <v>5.18</v>
      </c>
      <c r="G169" s="4">
        <v>10.93</v>
      </c>
      <c r="H169" s="4">
        <v>101.1</v>
      </c>
      <c r="I169" s="14">
        <v>18.920000000000002</v>
      </c>
      <c r="J169" s="36">
        <v>32.83</v>
      </c>
      <c r="K169" s="11">
        <v>24.15</v>
      </c>
      <c r="L169" s="5">
        <v>0.77</v>
      </c>
    </row>
    <row r="170" spans="2:12" ht="27.75" customHeight="1" thickBot="1" x14ac:dyDescent="0.35">
      <c r="B170" s="33" t="s">
        <v>88</v>
      </c>
      <c r="C170" s="12" t="s">
        <v>86</v>
      </c>
      <c r="D170" s="34">
        <v>100</v>
      </c>
      <c r="E170" s="4">
        <v>12.33</v>
      </c>
      <c r="F170" s="4">
        <v>6.8</v>
      </c>
      <c r="G170" s="4">
        <v>11.5</v>
      </c>
      <c r="H170" s="4">
        <v>172.59</v>
      </c>
      <c r="I170" s="14">
        <v>1.2</v>
      </c>
      <c r="J170" s="36">
        <v>143.22999999999999</v>
      </c>
      <c r="K170" s="11">
        <v>45.71</v>
      </c>
      <c r="L170" s="5">
        <v>0.83</v>
      </c>
    </row>
    <row r="171" spans="2:12" ht="28.5" customHeight="1" thickBot="1" x14ac:dyDescent="0.35">
      <c r="B171" s="33" t="s">
        <v>87</v>
      </c>
      <c r="C171" s="12" t="s">
        <v>89</v>
      </c>
      <c r="D171" s="34">
        <v>150</v>
      </c>
      <c r="E171" s="4">
        <v>5.45</v>
      </c>
      <c r="F171" s="4">
        <v>5.78</v>
      </c>
      <c r="G171" s="4">
        <v>30.45</v>
      </c>
      <c r="H171" s="4">
        <v>195.71</v>
      </c>
      <c r="I171" s="14">
        <v>0</v>
      </c>
      <c r="J171" s="36">
        <v>12.14</v>
      </c>
      <c r="K171" s="11">
        <v>8.14</v>
      </c>
      <c r="L171" s="5">
        <v>0.23</v>
      </c>
    </row>
    <row r="172" spans="2:12" ht="29.25" customHeight="1" thickBot="1" x14ac:dyDescent="0.35">
      <c r="B172" s="7" t="s">
        <v>14</v>
      </c>
      <c r="C172" s="26" t="s">
        <v>40</v>
      </c>
      <c r="D172" s="13">
        <v>45</v>
      </c>
      <c r="E172" s="14">
        <v>3.4200000000000004</v>
      </c>
      <c r="F172" s="14">
        <v>0.36</v>
      </c>
      <c r="G172" s="14">
        <v>22.106249999999996</v>
      </c>
      <c r="H172" s="4">
        <v>105.75</v>
      </c>
      <c r="I172" s="5">
        <v>0</v>
      </c>
      <c r="J172" s="15">
        <v>10.349999999999998</v>
      </c>
      <c r="K172" s="16">
        <v>14.85</v>
      </c>
      <c r="L172" s="5">
        <v>0.85500000000000009</v>
      </c>
    </row>
    <row r="173" spans="2:12" ht="28.5" customHeight="1" thickBot="1" x14ac:dyDescent="0.35">
      <c r="B173" s="7" t="s">
        <v>16</v>
      </c>
      <c r="C173" s="26" t="s">
        <v>41</v>
      </c>
      <c r="D173" s="13">
        <v>25</v>
      </c>
      <c r="E173" s="14">
        <v>1.65</v>
      </c>
      <c r="F173" s="14">
        <v>3</v>
      </c>
      <c r="G173" s="14">
        <v>8.35</v>
      </c>
      <c r="H173" s="4">
        <v>43.5</v>
      </c>
      <c r="I173" s="5">
        <v>0</v>
      </c>
      <c r="J173" s="15">
        <v>8.25</v>
      </c>
      <c r="K173" s="16">
        <v>14.250000000000002</v>
      </c>
      <c r="L173" s="5">
        <v>1.125</v>
      </c>
    </row>
    <row r="174" spans="2:12" ht="30.75" customHeight="1" thickBot="1" x14ac:dyDescent="0.35">
      <c r="B174" s="7" t="s">
        <v>13</v>
      </c>
      <c r="C174" s="26" t="s">
        <v>42</v>
      </c>
      <c r="D174" s="34">
        <v>200</v>
      </c>
      <c r="E174" s="4">
        <v>0</v>
      </c>
      <c r="F174" s="4">
        <v>0</v>
      </c>
      <c r="G174" s="4">
        <v>6.9860000000000007</v>
      </c>
      <c r="H174" s="4">
        <v>27.93</v>
      </c>
      <c r="I174" s="4">
        <v>0.05</v>
      </c>
      <c r="J174" s="4">
        <v>2.69</v>
      </c>
      <c r="K174" s="11">
        <v>2.2000000000000002</v>
      </c>
      <c r="L174" s="5">
        <v>0.43</v>
      </c>
    </row>
    <row r="175" spans="2:12" ht="30" customHeight="1" thickBot="1" x14ac:dyDescent="0.35">
      <c r="B175" s="68"/>
      <c r="C175" s="93" t="s">
        <v>2</v>
      </c>
      <c r="D175" s="94">
        <f t="shared" ref="D175:L175" si="25">SUM(D168:D174)</f>
        <v>780</v>
      </c>
      <c r="E175" s="91">
        <f t="shared" si="25"/>
        <v>25.7</v>
      </c>
      <c r="F175" s="59">
        <f t="shared" si="25"/>
        <v>21.24</v>
      </c>
      <c r="G175" s="91">
        <f t="shared" si="25"/>
        <v>92.602249999999984</v>
      </c>
      <c r="H175" s="59">
        <f t="shared" si="25"/>
        <v>659.78</v>
      </c>
      <c r="I175" s="91">
        <f t="shared" si="25"/>
        <v>30.67</v>
      </c>
      <c r="J175" s="59">
        <f t="shared" si="25"/>
        <v>217.88999999999996</v>
      </c>
      <c r="K175" s="59">
        <f t="shared" si="25"/>
        <v>121.3</v>
      </c>
      <c r="L175" s="92">
        <f t="shared" si="25"/>
        <v>4.7799999999999994</v>
      </c>
    </row>
    <row r="176" spans="2:12" ht="30.75" customHeight="1" thickBot="1" x14ac:dyDescent="0.35">
      <c r="B176" s="7"/>
      <c r="C176" s="62" t="s">
        <v>3</v>
      </c>
      <c r="D176" s="63">
        <f t="shared" ref="D176:L176" si="26">D175+D166</f>
        <v>1300</v>
      </c>
      <c r="E176" s="64">
        <f t="shared" si="26"/>
        <v>41.43</v>
      </c>
      <c r="F176" s="64">
        <f t="shared" si="26"/>
        <v>43.69</v>
      </c>
      <c r="G176" s="64">
        <f t="shared" si="26"/>
        <v>162.33574999999999</v>
      </c>
      <c r="H176" s="64">
        <f t="shared" si="26"/>
        <v>1208.8599999999999</v>
      </c>
      <c r="I176" s="64">
        <f t="shared" si="26"/>
        <v>34.92</v>
      </c>
      <c r="J176" s="64">
        <f t="shared" si="26"/>
        <v>414.36749999999995</v>
      </c>
      <c r="K176" s="64">
        <f t="shared" si="26"/>
        <v>220.27499999999998</v>
      </c>
      <c r="L176" s="59">
        <f t="shared" si="26"/>
        <v>9.0004999999999988</v>
      </c>
    </row>
    <row r="177" spans="2:13" ht="32.25" customHeight="1" thickBot="1" x14ac:dyDescent="0.35">
      <c r="B177" s="137" t="s">
        <v>25</v>
      </c>
      <c r="C177" s="39"/>
      <c r="D177" s="39"/>
      <c r="E177" s="39"/>
      <c r="F177" s="39"/>
      <c r="G177" s="39"/>
      <c r="H177" s="39"/>
      <c r="I177" s="39"/>
      <c r="J177" s="39"/>
      <c r="K177" s="39"/>
      <c r="L177" s="40"/>
    </row>
    <row r="178" spans="2:13" ht="24" customHeight="1" thickBot="1" x14ac:dyDescent="0.35">
      <c r="B178" s="145" t="s">
        <v>4</v>
      </c>
      <c r="C178" s="147" t="s">
        <v>0</v>
      </c>
      <c r="D178" s="147" t="s">
        <v>30</v>
      </c>
      <c r="E178" s="149" t="s">
        <v>12</v>
      </c>
      <c r="F178" s="150"/>
      <c r="G178" s="150"/>
      <c r="H178" s="151"/>
      <c r="I178" s="152" t="s">
        <v>35</v>
      </c>
      <c r="J178" s="143" t="s">
        <v>36</v>
      </c>
      <c r="K178" s="143" t="s">
        <v>37</v>
      </c>
      <c r="L178" s="143" t="s">
        <v>38</v>
      </c>
    </row>
    <row r="179" spans="2:13" ht="46.5" customHeight="1" thickBot="1" x14ac:dyDescent="0.35">
      <c r="B179" s="146"/>
      <c r="C179" s="148"/>
      <c r="D179" s="148"/>
      <c r="E179" s="21" t="s">
        <v>31</v>
      </c>
      <c r="F179" s="21" t="s">
        <v>32</v>
      </c>
      <c r="G179" s="21" t="s">
        <v>33</v>
      </c>
      <c r="H179" s="21" t="s">
        <v>34</v>
      </c>
      <c r="I179" s="153"/>
      <c r="J179" s="144"/>
      <c r="K179" s="144"/>
      <c r="L179" s="144"/>
    </row>
    <row r="180" spans="2:13" ht="29.25" customHeight="1" thickBot="1" x14ac:dyDescent="0.35">
      <c r="B180" s="69" t="s">
        <v>26</v>
      </c>
      <c r="C180" s="48"/>
      <c r="D180" s="48"/>
      <c r="E180" s="48"/>
      <c r="F180" s="48"/>
      <c r="G180" s="48"/>
      <c r="H180" s="48"/>
      <c r="I180" s="48"/>
      <c r="J180" s="48"/>
      <c r="K180" s="70"/>
      <c r="L180" s="104"/>
    </row>
    <row r="181" spans="2:13" ht="30.75" customHeight="1" thickBot="1" x14ac:dyDescent="0.35">
      <c r="B181" s="55" t="s">
        <v>55</v>
      </c>
      <c r="C181" s="12" t="s">
        <v>59</v>
      </c>
      <c r="D181" s="34">
        <v>60</v>
      </c>
      <c r="E181" s="10">
        <v>0.66</v>
      </c>
      <c r="F181" s="10">
        <v>0.12</v>
      </c>
      <c r="G181" s="10">
        <v>2.2799999999999998</v>
      </c>
      <c r="H181" s="5">
        <v>13.2</v>
      </c>
      <c r="I181" s="14">
        <v>10.5</v>
      </c>
      <c r="J181" s="44">
        <v>8.4</v>
      </c>
      <c r="K181" s="16">
        <v>12</v>
      </c>
      <c r="L181" s="5">
        <v>0.54</v>
      </c>
    </row>
    <row r="182" spans="2:13" ht="29.25" customHeight="1" thickBot="1" x14ac:dyDescent="0.35">
      <c r="B182" s="7" t="s">
        <v>61</v>
      </c>
      <c r="C182" s="8" t="s">
        <v>56</v>
      </c>
      <c r="D182" s="9">
        <v>100</v>
      </c>
      <c r="E182" s="10">
        <v>10.63</v>
      </c>
      <c r="F182" s="10">
        <v>12.64</v>
      </c>
      <c r="G182" s="10">
        <v>19.02</v>
      </c>
      <c r="H182" s="10">
        <v>209.45</v>
      </c>
      <c r="I182" s="10">
        <v>0.54</v>
      </c>
      <c r="J182" s="10">
        <v>60.77</v>
      </c>
      <c r="K182" s="11">
        <v>33.950000000000003</v>
      </c>
      <c r="L182" s="5">
        <v>1.2</v>
      </c>
    </row>
    <row r="183" spans="2:13" ht="29.25" customHeight="1" thickBot="1" x14ac:dyDescent="0.35">
      <c r="B183" s="7" t="s">
        <v>62</v>
      </c>
      <c r="C183" s="8" t="s">
        <v>57</v>
      </c>
      <c r="D183" s="9">
        <v>150</v>
      </c>
      <c r="E183" s="10">
        <v>3.25</v>
      </c>
      <c r="F183" s="10">
        <v>2.88</v>
      </c>
      <c r="G183" s="10">
        <v>28.99</v>
      </c>
      <c r="H183" s="10">
        <v>189.56</v>
      </c>
      <c r="I183" s="10">
        <v>25.95</v>
      </c>
      <c r="J183" s="10">
        <v>145.59</v>
      </c>
      <c r="K183" s="11">
        <v>32.99</v>
      </c>
      <c r="L183" s="5">
        <v>1.22</v>
      </c>
    </row>
    <row r="184" spans="2:13" ht="28.5" customHeight="1" thickBot="1" x14ac:dyDescent="0.35">
      <c r="B184" s="7" t="s">
        <v>14</v>
      </c>
      <c r="C184" s="26" t="s">
        <v>40</v>
      </c>
      <c r="D184" s="13">
        <v>20</v>
      </c>
      <c r="E184" s="14">
        <v>1.52</v>
      </c>
      <c r="F184" s="14">
        <v>0.16</v>
      </c>
      <c r="G184" s="14">
        <v>9.84</v>
      </c>
      <c r="H184" s="14">
        <v>47</v>
      </c>
      <c r="I184" s="14">
        <v>0</v>
      </c>
      <c r="J184" s="14">
        <v>4.5999999999999996</v>
      </c>
      <c r="K184" s="16">
        <v>6.6</v>
      </c>
      <c r="L184" s="5">
        <v>0.38</v>
      </c>
    </row>
    <row r="185" spans="2:13" ht="27.75" customHeight="1" thickBot="1" x14ac:dyDescent="0.35">
      <c r="B185" s="7" t="s">
        <v>47</v>
      </c>
      <c r="C185" s="26" t="s">
        <v>48</v>
      </c>
      <c r="D185" s="105">
        <v>200</v>
      </c>
      <c r="E185" s="4">
        <v>1</v>
      </c>
      <c r="F185" s="5">
        <v>0.2</v>
      </c>
      <c r="G185" s="4">
        <v>20.2</v>
      </c>
      <c r="H185" s="4">
        <v>92</v>
      </c>
      <c r="I185" s="5">
        <v>4</v>
      </c>
      <c r="J185" s="4">
        <v>14</v>
      </c>
      <c r="K185" s="11">
        <v>8</v>
      </c>
      <c r="L185" s="5">
        <v>2.8</v>
      </c>
    </row>
    <row r="186" spans="2:13" ht="30.75" customHeight="1" thickBot="1" x14ac:dyDescent="0.35">
      <c r="B186" s="131"/>
      <c r="C186" s="121" t="s">
        <v>27</v>
      </c>
      <c r="D186" s="132">
        <f t="shared" ref="D186:L186" si="27">SUM(D181:D185)</f>
        <v>530</v>
      </c>
      <c r="E186" s="112">
        <f t="shared" si="27"/>
        <v>17.060000000000002</v>
      </c>
      <c r="F186" s="133">
        <f t="shared" si="27"/>
        <v>16</v>
      </c>
      <c r="G186" s="112">
        <f t="shared" si="27"/>
        <v>80.33</v>
      </c>
      <c r="H186" s="133">
        <f t="shared" si="27"/>
        <v>551.21</v>
      </c>
      <c r="I186" s="112">
        <f t="shared" si="27"/>
        <v>40.989999999999995</v>
      </c>
      <c r="J186" s="133">
        <f t="shared" si="27"/>
        <v>233.35999999999999</v>
      </c>
      <c r="K186" s="112">
        <f t="shared" si="27"/>
        <v>93.539999999999992</v>
      </c>
      <c r="L186" s="112">
        <f t="shared" si="27"/>
        <v>6.14</v>
      </c>
      <c r="M186" s="41"/>
    </row>
    <row r="187" spans="2:13" ht="30" customHeight="1" thickBot="1" x14ac:dyDescent="0.35">
      <c r="B187" s="71" t="s">
        <v>20</v>
      </c>
      <c r="C187" s="48"/>
      <c r="D187" s="72"/>
      <c r="E187" s="53"/>
      <c r="F187" s="53"/>
      <c r="G187" s="53"/>
      <c r="H187" s="53"/>
      <c r="I187" s="53"/>
      <c r="J187" s="53"/>
      <c r="K187" s="73"/>
      <c r="L187" s="74"/>
    </row>
    <row r="188" spans="2:13" ht="30.75" customHeight="1" thickBot="1" x14ac:dyDescent="0.35">
      <c r="B188" s="33" t="s">
        <v>55</v>
      </c>
      <c r="C188" s="12" t="s">
        <v>59</v>
      </c>
      <c r="D188" s="34">
        <v>60</v>
      </c>
      <c r="E188" s="4">
        <v>0.66</v>
      </c>
      <c r="F188" s="4">
        <v>0.12</v>
      </c>
      <c r="G188" s="4">
        <v>2.2799999999999998</v>
      </c>
      <c r="H188" s="4">
        <v>13.2</v>
      </c>
      <c r="I188" s="14">
        <v>10.5</v>
      </c>
      <c r="J188" s="36">
        <v>8.4</v>
      </c>
      <c r="K188" s="14">
        <v>12</v>
      </c>
      <c r="L188" s="14">
        <v>0.54</v>
      </c>
    </row>
    <row r="189" spans="2:13" ht="32.25" customHeight="1" thickBot="1" x14ac:dyDescent="0.35">
      <c r="B189" s="33" t="s">
        <v>69</v>
      </c>
      <c r="C189" s="12" t="s">
        <v>93</v>
      </c>
      <c r="D189" s="34">
        <v>200</v>
      </c>
      <c r="E189" s="4">
        <v>1.31</v>
      </c>
      <c r="F189" s="4">
        <v>4.8600000000000003</v>
      </c>
      <c r="G189" s="4">
        <v>8.67</v>
      </c>
      <c r="H189" s="4">
        <v>106.06</v>
      </c>
      <c r="I189" s="14">
        <v>14.48</v>
      </c>
      <c r="J189" s="36">
        <v>27.49</v>
      </c>
      <c r="K189" s="16">
        <v>15.19</v>
      </c>
      <c r="L189" s="5">
        <v>0.72</v>
      </c>
    </row>
    <row r="190" spans="2:13" ht="29.25" customHeight="1" thickBot="1" x14ac:dyDescent="0.35">
      <c r="B190" s="33" t="s">
        <v>70</v>
      </c>
      <c r="C190" s="12" t="s">
        <v>83</v>
      </c>
      <c r="D190" s="34">
        <v>200</v>
      </c>
      <c r="E190" s="4">
        <f>13.48*200/280</f>
        <v>9.6285714285714281</v>
      </c>
      <c r="F190" s="4">
        <f>21.99*200/280</f>
        <v>15.707142857142857</v>
      </c>
      <c r="G190" s="4">
        <f>51.12*200/280</f>
        <v>36.514285714285712</v>
      </c>
      <c r="H190" s="4">
        <f>400.02*200/280</f>
        <v>285.72857142857146</v>
      </c>
      <c r="I190" s="14">
        <f>3.47*200/280</f>
        <v>2.4785714285714286</v>
      </c>
      <c r="J190" s="36">
        <f>36.05*200/280</f>
        <v>25.749999999999996</v>
      </c>
      <c r="K190" s="16">
        <f>126.69*200/280</f>
        <v>90.492857142857147</v>
      </c>
      <c r="L190" s="5">
        <f>5.14*200/280</f>
        <v>3.6714285714285713</v>
      </c>
    </row>
    <row r="191" spans="2:13" ht="28.5" customHeight="1" thickBot="1" x14ac:dyDescent="0.35">
      <c r="B191" s="33" t="s">
        <v>14</v>
      </c>
      <c r="C191" s="12" t="s">
        <v>40</v>
      </c>
      <c r="D191" s="34">
        <v>45</v>
      </c>
      <c r="E191" s="4">
        <v>3.4200000000000004</v>
      </c>
      <c r="F191" s="4">
        <v>0.36</v>
      </c>
      <c r="G191" s="4">
        <v>22.106249999999996</v>
      </c>
      <c r="H191" s="4">
        <v>105.75</v>
      </c>
      <c r="I191" s="16">
        <v>0</v>
      </c>
      <c r="J191" s="24">
        <v>10.349999999999998</v>
      </c>
      <c r="K191" s="16">
        <v>14.85</v>
      </c>
      <c r="L191" s="16">
        <v>0.85500000000000009</v>
      </c>
    </row>
    <row r="192" spans="2:13" ht="32.25" customHeight="1" thickBot="1" x14ac:dyDescent="0.35">
      <c r="B192" s="33" t="s">
        <v>16</v>
      </c>
      <c r="C192" s="12" t="s">
        <v>41</v>
      </c>
      <c r="D192" s="34">
        <v>25</v>
      </c>
      <c r="E192" s="4">
        <v>1.65</v>
      </c>
      <c r="F192" s="4">
        <v>3</v>
      </c>
      <c r="G192" s="4">
        <v>8.35</v>
      </c>
      <c r="H192" s="4">
        <v>43.5</v>
      </c>
      <c r="I192" s="16">
        <v>0</v>
      </c>
      <c r="J192" s="24">
        <v>8.25</v>
      </c>
      <c r="K192" s="16">
        <v>14.250000000000002</v>
      </c>
      <c r="L192" s="16">
        <v>1.125</v>
      </c>
    </row>
    <row r="193" spans="1:15" ht="30" customHeight="1" thickBot="1" x14ac:dyDescent="0.35">
      <c r="B193" s="7" t="s">
        <v>13</v>
      </c>
      <c r="C193" s="26" t="s">
        <v>42</v>
      </c>
      <c r="D193" s="34">
        <v>200</v>
      </c>
      <c r="E193" s="4">
        <v>0</v>
      </c>
      <c r="F193" s="4">
        <v>0</v>
      </c>
      <c r="G193" s="4">
        <v>6.9860000000000007</v>
      </c>
      <c r="H193" s="4">
        <v>27.93</v>
      </c>
      <c r="I193" s="4">
        <v>0.05</v>
      </c>
      <c r="J193" s="4">
        <v>2.69</v>
      </c>
      <c r="K193" s="11">
        <v>2.2000000000000002</v>
      </c>
      <c r="L193" s="5">
        <v>0.43</v>
      </c>
    </row>
    <row r="194" spans="1:15" ht="33" customHeight="1" thickBot="1" x14ac:dyDescent="0.35">
      <c r="B194" s="75"/>
      <c r="C194" s="47" t="s">
        <v>2</v>
      </c>
      <c r="D194" s="57">
        <f t="shared" ref="D194:L194" si="28">SUM(D188:D193)</f>
        <v>730</v>
      </c>
      <c r="E194" s="139">
        <f t="shared" si="28"/>
        <v>16.668571428571429</v>
      </c>
      <c r="F194" s="139">
        <f t="shared" si="28"/>
        <v>24.047142857142859</v>
      </c>
      <c r="G194" s="139">
        <f t="shared" si="28"/>
        <v>84.90653571428571</v>
      </c>
      <c r="H194" s="139">
        <f t="shared" si="28"/>
        <v>582.16857142857145</v>
      </c>
      <c r="I194" s="139">
        <f t="shared" si="28"/>
        <v>27.508571428571429</v>
      </c>
      <c r="J194" s="139">
        <f t="shared" si="28"/>
        <v>82.929999999999993</v>
      </c>
      <c r="K194" s="139">
        <f t="shared" si="28"/>
        <v>148.98285714285714</v>
      </c>
      <c r="L194" s="139">
        <f t="shared" si="28"/>
        <v>7.3414285714285716</v>
      </c>
    </row>
    <row r="195" spans="1:15" ht="33" customHeight="1" thickBot="1" x14ac:dyDescent="0.35">
      <c r="B195" s="76"/>
      <c r="C195" s="95" t="s">
        <v>3</v>
      </c>
      <c r="D195" s="96">
        <f t="shared" ref="D195:L195" si="29">D194+D186</f>
        <v>1260</v>
      </c>
      <c r="E195" s="61">
        <f t="shared" si="29"/>
        <v>33.728571428571428</v>
      </c>
      <c r="F195" s="61">
        <f t="shared" si="29"/>
        <v>40.047142857142859</v>
      </c>
      <c r="G195" s="61">
        <f t="shared" si="29"/>
        <v>165.23653571428571</v>
      </c>
      <c r="H195" s="61">
        <f t="shared" si="29"/>
        <v>1133.3785714285714</v>
      </c>
      <c r="I195" s="61">
        <f t="shared" si="29"/>
        <v>68.498571428571424</v>
      </c>
      <c r="J195" s="61">
        <f t="shared" si="29"/>
        <v>316.28999999999996</v>
      </c>
      <c r="K195" s="61">
        <f t="shared" si="29"/>
        <v>242.52285714285713</v>
      </c>
      <c r="L195" s="61">
        <f t="shared" si="29"/>
        <v>13.481428571428571</v>
      </c>
    </row>
    <row r="196" spans="1:15" ht="33.75" customHeight="1" thickBot="1" x14ac:dyDescent="0.35">
      <c r="B196" s="106"/>
      <c r="C196" s="107" t="s">
        <v>11</v>
      </c>
      <c r="D196" s="77">
        <f t="shared" ref="D196:L196" si="30">D195+D176+D156+D136+D118+D98+D79+D59+D40+D21</f>
        <v>12710</v>
      </c>
      <c r="E196" s="78">
        <f t="shared" si="30"/>
        <v>441.58949579831938</v>
      </c>
      <c r="F196" s="78">
        <f t="shared" si="30"/>
        <v>413.53899159663865</v>
      </c>
      <c r="G196" s="78">
        <f t="shared" si="30"/>
        <v>1592.5341400560224</v>
      </c>
      <c r="H196" s="78">
        <f t="shared" si="30"/>
        <v>11815.743142857144</v>
      </c>
      <c r="I196" s="78">
        <f t="shared" si="30"/>
        <v>476.68514285714281</v>
      </c>
      <c r="J196" s="79">
        <f t="shared" si="30"/>
        <v>3160.1476176470592</v>
      </c>
      <c r="K196" s="79">
        <f t="shared" si="30"/>
        <v>2160.2988907563022</v>
      </c>
      <c r="L196" s="80">
        <f t="shared" si="30"/>
        <v>129.91925910364145</v>
      </c>
    </row>
    <row r="197" spans="1:15" ht="38.25" customHeight="1" thickBot="1" x14ac:dyDescent="0.35">
      <c r="B197" s="108"/>
      <c r="C197" s="109" t="s">
        <v>10</v>
      </c>
      <c r="D197" s="81">
        <f t="shared" ref="D197:L197" si="31">D196/10</f>
        <v>1271</v>
      </c>
      <c r="E197" s="82">
        <f t="shared" si="31"/>
        <v>44.15894957983194</v>
      </c>
      <c r="F197" s="83">
        <f t="shared" si="31"/>
        <v>41.353899159663868</v>
      </c>
      <c r="G197" s="84">
        <f t="shared" si="31"/>
        <v>159.25341400560222</v>
      </c>
      <c r="H197" s="84">
        <f t="shared" si="31"/>
        <v>1181.5743142857143</v>
      </c>
      <c r="I197" s="82">
        <f t="shared" si="31"/>
        <v>47.668514285714281</v>
      </c>
      <c r="J197" s="85">
        <f t="shared" si="31"/>
        <v>316.0147617647059</v>
      </c>
      <c r="K197" s="80">
        <f t="shared" si="31"/>
        <v>216.02988907563022</v>
      </c>
      <c r="L197" s="80">
        <f t="shared" si="31"/>
        <v>12.991925910364145</v>
      </c>
    </row>
    <row r="198" spans="1:15" ht="31.5" customHeight="1" x14ac:dyDescent="0.3">
      <c r="A198" s="86" t="s">
        <v>29</v>
      </c>
      <c r="B198" s="142"/>
      <c r="C198" s="142"/>
      <c r="D198" s="142"/>
      <c r="E198" s="142"/>
      <c r="F198" s="142"/>
      <c r="G198" s="142"/>
      <c r="H198" s="142"/>
      <c r="I198" s="142"/>
      <c r="J198" s="142"/>
      <c r="K198" s="142"/>
      <c r="L198" s="142"/>
    </row>
    <row r="199" spans="1:15" ht="20.25" x14ac:dyDescent="0.3">
      <c r="B199" s="87"/>
    </row>
    <row r="200" spans="1:15" ht="20.25" x14ac:dyDescent="0.3">
      <c r="B200" s="87"/>
      <c r="M200" s="90"/>
      <c r="N200" s="90"/>
    </row>
    <row r="201" spans="1:15" ht="20.25" x14ac:dyDescent="0.3">
      <c r="B201" s="87"/>
      <c r="M201" s="90"/>
      <c r="N201" s="90"/>
    </row>
    <row r="202" spans="1:15" ht="20.25" x14ac:dyDescent="0.3">
      <c r="B202" s="87"/>
      <c r="M202" s="90"/>
      <c r="N202" s="90"/>
    </row>
    <row r="203" spans="1:15" ht="33" customHeight="1" x14ac:dyDescent="0.3">
      <c r="B203" s="87"/>
      <c r="M203" s="90"/>
      <c r="N203" s="90"/>
    </row>
    <row r="204" spans="1:15" ht="39.75" customHeight="1" x14ac:dyDescent="0.3">
      <c r="B204" s="87"/>
      <c r="M204" s="90"/>
      <c r="N204" s="90"/>
    </row>
    <row r="205" spans="1:15" ht="39.75" customHeight="1" x14ac:dyDescent="0.3">
      <c r="B205" s="87"/>
      <c r="M205" s="90"/>
      <c r="N205" s="90"/>
      <c r="O205" s="90"/>
    </row>
    <row r="206" spans="1:15" ht="39.75" customHeight="1" x14ac:dyDescent="0.3">
      <c r="B206" s="87"/>
      <c r="M206" s="90"/>
      <c r="N206" s="90"/>
      <c r="O206" s="90"/>
    </row>
    <row r="207" spans="1:15" ht="39.75" customHeight="1" x14ac:dyDescent="0.3">
      <c r="B207" s="87"/>
      <c r="M207" s="90"/>
      <c r="N207" s="90"/>
      <c r="O207" s="90"/>
    </row>
    <row r="208" spans="1:15" ht="39.75" customHeight="1" x14ac:dyDescent="0.3">
      <c r="B208" s="87"/>
      <c r="M208" s="90"/>
      <c r="N208" s="90"/>
      <c r="O208" s="90"/>
    </row>
    <row r="209" spans="2:15" ht="39.75" customHeight="1" x14ac:dyDescent="0.3">
      <c r="B209" s="87"/>
      <c r="M209" s="90"/>
      <c r="N209" s="90"/>
      <c r="O209" s="90"/>
    </row>
    <row r="210" spans="2:15" ht="39.75" customHeight="1" x14ac:dyDescent="0.3">
      <c r="B210" s="87"/>
      <c r="M210" s="90"/>
      <c r="N210" s="90"/>
      <c r="O210" s="90"/>
    </row>
    <row r="211" spans="2:15" ht="39.75" customHeight="1" x14ac:dyDescent="0.3">
      <c r="B211" s="87"/>
      <c r="M211" s="90"/>
      <c r="N211" s="90"/>
      <c r="O211" s="90"/>
    </row>
    <row r="212" spans="2:15" ht="39.75" customHeight="1" x14ac:dyDescent="0.3">
      <c r="B212" s="87"/>
      <c r="M212" s="90"/>
      <c r="N212" s="90"/>
      <c r="O212" s="90"/>
    </row>
    <row r="213" spans="2:15" ht="39.75" customHeight="1" x14ac:dyDescent="0.3">
      <c r="B213" s="87"/>
      <c r="M213" s="90"/>
      <c r="N213" s="90"/>
      <c r="O213" s="90"/>
    </row>
    <row r="214" spans="2:15" ht="39.75" customHeight="1" x14ac:dyDescent="0.3">
      <c r="B214" s="87"/>
      <c r="M214" s="90"/>
      <c r="N214" s="90"/>
      <c r="O214" s="90"/>
    </row>
    <row r="215" spans="2:15" ht="39.75" customHeight="1" x14ac:dyDescent="0.3">
      <c r="B215" s="87"/>
      <c r="M215" s="90"/>
      <c r="N215" s="90"/>
      <c r="O215" s="90"/>
    </row>
    <row r="216" spans="2:15" ht="39.75" customHeight="1" x14ac:dyDescent="0.3">
      <c r="B216" s="87"/>
      <c r="M216" s="90"/>
      <c r="N216" s="90"/>
      <c r="O216" s="90"/>
    </row>
  </sheetData>
  <autoFilter ref="C4:C207"/>
  <mergeCells count="82">
    <mergeCell ref="B2:L2"/>
    <mergeCell ref="E4:H4"/>
    <mergeCell ref="E23:H23"/>
    <mergeCell ref="E42:H42"/>
    <mergeCell ref="E61:H61"/>
    <mergeCell ref="B4:B5"/>
    <mergeCell ref="C4:C5"/>
    <mergeCell ref="D4:D5"/>
    <mergeCell ref="I4:I5"/>
    <mergeCell ref="J4:J5"/>
    <mergeCell ref="K4:K5"/>
    <mergeCell ref="J23:J24"/>
    <mergeCell ref="K23:K24"/>
    <mergeCell ref="L23:L24"/>
    <mergeCell ref="L4:L5"/>
    <mergeCell ref="B23:B24"/>
    <mergeCell ref="C23:C24"/>
    <mergeCell ref="D23:D24"/>
    <mergeCell ref="I23:I24"/>
    <mergeCell ref="J42:J43"/>
    <mergeCell ref="K42:K43"/>
    <mergeCell ref="L42:L43"/>
    <mergeCell ref="B42:B43"/>
    <mergeCell ref="C42:C43"/>
    <mergeCell ref="D42:D43"/>
    <mergeCell ref="I42:I43"/>
    <mergeCell ref="J61:J62"/>
    <mergeCell ref="K61:K62"/>
    <mergeCell ref="L61:L62"/>
    <mergeCell ref="B61:B62"/>
    <mergeCell ref="C61:C62"/>
    <mergeCell ref="D61:D62"/>
    <mergeCell ref="I61:I62"/>
    <mergeCell ref="J81:J82"/>
    <mergeCell ref="K81:K82"/>
    <mergeCell ref="L81:L82"/>
    <mergeCell ref="B81:B82"/>
    <mergeCell ref="C81:C82"/>
    <mergeCell ref="D81:D82"/>
    <mergeCell ref="I81:I82"/>
    <mergeCell ref="E81:H81"/>
    <mergeCell ref="J100:J101"/>
    <mergeCell ref="K100:K101"/>
    <mergeCell ref="L100:L101"/>
    <mergeCell ref="I120:I121"/>
    <mergeCell ref="B100:B101"/>
    <mergeCell ref="C100:C101"/>
    <mergeCell ref="D100:D101"/>
    <mergeCell ref="I100:I101"/>
    <mergeCell ref="B120:B121"/>
    <mergeCell ref="C120:C121"/>
    <mergeCell ref="D120:D121"/>
    <mergeCell ref="E120:H120"/>
    <mergeCell ref="E100:H100"/>
    <mergeCell ref="I158:I159"/>
    <mergeCell ref="J120:J121"/>
    <mergeCell ref="K120:K121"/>
    <mergeCell ref="L120:L121"/>
    <mergeCell ref="B138:B139"/>
    <mergeCell ref="C138:C139"/>
    <mergeCell ref="D138:D139"/>
    <mergeCell ref="E138:H138"/>
    <mergeCell ref="I138:I139"/>
    <mergeCell ref="J138:J139"/>
    <mergeCell ref="K138:K139"/>
    <mergeCell ref="L138:L139"/>
    <mergeCell ref="B198:L198"/>
    <mergeCell ref="J158:J159"/>
    <mergeCell ref="K158:K159"/>
    <mergeCell ref="L158:L159"/>
    <mergeCell ref="B178:B179"/>
    <mergeCell ref="C178:C179"/>
    <mergeCell ref="D178:D179"/>
    <mergeCell ref="E178:H178"/>
    <mergeCell ref="I178:I179"/>
    <mergeCell ref="J178:J179"/>
    <mergeCell ref="K178:K179"/>
    <mergeCell ref="L178:L179"/>
    <mergeCell ref="B158:B159"/>
    <mergeCell ref="C158:C159"/>
    <mergeCell ref="D158:D159"/>
    <mergeCell ref="E158:H158"/>
  </mergeCells>
  <pageMargins left="0" right="0" top="0.35433070866141736" bottom="0.15748031496062992" header="0.19685039370078741" footer="0"/>
  <pageSetup paperSize="9" scale="43" orientation="landscape" r:id="rId1"/>
  <rowBreaks count="7" manualBreakCount="7">
    <brk id="40" max="11" man="1"/>
    <brk id="79" max="11" man="1"/>
    <brk id="118" max="11" man="1"/>
    <brk id="156" max="11" man="1"/>
    <brk id="197" max="11" man="1"/>
    <brk id="203" max="12" man="1"/>
    <brk id="238" max="5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6"/>
  <sheetViews>
    <sheetView tabSelected="1" view="pageBreakPreview" zoomScale="68" zoomScaleNormal="78" zoomScaleSheetLayoutView="68" workbookViewId="0">
      <selection activeCell="D205" sqref="D205"/>
    </sheetView>
  </sheetViews>
  <sheetFormatPr defaultColWidth="9.140625" defaultRowHeight="39.75" customHeight="1" x14ac:dyDescent="0.3"/>
  <cols>
    <col min="1" max="1" width="4" style="18" customWidth="1"/>
    <col min="2" max="2" width="32.28515625" style="88" customWidth="1"/>
    <col min="3" max="3" width="65.7109375" style="87" customWidth="1"/>
    <col min="4" max="4" width="26.28515625" style="88" customWidth="1"/>
    <col min="5" max="5" width="24.5703125" style="88" customWidth="1"/>
    <col min="6" max="6" width="24" style="88" customWidth="1"/>
    <col min="7" max="7" width="23.5703125" style="88" customWidth="1"/>
    <col min="8" max="8" width="28.7109375" style="88" customWidth="1"/>
    <col min="9" max="9" width="24.42578125" style="88" customWidth="1"/>
    <col min="10" max="10" width="23.28515625" style="88" customWidth="1"/>
    <col min="11" max="11" width="23.5703125" style="89" customWidth="1"/>
    <col min="12" max="12" width="24.5703125" style="88" customWidth="1"/>
    <col min="13" max="13" width="8" style="18" customWidth="1"/>
    <col min="14" max="16384" width="9.140625" style="18"/>
  </cols>
  <sheetData>
    <row r="1" spans="2:12" ht="23.25" customHeight="1" thickBot="1" x14ac:dyDescent="0.35"/>
    <row r="2" spans="2:12" ht="29.25" customHeight="1" thickBot="1" x14ac:dyDescent="0.35">
      <c r="B2" s="154" t="s">
        <v>71</v>
      </c>
      <c r="C2" s="155"/>
      <c r="D2" s="155"/>
      <c r="E2" s="155"/>
      <c r="F2" s="155"/>
      <c r="G2" s="155"/>
      <c r="H2" s="155"/>
      <c r="I2" s="155"/>
      <c r="J2" s="155"/>
      <c r="K2" s="155"/>
      <c r="L2" s="156"/>
    </row>
    <row r="3" spans="2:12" ht="28.5" customHeight="1" thickBot="1" x14ac:dyDescent="0.35">
      <c r="B3" s="138" t="s">
        <v>6</v>
      </c>
      <c r="C3" s="19"/>
      <c r="D3" s="19"/>
      <c r="E3" s="19"/>
      <c r="F3" s="19"/>
      <c r="G3" s="19"/>
      <c r="H3" s="19"/>
      <c r="I3" s="19"/>
      <c r="J3" s="19"/>
      <c r="K3" s="19"/>
      <c r="L3" s="20"/>
    </row>
    <row r="4" spans="2:12" ht="21.75" customHeight="1" thickBot="1" x14ac:dyDescent="0.35">
      <c r="B4" s="147" t="s">
        <v>4</v>
      </c>
      <c r="C4" s="147" t="s">
        <v>0</v>
      </c>
      <c r="D4" s="147" t="s">
        <v>30</v>
      </c>
      <c r="E4" s="149" t="s">
        <v>12</v>
      </c>
      <c r="F4" s="150"/>
      <c r="G4" s="150"/>
      <c r="H4" s="151"/>
      <c r="I4" s="152" t="s">
        <v>35</v>
      </c>
      <c r="J4" s="143" t="s">
        <v>36</v>
      </c>
      <c r="K4" s="143" t="s">
        <v>37</v>
      </c>
      <c r="L4" s="143" t="s">
        <v>38</v>
      </c>
    </row>
    <row r="5" spans="2:12" ht="59.25" customHeight="1" thickBot="1" x14ac:dyDescent="0.35">
      <c r="B5" s="148"/>
      <c r="C5" s="148"/>
      <c r="D5" s="148"/>
      <c r="E5" s="21" t="s">
        <v>31</v>
      </c>
      <c r="F5" s="21" t="s">
        <v>32</v>
      </c>
      <c r="G5" s="21" t="s">
        <v>33</v>
      </c>
      <c r="H5" s="21" t="s">
        <v>34</v>
      </c>
      <c r="I5" s="153"/>
      <c r="J5" s="144"/>
      <c r="K5" s="144"/>
      <c r="L5" s="144"/>
    </row>
    <row r="6" spans="2:12" ht="27.75" customHeight="1" thickBot="1" x14ac:dyDescent="0.35">
      <c r="B6" s="22" t="s">
        <v>26</v>
      </c>
      <c r="C6" s="23"/>
      <c r="D6" s="24"/>
      <c r="E6" s="24"/>
      <c r="F6" s="24"/>
      <c r="G6" s="24"/>
      <c r="H6" s="24"/>
      <c r="I6" s="24"/>
      <c r="J6" s="24"/>
      <c r="K6" s="24"/>
      <c r="L6" s="25"/>
    </row>
    <row r="7" spans="2:12" ht="29.25" customHeight="1" thickBot="1" x14ac:dyDescent="0.35">
      <c r="B7" s="33" t="s">
        <v>51</v>
      </c>
      <c r="C7" s="12" t="s">
        <v>72</v>
      </c>
      <c r="D7" s="34">
        <v>160</v>
      </c>
      <c r="E7" s="4">
        <f>12.54*160/170</f>
        <v>11.802352941176469</v>
      </c>
      <c r="F7" s="4">
        <f>15.05*160/170</f>
        <v>14.164705882352941</v>
      </c>
      <c r="G7" s="4">
        <f>47.8*160/170</f>
        <v>44.988235294117644</v>
      </c>
      <c r="H7" s="4">
        <f>368.9*160/170</f>
        <v>347.2</v>
      </c>
      <c r="I7" s="10">
        <f>0.17*160/170</f>
        <v>0.16</v>
      </c>
      <c r="J7" s="10">
        <f>138.65*160/170</f>
        <v>130.49411764705883</v>
      </c>
      <c r="K7" s="10">
        <f>24.8*160/170</f>
        <v>23.341176470588234</v>
      </c>
      <c r="L7" s="5">
        <f>1.39*160/170</f>
        <v>1.3082352941176469</v>
      </c>
    </row>
    <row r="8" spans="2:12" ht="27.75" customHeight="1" thickBot="1" x14ac:dyDescent="0.35">
      <c r="B8" s="33" t="s">
        <v>14</v>
      </c>
      <c r="C8" s="12" t="s">
        <v>40</v>
      </c>
      <c r="D8" s="34">
        <v>40</v>
      </c>
      <c r="E8" s="4">
        <v>3.04</v>
      </c>
      <c r="F8" s="4">
        <v>0.31999999999999995</v>
      </c>
      <c r="G8" s="4">
        <v>19.653333333333332</v>
      </c>
      <c r="H8" s="4">
        <v>94</v>
      </c>
      <c r="I8" s="10">
        <v>0</v>
      </c>
      <c r="J8" s="10">
        <v>9.1999999999999993</v>
      </c>
      <c r="K8" s="10">
        <v>13.2</v>
      </c>
      <c r="L8" s="5">
        <v>0.85333333333333328</v>
      </c>
    </row>
    <row r="9" spans="2:12" ht="30" customHeight="1" thickBot="1" x14ac:dyDescent="0.35">
      <c r="B9" s="7" t="s">
        <v>13</v>
      </c>
      <c r="C9" s="8" t="s">
        <v>42</v>
      </c>
      <c r="D9" s="9">
        <v>200</v>
      </c>
      <c r="E9" s="10">
        <v>0</v>
      </c>
      <c r="F9" s="10">
        <v>0</v>
      </c>
      <c r="G9" s="10">
        <v>6.9860000000000007</v>
      </c>
      <c r="H9" s="10">
        <v>27.93</v>
      </c>
      <c r="I9" s="10">
        <v>0.05</v>
      </c>
      <c r="J9" s="10">
        <v>2.69</v>
      </c>
      <c r="K9" s="11">
        <v>2.2000000000000002</v>
      </c>
      <c r="L9" s="5">
        <v>0.43</v>
      </c>
    </row>
    <row r="10" spans="2:12" ht="28.5" customHeight="1" thickBot="1" x14ac:dyDescent="0.35">
      <c r="B10" s="7" t="s">
        <v>17</v>
      </c>
      <c r="C10" s="26" t="s">
        <v>52</v>
      </c>
      <c r="D10" s="34">
        <v>100</v>
      </c>
      <c r="E10" s="4">
        <v>0.4</v>
      </c>
      <c r="F10" s="4">
        <v>0.4</v>
      </c>
      <c r="G10" s="4">
        <v>9.8000000000000007</v>
      </c>
      <c r="H10" s="4">
        <v>47</v>
      </c>
      <c r="I10" s="4">
        <v>10</v>
      </c>
      <c r="J10" s="4">
        <v>16</v>
      </c>
      <c r="K10" s="11">
        <v>9</v>
      </c>
      <c r="L10" s="5">
        <v>2.2000000000000002</v>
      </c>
    </row>
    <row r="11" spans="2:12" ht="32.25" customHeight="1" thickBot="1" x14ac:dyDescent="0.35">
      <c r="B11" s="111"/>
      <c r="C11" s="62" t="s">
        <v>27</v>
      </c>
      <c r="D11" s="94">
        <f t="shared" ref="D11:L11" si="0">SUM(D7:D10)</f>
        <v>500</v>
      </c>
      <c r="E11" s="112">
        <f t="shared" si="0"/>
        <v>15.242352941176469</v>
      </c>
      <c r="F11" s="112">
        <f t="shared" si="0"/>
        <v>14.884705882352941</v>
      </c>
      <c r="G11" s="112">
        <f t="shared" si="0"/>
        <v>81.427568627450981</v>
      </c>
      <c r="H11" s="112">
        <f t="shared" si="0"/>
        <v>516.13</v>
      </c>
      <c r="I11" s="112">
        <f t="shared" si="0"/>
        <v>10.210000000000001</v>
      </c>
      <c r="J11" s="112">
        <f t="shared" si="0"/>
        <v>158.38411764705882</v>
      </c>
      <c r="K11" s="112">
        <f t="shared" si="0"/>
        <v>47.741176470588236</v>
      </c>
      <c r="L11" s="112">
        <f t="shared" si="0"/>
        <v>4.7915686274509799</v>
      </c>
    </row>
    <row r="12" spans="2:12" ht="28.9" customHeight="1" thickBot="1" x14ac:dyDescent="0.35">
      <c r="B12" s="27" t="s">
        <v>1</v>
      </c>
      <c r="C12" s="28"/>
      <c r="D12" s="29"/>
      <c r="E12" s="28"/>
      <c r="F12" s="28"/>
      <c r="G12" s="28"/>
      <c r="H12" s="28"/>
      <c r="I12" s="28"/>
      <c r="J12" s="28"/>
      <c r="K12" s="28"/>
      <c r="L12" s="30"/>
    </row>
    <row r="13" spans="2:12" ht="27" customHeight="1" thickBot="1" x14ac:dyDescent="0.35">
      <c r="B13" s="1" t="s">
        <v>65</v>
      </c>
      <c r="C13" s="2" t="s">
        <v>66</v>
      </c>
      <c r="D13" s="3">
        <v>100</v>
      </c>
      <c r="E13" s="31">
        <v>1.6</v>
      </c>
      <c r="F13" s="31">
        <v>5.0999999999999996</v>
      </c>
      <c r="G13" s="31">
        <v>3.25</v>
      </c>
      <c r="H13" s="31">
        <v>67.683333333333337</v>
      </c>
      <c r="I13" s="14">
        <v>19.816666666666666</v>
      </c>
      <c r="J13" s="15">
        <v>52.233333333333334</v>
      </c>
      <c r="K13" s="16">
        <v>16.016666666666666</v>
      </c>
      <c r="L13" s="32">
        <v>0.66666666666666663</v>
      </c>
    </row>
    <row r="14" spans="2:12" ht="29.25" customHeight="1" thickBot="1" x14ac:dyDescent="0.35">
      <c r="B14" s="33" t="s">
        <v>73</v>
      </c>
      <c r="C14" s="12" t="s">
        <v>74</v>
      </c>
      <c r="D14" s="34">
        <v>250</v>
      </c>
      <c r="E14" s="4">
        <f>1.57*250/200</f>
        <v>1.9624999999999999</v>
      </c>
      <c r="F14" s="4">
        <f>2.17*250/200</f>
        <v>2.7124999999999999</v>
      </c>
      <c r="G14" s="4">
        <f>9.69*250/200</f>
        <v>12.112500000000001</v>
      </c>
      <c r="H14" s="5">
        <f>68.6*250/200</f>
        <v>85.75</v>
      </c>
      <c r="I14" s="16">
        <f>6.6*250/200</f>
        <v>8.25</v>
      </c>
      <c r="J14" s="24">
        <f>17.6*250/200</f>
        <v>22</v>
      </c>
      <c r="K14" s="16">
        <f>18.22*250/200</f>
        <v>22.774999999999999</v>
      </c>
      <c r="L14" s="25">
        <f>0.7*250/200</f>
        <v>0.875</v>
      </c>
    </row>
    <row r="15" spans="2:12" ht="28.5" customHeight="1" thickBot="1" x14ac:dyDescent="0.35">
      <c r="B15" s="35" t="s">
        <v>61</v>
      </c>
      <c r="C15" s="26" t="s">
        <v>56</v>
      </c>
      <c r="D15" s="13">
        <v>100</v>
      </c>
      <c r="E15" s="14">
        <v>10.63</v>
      </c>
      <c r="F15" s="14">
        <v>12.64</v>
      </c>
      <c r="G15" s="14">
        <v>13.07</v>
      </c>
      <c r="H15" s="5">
        <v>209.45</v>
      </c>
      <c r="I15" s="5">
        <v>0.54</v>
      </c>
      <c r="J15" s="15">
        <v>60.77</v>
      </c>
      <c r="K15" s="16">
        <v>33.950000000000003</v>
      </c>
      <c r="L15" s="25">
        <v>1.2</v>
      </c>
    </row>
    <row r="16" spans="2:12" ht="27.75" customHeight="1" thickBot="1" x14ac:dyDescent="0.35">
      <c r="B16" s="33" t="s">
        <v>49</v>
      </c>
      <c r="C16" s="12" t="s">
        <v>44</v>
      </c>
      <c r="D16" s="34">
        <v>180</v>
      </c>
      <c r="E16" s="4">
        <v>4.8</v>
      </c>
      <c r="F16" s="4">
        <v>5.0880000000000001</v>
      </c>
      <c r="G16" s="4">
        <v>29.46</v>
      </c>
      <c r="H16" s="31">
        <v>182.88</v>
      </c>
      <c r="I16" s="14">
        <v>0</v>
      </c>
      <c r="J16" s="36">
        <v>12.635999999999999</v>
      </c>
      <c r="K16" s="37">
        <v>119.88</v>
      </c>
      <c r="L16" s="32">
        <v>4.032</v>
      </c>
    </row>
    <row r="17" spans="2:16" ht="27.75" customHeight="1" thickBot="1" x14ac:dyDescent="0.35">
      <c r="B17" s="33" t="s">
        <v>13</v>
      </c>
      <c r="C17" s="12" t="s">
        <v>42</v>
      </c>
      <c r="D17" s="34">
        <v>200</v>
      </c>
      <c r="E17" s="4">
        <v>0</v>
      </c>
      <c r="F17" s="4">
        <v>0</v>
      </c>
      <c r="G17" s="4">
        <v>6.9860000000000007</v>
      </c>
      <c r="H17" s="4">
        <v>27.93</v>
      </c>
      <c r="I17" s="14">
        <v>0.05</v>
      </c>
      <c r="J17" s="36">
        <v>2.69</v>
      </c>
      <c r="K17" s="37">
        <v>2.2000000000000002</v>
      </c>
      <c r="L17" s="32">
        <v>0.43</v>
      </c>
    </row>
    <row r="18" spans="2:16" ht="28.5" customHeight="1" thickBot="1" x14ac:dyDescent="0.35">
      <c r="B18" s="7" t="s">
        <v>14</v>
      </c>
      <c r="C18" s="8" t="s">
        <v>40</v>
      </c>
      <c r="D18" s="9">
        <v>60</v>
      </c>
      <c r="E18" s="10">
        <v>4.5599999999999996</v>
      </c>
      <c r="F18" s="10">
        <v>0.47999999999999993</v>
      </c>
      <c r="G18" s="10">
        <v>29.479999999999997</v>
      </c>
      <c r="H18" s="10">
        <v>141</v>
      </c>
      <c r="I18" s="10">
        <v>0</v>
      </c>
      <c r="J18" s="10">
        <v>13.8</v>
      </c>
      <c r="K18" s="11">
        <v>19.8</v>
      </c>
      <c r="L18" s="5">
        <v>1.1466666666666667</v>
      </c>
    </row>
    <row r="19" spans="2:16" ht="30" customHeight="1" thickBot="1" x14ac:dyDescent="0.35">
      <c r="B19" s="7" t="s">
        <v>16</v>
      </c>
      <c r="C19" s="26" t="s">
        <v>41</v>
      </c>
      <c r="D19" s="13">
        <v>40</v>
      </c>
      <c r="E19" s="14">
        <v>2.64</v>
      </c>
      <c r="F19" s="14">
        <v>4.8</v>
      </c>
      <c r="G19" s="14">
        <v>13.36</v>
      </c>
      <c r="H19" s="14">
        <v>69.599999999999994</v>
      </c>
      <c r="I19" s="5">
        <v>0</v>
      </c>
      <c r="J19" s="14">
        <v>13.2</v>
      </c>
      <c r="K19" s="16">
        <v>22.8</v>
      </c>
      <c r="L19" s="5">
        <v>1.8079999999999998</v>
      </c>
      <c r="P19" s="98"/>
    </row>
    <row r="20" spans="2:16" ht="33.75" customHeight="1" thickBot="1" x14ac:dyDescent="0.35">
      <c r="B20" s="38"/>
      <c r="C20" s="62" t="s">
        <v>2</v>
      </c>
      <c r="D20" s="63">
        <f>D19+D18+D17+D16+D15+D14+D13</f>
        <v>930</v>
      </c>
      <c r="E20" s="136">
        <f t="shared" ref="E20:L20" si="1">E19+E18+E17+E16+E15+E14+E13</f>
        <v>26.192500000000003</v>
      </c>
      <c r="F20" s="136">
        <f t="shared" si="1"/>
        <v>30.820499999999996</v>
      </c>
      <c r="G20" s="136">
        <f t="shared" si="1"/>
        <v>107.71849999999999</v>
      </c>
      <c r="H20" s="136">
        <f t="shared" si="1"/>
        <v>784.29333333333329</v>
      </c>
      <c r="I20" s="136">
        <f t="shared" si="1"/>
        <v>28.656666666666666</v>
      </c>
      <c r="J20" s="136">
        <f t="shared" si="1"/>
        <v>177.32933333333335</v>
      </c>
      <c r="K20" s="136">
        <f t="shared" si="1"/>
        <v>237.42166666666668</v>
      </c>
      <c r="L20" s="136">
        <f t="shared" si="1"/>
        <v>10.158333333333331</v>
      </c>
    </row>
    <row r="21" spans="2:16" ht="34.9" customHeight="1" thickBot="1" x14ac:dyDescent="0.35">
      <c r="B21" s="113"/>
      <c r="C21" s="114" t="s">
        <v>3</v>
      </c>
      <c r="D21" s="115">
        <f t="shared" ref="D21:L21" si="2">D20+D11</f>
        <v>1430</v>
      </c>
      <c r="E21" s="116">
        <f t="shared" si="2"/>
        <v>41.434852941176473</v>
      </c>
      <c r="F21" s="116">
        <f t="shared" si="2"/>
        <v>45.705205882352935</v>
      </c>
      <c r="G21" s="116">
        <f t="shared" si="2"/>
        <v>189.14606862745097</v>
      </c>
      <c r="H21" s="116">
        <f t="shared" si="2"/>
        <v>1300.4233333333332</v>
      </c>
      <c r="I21" s="116">
        <f t="shared" si="2"/>
        <v>38.866666666666667</v>
      </c>
      <c r="J21" s="116">
        <f t="shared" si="2"/>
        <v>335.71345098039217</v>
      </c>
      <c r="K21" s="116">
        <f t="shared" si="2"/>
        <v>285.16284313725492</v>
      </c>
      <c r="L21" s="59">
        <f t="shared" si="2"/>
        <v>14.949901960784311</v>
      </c>
    </row>
    <row r="22" spans="2:16" ht="30.75" customHeight="1" thickBot="1" x14ac:dyDescent="0.35">
      <c r="B22" s="137" t="s">
        <v>5</v>
      </c>
      <c r="C22" s="39"/>
      <c r="D22" s="39"/>
      <c r="E22" s="39"/>
      <c r="F22" s="39"/>
      <c r="G22" s="39"/>
      <c r="H22" s="39"/>
      <c r="I22" s="39"/>
      <c r="J22" s="39"/>
      <c r="K22" s="39"/>
      <c r="L22" s="40"/>
    </row>
    <row r="23" spans="2:16" ht="27.75" customHeight="1" thickBot="1" x14ac:dyDescent="0.35">
      <c r="B23" s="145" t="s">
        <v>4</v>
      </c>
      <c r="C23" s="147" t="s">
        <v>0</v>
      </c>
      <c r="D23" s="147" t="s">
        <v>30</v>
      </c>
      <c r="E23" s="149" t="s">
        <v>12</v>
      </c>
      <c r="F23" s="150"/>
      <c r="G23" s="150"/>
      <c r="H23" s="151"/>
      <c r="I23" s="152" t="s">
        <v>35</v>
      </c>
      <c r="J23" s="143" t="s">
        <v>36</v>
      </c>
      <c r="K23" s="143" t="s">
        <v>37</v>
      </c>
      <c r="L23" s="143" t="s">
        <v>38</v>
      </c>
    </row>
    <row r="24" spans="2:16" ht="57" customHeight="1" thickBot="1" x14ac:dyDescent="0.35">
      <c r="B24" s="146"/>
      <c r="C24" s="148"/>
      <c r="D24" s="148"/>
      <c r="E24" s="21" t="s">
        <v>31</v>
      </c>
      <c r="F24" s="21" t="s">
        <v>32</v>
      </c>
      <c r="G24" s="21" t="s">
        <v>33</v>
      </c>
      <c r="H24" s="21" t="s">
        <v>34</v>
      </c>
      <c r="I24" s="153"/>
      <c r="J24" s="144"/>
      <c r="K24" s="144"/>
      <c r="L24" s="144"/>
    </row>
    <row r="25" spans="2:16" ht="28.5" customHeight="1" thickBot="1" x14ac:dyDescent="0.35">
      <c r="B25" s="27" t="s">
        <v>26</v>
      </c>
      <c r="C25" s="28"/>
      <c r="D25" s="28"/>
      <c r="E25" s="28"/>
      <c r="F25" s="28"/>
      <c r="G25" s="28"/>
      <c r="H25" s="28"/>
      <c r="I25" s="28"/>
      <c r="J25" s="28"/>
      <c r="K25" s="28"/>
      <c r="L25" s="30"/>
    </row>
    <row r="26" spans="2:16" ht="33.75" customHeight="1" thickBot="1" x14ac:dyDescent="0.35">
      <c r="B26" s="7" t="s">
        <v>55</v>
      </c>
      <c r="C26" s="12" t="s">
        <v>59</v>
      </c>
      <c r="D26" s="34">
        <v>100</v>
      </c>
      <c r="E26" s="4">
        <v>0.7</v>
      </c>
      <c r="F26" s="4">
        <v>0.1</v>
      </c>
      <c r="G26" s="4">
        <v>1.8999999999999997</v>
      </c>
      <c r="H26" s="4">
        <v>11</v>
      </c>
      <c r="I26" s="4">
        <v>10</v>
      </c>
      <c r="J26" s="4">
        <v>23</v>
      </c>
      <c r="K26" s="14">
        <v>14</v>
      </c>
      <c r="L26" s="14">
        <v>0.9</v>
      </c>
    </row>
    <row r="27" spans="2:16" ht="31.5" customHeight="1" thickBot="1" x14ac:dyDescent="0.35">
      <c r="B27" s="33" t="s">
        <v>28</v>
      </c>
      <c r="C27" s="12" t="s">
        <v>39</v>
      </c>
      <c r="D27" s="34">
        <v>200</v>
      </c>
      <c r="E27" s="4">
        <v>16.66</v>
      </c>
      <c r="F27" s="4">
        <v>19.733333333333334</v>
      </c>
      <c r="G27" s="4">
        <v>48.986666666666665</v>
      </c>
      <c r="H27" s="4">
        <v>417.06666666666666</v>
      </c>
      <c r="I27" s="4">
        <v>9.3333333333333351E-2</v>
      </c>
      <c r="J27" s="4">
        <v>286.66666666666669</v>
      </c>
      <c r="K27" s="14">
        <v>20.906666666666666</v>
      </c>
      <c r="L27" s="14">
        <v>1.3733333333333333</v>
      </c>
    </row>
    <row r="28" spans="2:16" ht="30.75" customHeight="1" thickBot="1" x14ac:dyDescent="0.35">
      <c r="B28" s="7" t="s">
        <v>14</v>
      </c>
      <c r="C28" s="12" t="s">
        <v>40</v>
      </c>
      <c r="D28" s="34">
        <v>40</v>
      </c>
      <c r="E28" s="4">
        <v>3.04</v>
      </c>
      <c r="F28" s="4">
        <v>0.31999999999999995</v>
      </c>
      <c r="G28" s="4">
        <v>19.653333333333332</v>
      </c>
      <c r="H28" s="4">
        <v>94</v>
      </c>
      <c r="I28" s="4">
        <v>0</v>
      </c>
      <c r="J28" s="4">
        <v>9.1999999999999993</v>
      </c>
      <c r="K28" s="5">
        <v>13.2</v>
      </c>
      <c r="L28" s="5">
        <v>0.85333333333333328</v>
      </c>
    </row>
    <row r="29" spans="2:16" ht="30.75" customHeight="1" thickBot="1" x14ac:dyDescent="0.35">
      <c r="B29" s="7" t="s">
        <v>17</v>
      </c>
      <c r="C29" s="12" t="s">
        <v>52</v>
      </c>
      <c r="D29" s="34">
        <v>100</v>
      </c>
      <c r="E29" s="4">
        <v>0.4</v>
      </c>
      <c r="F29" s="4">
        <v>0.4</v>
      </c>
      <c r="G29" s="4">
        <v>9.8000000000000007</v>
      </c>
      <c r="H29" s="4">
        <v>47</v>
      </c>
      <c r="I29" s="4">
        <v>10</v>
      </c>
      <c r="J29" s="4">
        <v>16</v>
      </c>
      <c r="K29" s="5">
        <v>9</v>
      </c>
      <c r="L29" s="5">
        <v>2.2000000000000002</v>
      </c>
    </row>
    <row r="30" spans="2:16" ht="31.5" customHeight="1" thickBot="1" x14ac:dyDescent="0.35">
      <c r="B30" s="7" t="s">
        <v>13</v>
      </c>
      <c r="C30" s="17" t="s">
        <v>42</v>
      </c>
      <c r="D30" s="9">
        <v>200</v>
      </c>
      <c r="E30" s="10">
        <v>0</v>
      </c>
      <c r="F30" s="10">
        <v>0</v>
      </c>
      <c r="G30" s="10">
        <v>6.9860000000000007</v>
      </c>
      <c r="H30" s="10">
        <v>27.93</v>
      </c>
      <c r="I30" s="10">
        <v>0.05</v>
      </c>
      <c r="J30" s="10">
        <v>2.69</v>
      </c>
      <c r="K30" s="11">
        <v>2.2000000000000002</v>
      </c>
      <c r="L30" s="5">
        <v>0.43</v>
      </c>
    </row>
    <row r="31" spans="2:16" ht="31.5" customHeight="1" thickBot="1" x14ac:dyDescent="0.35">
      <c r="B31" s="117"/>
      <c r="C31" s="62" t="s">
        <v>27</v>
      </c>
      <c r="D31" s="63">
        <f t="shared" ref="D31:L31" si="3">SUM(D26:D30)</f>
        <v>640</v>
      </c>
      <c r="E31" s="136">
        <f t="shared" si="3"/>
        <v>20.799999999999997</v>
      </c>
      <c r="F31" s="136">
        <f t="shared" si="3"/>
        <v>20.553333333333335</v>
      </c>
      <c r="G31" s="136">
        <f t="shared" si="3"/>
        <v>87.325999999999993</v>
      </c>
      <c r="H31" s="136">
        <f t="shared" si="3"/>
        <v>596.99666666666656</v>
      </c>
      <c r="I31" s="136">
        <f t="shared" si="3"/>
        <v>20.143333333333334</v>
      </c>
      <c r="J31" s="136">
        <f t="shared" si="3"/>
        <v>337.55666666666667</v>
      </c>
      <c r="K31" s="136">
        <f t="shared" si="3"/>
        <v>59.306666666666672</v>
      </c>
      <c r="L31" s="136">
        <f t="shared" si="3"/>
        <v>5.7566666666666668</v>
      </c>
    </row>
    <row r="32" spans="2:16" ht="27.75" customHeight="1" thickBot="1" x14ac:dyDescent="0.35">
      <c r="B32" s="27" t="s">
        <v>1</v>
      </c>
      <c r="C32" s="28"/>
      <c r="D32" s="29"/>
      <c r="E32" s="28"/>
      <c r="F32" s="28"/>
      <c r="G32" s="28"/>
      <c r="H32" s="28"/>
      <c r="I32" s="28"/>
      <c r="J32" s="28"/>
      <c r="K32" s="28"/>
      <c r="L32" s="30"/>
    </row>
    <row r="33" spans="2:12" ht="30.75" customHeight="1" thickBot="1" x14ac:dyDescent="0.35">
      <c r="B33" s="42" t="s">
        <v>55</v>
      </c>
      <c r="C33" s="43" t="s">
        <v>59</v>
      </c>
      <c r="D33" s="34">
        <v>100</v>
      </c>
      <c r="E33" s="31">
        <v>0.7</v>
      </c>
      <c r="F33" s="31">
        <v>0.1</v>
      </c>
      <c r="G33" s="31">
        <v>1.8999999999999997</v>
      </c>
      <c r="H33" s="31">
        <v>11</v>
      </c>
      <c r="I33" s="14">
        <v>10</v>
      </c>
      <c r="J33" s="44">
        <v>23</v>
      </c>
      <c r="K33" s="37">
        <v>14</v>
      </c>
      <c r="L33" s="14">
        <v>0.9</v>
      </c>
    </row>
    <row r="34" spans="2:12" ht="28.5" customHeight="1" thickBot="1" x14ac:dyDescent="0.35">
      <c r="B34" s="45" t="s">
        <v>15</v>
      </c>
      <c r="C34" s="12" t="s">
        <v>75</v>
      </c>
      <c r="D34" s="34">
        <v>250</v>
      </c>
      <c r="E34" s="4">
        <v>5.87</v>
      </c>
      <c r="F34" s="4">
        <v>5.55</v>
      </c>
      <c r="G34" s="4">
        <v>19.27</v>
      </c>
      <c r="H34" s="4">
        <v>150.85</v>
      </c>
      <c r="I34" s="14">
        <v>11.5</v>
      </c>
      <c r="J34" s="36">
        <v>61.25</v>
      </c>
      <c r="K34" s="11">
        <v>38.26</v>
      </c>
      <c r="L34" s="5">
        <v>2.5</v>
      </c>
    </row>
    <row r="35" spans="2:12" ht="30" customHeight="1" thickBot="1" x14ac:dyDescent="0.35">
      <c r="B35" s="7" t="s">
        <v>77</v>
      </c>
      <c r="C35" s="12" t="s">
        <v>76</v>
      </c>
      <c r="D35" s="34">
        <v>250</v>
      </c>
      <c r="E35" s="4">
        <f>14.35*250/200</f>
        <v>17.9375</v>
      </c>
      <c r="F35" s="4">
        <f>13.39*250/200</f>
        <v>16.737500000000001</v>
      </c>
      <c r="G35" s="4">
        <f>20.26*250/200</f>
        <v>25.324999999999999</v>
      </c>
      <c r="H35" s="5">
        <f>248*250/200</f>
        <v>310</v>
      </c>
      <c r="I35" s="5">
        <f>12.94*250/200</f>
        <v>16.175000000000001</v>
      </c>
      <c r="J35" s="46">
        <f>42.05*250/200</f>
        <v>52.5625</v>
      </c>
      <c r="K35" s="16">
        <f>44.22*250/200</f>
        <v>55.274999999999999</v>
      </c>
      <c r="L35" s="5">
        <f>2.19*250/200</f>
        <v>2.7374999999999998</v>
      </c>
    </row>
    <row r="36" spans="2:12" ht="33" customHeight="1" thickBot="1" x14ac:dyDescent="0.35">
      <c r="B36" s="33" t="s">
        <v>14</v>
      </c>
      <c r="C36" s="12" t="s">
        <v>40</v>
      </c>
      <c r="D36" s="34">
        <v>60</v>
      </c>
      <c r="E36" s="4">
        <v>4.5599999999999996</v>
      </c>
      <c r="F36" s="4">
        <v>0.47999999999999993</v>
      </c>
      <c r="G36" s="4">
        <v>29.479999999999997</v>
      </c>
      <c r="H36" s="4">
        <v>141</v>
      </c>
      <c r="I36" s="16">
        <v>0</v>
      </c>
      <c r="J36" s="24">
        <v>13.8</v>
      </c>
      <c r="K36" s="16">
        <v>19.8</v>
      </c>
      <c r="L36" s="16">
        <v>1.1466666666666667</v>
      </c>
    </row>
    <row r="37" spans="2:12" ht="33" customHeight="1" thickBot="1" x14ac:dyDescent="0.35">
      <c r="B37" s="7" t="s">
        <v>16</v>
      </c>
      <c r="C37" s="26" t="s">
        <v>41</v>
      </c>
      <c r="D37" s="13">
        <v>40</v>
      </c>
      <c r="E37" s="14">
        <v>2.64</v>
      </c>
      <c r="F37" s="14">
        <v>4.8</v>
      </c>
      <c r="G37" s="14">
        <v>13.36</v>
      </c>
      <c r="H37" s="4">
        <v>69.599999999999994</v>
      </c>
      <c r="I37" s="5">
        <v>0</v>
      </c>
      <c r="J37" s="15">
        <v>13.2</v>
      </c>
      <c r="K37" s="16">
        <v>22.8</v>
      </c>
      <c r="L37" s="5">
        <v>1.8079999999999998</v>
      </c>
    </row>
    <row r="38" spans="2:12" ht="32.25" customHeight="1" thickBot="1" x14ac:dyDescent="0.35">
      <c r="B38" s="7" t="s">
        <v>47</v>
      </c>
      <c r="C38" s="26" t="s">
        <v>48</v>
      </c>
      <c r="D38" s="13">
        <v>180</v>
      </c>
      <c r="E38" s="14">
        <v>0.9</v>
      </c>
      <c r="F38" s="14">
        <v>0.18</v>
      </c>
      <c r="G38" s="14">
        <v>18.18</v>
      </c>
      <c r="H38" s="4">
        <v>82.8</v>
      </c>
      <c r="I38" s="5">
        <v>3.6</v>
      </c>
      <c r="J38" s="15">
        <v>12.6</v>
      </c>
      <c r="K38" s="16">
        <v>7.2</v>
      </c>
      <c r="L38" s="5">
        <v>2.52</v>
      </c>
    </row>
    <row r="39" spans="2:12" ht="33" customHeight="1" thickBot="1" x14ac:dyDescent="0.35">
      <c r="B39" s="35"/>
      <c r="C39" s="95" t="s">
        <v>2</v>
      </c>
      <c r="D39" s="96">
        <f t="shared" ref="D39:L39" si="4">SUM(D33:D38)</f>
        <v>880</v>
      </c>
      <c r="E39" s="110">
        <f t="shared" si="4"/>
        <v>32.607500000000002</v>
      </c>
      <c r="F39" s="110">
        <f t="shared" si="4"/>
        <v>27.8475</v>
      </c>
      <c r="G39" s="110">
        <f t="shared" si="4"/>
        <v>107.51499999999999</v>
      </c>
      <c r="H39" s="110">
        <f t="shared" si="4"/>
        <v>765.25</v>
      </c>
      <c r="I39" s="110">
        <f t="shared" si="4"/>
        <v>41.274999999999999</v>
      </c>
      <c r="J39" s="110">
        <f t="shared" si="4"/>
        <v>176.41249999999999</v>
      </c>
      <c r="K39" s="110">
        <f t="shared" si="4"/>
        <v>157.33499999999998</v>
      </c>
      <c r="L39" s="110">
        <f t="shared" si="4"/>
        <v>11.612166666666665</v>
      </c>
    </row>
    <row r="40" spans="2:12" ht="34.5" customHeight="1" thickBot="1" x14ac:dyDescent="0.35">
      <c r="B40" s="7"/>
      <c r="C40" s="62" t="s">
        <v>3</v>
      </c>
      <c r="D40" s="63">
        <f t="shared" ref="D40:L40" si="5">D39+D31</f>
        <v>1520</v>
      </c>
      <c r="E40" s="64">
        <f t="shared" si="5"/>
        <v>53.407499999999999</v>
      </c>
      <c r="F40" s="64">
        <f t="shared" si="5"/>
        <v>48.400833333333338</v>
      </c>
      <c r="G40" s="64">
        <f t="shared" si="5"/>
        <v>194.84099999999998</v>
      </c>
      <c r="H40" s="64">
        <f t="shared" si="5"/>
        <v>1362.2466666666664</v>
      </c>
      <c r="I40" s="64">
        <f t="shared" si="5"/>
        <v>61.418333333333337</v>
      </c>
      <c r="J40" s="64">
        <f t="shared" si="5"/>
        <v>513.96916666666664</v>
      </c>
      <c r="K40" s="64">
        <f t="shared" si="5"/>
        <v>216.64166666666665</v>
      </c>
      <c r="L40" s="59">
        <f t="shared" si="5"/>
        <v>17.368833333333331</v>
      </c>
    </row>
    <row r="41" spans="2:12" ht="37.5" customHeight="1" thickBot="1" x14ac:dyDescent="0.35">
      <c r="B41" s="137" t="s">
        <v>7</v>
      </c>
      <c r="C41" s="39"/>
      <c r="D41" s="39"/>
      <c r="E41" s="39"/>
      <c r="F41" s="39"/>
      <c r="G41" s="39"/>
      <c r="H41" s="39"/>
      <c r="I41" s="39"/>
      <c r="J41" s="39"/>
      <c r="K41" s="39"/>
      <c r="L41" s="40"/>
    </row>
    <row r="42" spans="2:12" ht="27" customHeight="1" thickBot="1" x14ac:dyDescent="0.35">
      <c r="B42" s="145" t="s">
        <v>4</v>
      </c>
      <c r="C42" s="147" t="s">
        <v>0</v>
      </c>
      <c r="D42" s="147" t="s">
        <v>30</v>
      </c>
      <c r="E42" s="149" t="s">
        <v>12</v>
      </c>
      <c r="F42" s="150"/>
      <c r="G42" s="150"/>
      <c r="H42" s="151"/>
      <c r="I42" s="152" t="s">
        <v>35</v>
      </c>
      <c r="J42" s="143" t="s">
        <v>36</v>
      </c>
      <c r="K42" s="143" t="s">
        <v>37</v>
      </c>
      <c r="L42" s="143" t="s">
        <v>38</v>
      </c>
    </row>
    <row r="43" spans="2:12" ht="63.75" customHeight="1" thickBot="1" x14ac:dyDescent="0.35">
      <c r="B43" s="146"/>
      <c r="C43" s="148"/>
      <c r="D43" s="148"/>
      <c r="E43" s="21" t="s">
        <v>31</v>
      </c>
      <c r="F43" s="21" t="s">
        <v>32</v>
      </c>
      <c r="G43" s="21" t="s">
        <v>33</v>
      </c>
      <c r="H43" s="21" t="s">
        <v>34</v>
      </c>
      <c r="I43" s="153"/>
      <c r="J43" s="144"/>
      <c r="K43" s="144"/>
      <c r="L43" s="144"/>
    </row>
    <row r="44" spans="2:12" ht="27" customHeight="1" thickBot="1" x14ac:dyDescent="0.35">
      <c r="B44" s="27" t="s">
        <v>26</v>
      </c>
      <c r="C44" s="28"/>
      <c r="D44" s="28"/>
      <c r="E44" s="28"/>
      <c r="F44" s="28"/>
      <c r="G44" s="28"/>
      <c r="H44" s="28"/>
      <c r="I44" s="28"/>
      <c r="J44" s="28"/>
      <c r="K44" s="28"/>
      <c r="L44" s="30"/>
    </row>
    <row r="45" spans="2:12" ht="30" customHeight="1" thickBot="1" x14ac:dyDescent="0.35">
      <c r="B45" s="1" t="s">
        <v>55</v>
      </c>
      <c r="C45" s="12" t="s">
        <v>59</v>
      </c>
      <c r="D45" s="34">
        <v>100</v>
      </c>
      <c r="E45" s="31">
        <v>0.7</v>
      </c>
      <c r="F45" s="31">
        <v>0.1</v>
      </c>
      <c r="G45" s="31">
        <v>1.8999999999999997</v>
      </c>
      <c r="H45" s="31">
        <v>11</v>
      </c>
      <c r="I45" s="14">
        <v>10</v>
      </c>
      <c r="J45" s="44">
        <v>23</v>
      </c>
      <c r="K45" s="16">
        <v>14</v>
      </c>
      <c r="L45" s="5">
        <v>0.9</v>
      </c>
    </row>
    <row r="46" spans="2:12" ht="29.25" customHeight="1" thickBot="1" x14ac:dyDescent="0.35">
      <c r="B46" s="7" t="s">
        <v>81</v>
      </c>
      <c r="C46" s="8" t="s">
        <v>79</v>
      </c>
      <c r="D46" s="9">
        <v>250</v>
      </c>
      <c r="E46" s="10">
        <f>24.8*250/200</f>
        <v>31</v>
      </c>
      <c r="F46" s="10">
        <f>16.32*250/200</f>
        <v>20.399999999999999</v>
      </c>
      <c r="G46" s="10">
        <f>17.6*250/200</f>
        <v>22</v>
      </c>
      <c r="H46" s="10">
        <f>268.98*250/200</f>
        <v>336.22500000000002</v>
      </c>
      <c r="I46" s="10">
        <f>10.3*250/200</f>
        <v>12.875</v>
      </c>
      <c r="J46" s="10">
        <f>25*250/200</f>
        <v>31.25</v>
      </c>
      <c r="K46" s="11">
        <f>101*250/200</f>
        <v>126.25</v>
      </c>
      <c r="L46" s="5">
        <f>2.29*250/200</f>
        <v>2.8624999999999998</v>
      </c>
    </row>
    <row r="47" spans="2:12" ht="30.75" customHeight="1" thickBot="1" x14ac:dyDescent="0.35">
      <c r="B47" s="7" t="s">
        <v>14</v>
      </c>
      <c r="C47" s="26" t="s">
        <v>40</v>
      </c>
      <c r="D47" s="13">
        <v>40</v>
      </c>
      <c r="E47" s="14">
        <v>3.04</v>
      </c>
      <c r="F47" s="14">
        <v>0.32</v>
      </c>
      <c r="G47" s="14">
        <v>19.68</v>
      </c>
      <c r="H47" s="4">
        <v>94</v>
      </c>
      <c r="I47" s="5">
        <v>0</v>
      </c>
      <c r="J47" s="15">
        <v>9.1999999999999993</v>
      </c>
      <c r="K47" s="16">
        <v>13.2</v>
      </c>
      <c r="L47" s="5">
        <v>0.76</v>
      </c>
    </row>
    <row r="48" spans="2:12" ht="30" customHeight="1" thickBot="1" x14ac:dyDescent="0.35">
      <c r="B48" s="7" t="s">
        <v>16</v>
      </c>
      <c r="C48" s="26" t="s">
        <v>41</v>
      </c>
      <c r="D48" s="34">
        <v>30</v>
      </c>
      <c r="E48" s="4">
        <v>1.98</v>
      </c>
      <c r="F48" s="4">
        <v>0.36</v>
      </c>
      <c r="G48" s="4">
        <v>10.02</v>
      </c>
      <c r="H48" s="4">
        <v>52.2</v>
      </c>
      <c r="I48" s="5">
        <v>0</v>
      </c>
      <c r="J48" s="15">
        <v>9.9</v>
      </c>
      <c r="K48" s="11">
        <v>17.100000000000001</v>
      </c>
      <c r="L48" s="5">
        <v>1.35</v>
      </c>
    </row>
    <row r="49" spans="2:12" ht="27.75" customHeight="1" thickBot="1" x14ac:dyDescent="0.35">
      <c r="B49" s="33" t="s">
        <v>47</v>
      </c>
      <c r="C49" s="12" t="s">
        <v>48</v>
      </c>
      <c r="D49" s="34">
        <v>200</v>
      </c>
      <c r="E49" s="4">
        <v>1</v>
      </c>
      <c r="F49" s="4">
        <v>0.2</v>
      </c>
      <c r="G49" s="4">
        <v>20.2</v>
      </c>
      <c r="H49" s="4">
        <v>92</v>
      </c>
      <c r="I49" s="16">
        <v>4</v>
      </c>
      <c r="J49" s="24">
        <v>14</v>
      </c>
      <c r="K49" s="16">
        <v>8</v>
      </c>
      <c r="L49" s="16">
        <v>2.8</v>
      </c>
    </row>
    <row r="50" spans="2:12" ht="31.5" customHeight="1" thickBot="1" x14ac:dyDescent="0.35">
      <c r="B50" s="118"/>
      <c r="C50" s="119" t="s">
        <v>27</v>
      </c>
      <c r="D50" s="120">
        <f t="shared" ref="D50:L50" si="6">SUM(D45:D49)</f>
        <v>620</v>
      </c>
      <c r="E50" s="59">
        <f t="shared" si="6"/>
        <v>37.72</v>
      </c>
      <c r="F50" s="59">
        <f t="shared" si="6"/>
        <v>21.38</v>
      </c>
      <c r="G50" s="59">
        <f t="shared" si="6"/>
        <v>73.8</v>
      </c>
      <c r="H50" s="59">
        <f t="shared" si="6"/>
        <v>585.42499999999995</v>
      </c>
      <c r="I50" s="59">
        <f t="shared" si="6"/>
        <v>26.875</v>
      </c>
      <c r="J50" s="59">
        <f t="shared" si="6"/>
        <v>87.350000000000009</v>
      </c>
      <c r="K50" s="59">
        <f t="shared" si="6"/>
        <v>178.54999999999998</v>
      </c>
      <c r="L50" s="59">
        <f t="shared" si="6"/>
        <v>8.6724999999999994</v>
      </c>
    </row>
    <row r="51" spans="2:12" ht="30" customHeight="1" thickBot="1" x14ac:dyDescent="0.35">
      <c r="B51" s="27" t="s">
        <v>1</v>
      </c>
      <c r="C51" s="28"/>
      <c r="D51" s="29"/>
      <c r="E51" s="28"/>
      <c r="F51" s="28"/>
      <c r="G51" s="28"/>
      <c r="H51" s="28"/>
      <c r="I51" s="28"/>
      <c r="J51" s="28"/>
      <c r="K51" s="28"/>
      <c r="L51" s="30"/>
    </row>
    <row r="52" spans="2:12" ht="29.25" customHeight="1" thickBot="1" x14ac:dyDescent="0.35">
      <c r="B52" s="33" t="s">
        <v>55</v>
      </c>
      <c r="C52" s="12" t="s">
        <v>59</v>
      </c>
      <c r="D52" s="34">
        <v>100</v>
      </c>
      <c r="E52" s="4">
        <v>0.7</v>
      </c>
      <c r="F52" s="4">
        <v>0.1</v>
      </c>
      <c r="G52" s="4">
        <v>1.8999999999999997</v>
      </c>
      <c r="H52" s="4">
        <v>11</v>
      </c>
      <c r="I52" s="14">
        <v>10</v>
      </c>
      <c r="J52" s="36">
        <v>23</v>
      </c>
      <c r="K52" s="16">
        <v>14</v>
      </c>
      <c r="L52" s="5">
        <v>0.9</v>
      </c>
    </row>
    <row r="53" spans="2:12" ht="29.25" customHeight="1" thickBot="1" x14ac:dyDescent="0.35">
      <c r="B53" s="33" t="s">
        <v>68</v>
      </c>
      <c r="C53" s="12" t="s">
        <v>78</v>
      </c>
      <c r="D53" s="34">
        <v>250</v>
      </c>
      <c r="E53" s="4">
        <f>1.53*250/200</f>
        <v>1.9125000000000001</v>
      </c>
      <c r="F53" s="4">
        <f>3.9*250/200</f>
        <v>4.875</v>
      </c>
      <c r="G53" s="4">
        <f>6.67*250/200</f>
        <v>8.3375000000000004</v>
      </c>
      <c r="H53" s="10">
        <f>118.96*250/200</f>
        <v>148.69999999999999</v>
      </c>
      <c r="I53" s="16">
        <f>23.64*250/200</f>
        <v>29.55</v>
      </c>
      <c r="J53" s="24">
        <f>42.83*250/200</f>
        <v>53.537500000000001</v>
      </c>
      <c r="K53" s="16">
        <f>16.77*250/200</f>
        <v>20.962499999999999</v>
      </c>
      <c r="L53" s="16">
        <f>0.59*250/200</f>
        <v>0.73750000000000004</v>
      </c>
    </row>
    <row r="54" spans="2:12" ht="28.5" customHeight="1" thickBot="1" x14ac:dyDescent="0.35">
      <c r="B54" s="35" t="s">
        <v>67</v>
      </c>
      <c r="C54" s="26" t="s">
        <v>80</v>
      </c>
      <c r="D54" s="13">
        <v>250</v>
      </c>
      <c r="E54" s="14">
        <v>21.175000000000001</v>
      </c>
      <c r="F54" s="14">
        <v>13.074999999999999</v>
      </c>
      <c r="G54" s="14">
        <v>32.162500000000001</v>
      </c>
      <c r="H54" s="5">
        <v>381.66250000000002</v>
      </c>
      <c r="I54" s="5">
        <v>7.5250000000000004</v>
      </c>
      <c r="J54" s="15">
        <v>57.8125</v>
      </c>
      <c r="K54" s="16">
        <v>67.55</v>
      </c>
      <c r="L54" s="5">
        <v>2.4624999999999999</v>
      </c>
    </row>
    <row r="55" spans="2:12" ht="28.5" customHeight="1" thickBot="1" x14ac:dyDescent="0.35">
      <c r="B55" s="7" t="s">
        <v>14</v>
      </c>
      <c r="C55" s="26" t="s">
        <v>40</v>
      </c>
      <c r="D55" s="13">
        <v>60</v>
      </c>
      <c r="E55" s="14">
        <v>4.5599999999999996</v>
      </c>
      <c r="F55" s="14">
        <v>0.47999999999999993</v>
      </c>
      <c r="G55" s="14">
        <v>29.479999999999997</v>
      </c>
      <c r="H55" s="4">
        <v>141</v>
      </c>
      <c r="I55" s="5">
        <v>0</v>
      </c>
      <c r="J55" s="15">
        <v>13.8</v>
      </c>
      <c r="K55" s="16">
        <v>19.8</v>
      </c>
      <c r="L55" s="5">
        <v>1.1466666666666667</v>
      </c>
    </row>
    <row r="56" spans="2:12" ht="27.75" customHeight="1" thickBot="1" x14ac:dyDescent="0.35">
      <c r="B56" s="7" t="s">
        <v>16</v>
      </c>
      <c r="C56" s="26" t="s">
        <v>41</v>
      </c>
      <c r="D56" s="34">
        <v>40</v>
      </c>
      <c r="E56" s="4">
        <v>2.64</v>
      </c>
      <c r="F56" s="4">
        <v>4.8</v>
      </c>
      <c r="G56" s="4">
        <v>13.36</v>
      </c>
      <c r="H56" s="4">
        <v>69.599999999999994</v>
      </c>
      <c r="I56" s="5">
        <v>0</v>
      </c>
      <c r="J56" s="36">
        <v>13.2</v>
      </c>
      <c r="K56" s="37">
        <v>22.8</v>
      </c>
      <c r="L56" s="5">
        <v>1.8079999999999998</v>
      </c>
    </row>
    <row r="57" spans="2:12" ht="30" customHeight="1" thickBot="1" x14ac:dyDescent="0.35">
      <c r="B57" s="7" t="s">
        <v>13</v>
      </c>
      <c r="C57" s="17" t="s">
        <v>42</v>
      </c>
      <c r="D57" s="9">
        <v>200</v>
      </c>
      <c r="E57" s="10">
        <v>0</v>
      </c>
      <c r="F57" s="10">
        <v>0</v>
      </c>
      <c r="G57" s="10">
        <v>6.9860000000000007</v>
      </c>
      <c r="H57" s="10">
        <v>27.93</v>
      </c>
      <c r="I57" s="10">
        <v>0.05</v>
      </c>
      <c r="J57" s="10">
        <v>2.69</v>
      </c>
      <c r="K57" s="11">
        <v>2.2000000000000002</v>
      </c>
      <c r="L57" s="5">
        <v>0.43</v>
      </c>
    </row>
    <row r="58" spans="2:12" ht="34.5" customHeight="1" thickBot="1" x14ac:dyDescent="0.35">
      <c r="B58" s="67"/>
      <c r="C58" s="56" t="s">
        <v>2</v>
      </c>
      <c r="D58" s="57">
        <f t="shared" ref="D58:L58" si="7">SUM(D52:D57)</f>
        <v>900</v>
      </c>
      <c r="E58" s="139">
        <f t="shared" si="7"/>
        <v>30.987500000000001</v>
      </c>
      <c r="F58" s="139">
        <f t="shared" si="7"/>
        <v>23.33</v>
      </c>
      <c r="G58" s="139">
        <f t="shared" si="7"/>
        <v>92.225999999999999</v>
      </c>
      <c r="H58" s="139">
        <f t="shared" si="7"/>
        <v>779.89249999999993</v>
      </c>
      <c r="I58" s="139">
        <f t="shared" si="7"/>
        <v>47.124999999999993</v>
      </c>
      <c r="J58" s="139">
        <f t="shared" si="7"/>
        <v>164.04</v>
      </c>
      <c r="K58" s="139">
        <f t="shared" si="7"/>
        <v>147.31249999999997</v>
      </c>
      <c r="L58" s="139">
        <f t="shared" si="7"/>
        <v>7.4846666666666657</v>
      </c>
    </row>
    <row r="59" spans="2:12" ht="32.25" customHeight="1" thickBot="1" x14ac:dyDescent="0.35">
      <c r="B59" s="38"/>
      <c r="C59" s="62" t="s">
        <v>3</v>
      </c>
      <c r="D59" s="63">
        <f t="shared" ref="D59:L59" si="8">D58+D50</f>
        <v>1520</v>
      </c>
      <c r="E59" s="64">
        <f t="shared" si="8"/>
        <v>68.707499999999996</v>
      </c>
      <c r="F59" s="64">
        <f t="shared" si="8"/>
        <v>44.709999999999994</v>
      </c>
      <c r="G59" s="64">
        <f t="shared" si="8"/>
        <v>166.02600000000001</v>
      </c>
      <c r="H59" s="64">
        <f t="shared" si="8"/>
        <v>1365.3174999999999</v>
      </c>
      <c r="I59" s="64">
        <f t="shared" si="8"/>
        <v>74</v>
      </c>
      <c r="J59" s="64">
        <f t="shared" si="8"/>
        <v>251.39</v>
      </c>
      <c r="K59" s="64">
        <f t="shared" si="8"/>
        <v>325.86249999999995</v>
      </c>
      <c r="L59" s="59">
        <f t="shared" si="8"/>
        <v>16.157166666666665</v>
      </c>
    </row>
    <row r="60" spans="2:12" ht="38.25" customHeight="1" thickBot="1" x14ac:dyDescent="0.35">
      <c r="B60" s="137" t="s">
        <v>8</v>
      </c>
      <c r="C60" s="39"/>
      <c r="D60" s="39"/>
      <c r="E60" s="39"/>
      <c r="F60" s="39"/>
      <c r="G60" s="39"/>
      <c r="H60" s="39"/>
      <c r="I60" s="39"/>
      <c r="J60" s="39"/>
      <c r="K60" s="39"/>
      <c r="L60" s="40"/>
    </row>
    <row r="61" spans="2:12" ht="22.5" customHeight="1" thickBot="1" x14ac:dyDescent="0.35">
      <c r="B61" s="145" t="s">
        <v>4</v>
      </c>
      <c r="C61" s="147" t="s">
        <v>0</v>
      </c>
      <c r="D61" s="147" t="s">
        <v>30</v>
      </c>
      <c r="E61" s="149" t="s">
        <v>12</v>
      </c>
      <c r="F61" s="150"/>
      <c r="G61" s="150"/>
      <c r="H61" s="151"/>
      <c r="I61" s="152" t="s">
        <v>35</v>
      </c>
      <c r="J61" s="143" t="s">
        <v>36</v>
      </c>
      <c r="K61" s="143" t="s">
        <v>37</v>
      </c>
      <c r="L61" s="143" t="s">
        <v>38</v>
      </c>
    </row>
    <row r="62" spans="2:12" ht="59.25" customHeight="1" thickBot="1" x14ac:dyDescent="0.35">
      <c r="B62" s="146"/>
      <c r="C62" s="148"/>
      <c r="D62" s="148"/>
      <c r="E62" s="21" t="s">
        <v>31</v>
      </c>
      <c r="F62" s="21" t="s">
        <v>32</v>
      </c>
      <c r="G62" s="21" t="s">
        <v>33</v>
      </c>
      <c r="H62" s="21" t="s">
        <v>34</v>
      </c>
      <c r="I62" s="153"/>
      <c r="J62" s="144"/>
      <c r="K62" s="144"/>
      <c r="L62" s="144"/>
    </row>
    <row r="63" spans="2:12" ht="29.25" customHeight="1" thickBot="1" x14ac:dyDescent="0.35">
      <c r="B63" s="27" t="s">
        <v>26</v>
      </c>
      <c r="C63" s="28"/>
      <c r="D63" s="28"/>
      <c r="E63" s="28"/>
      <c r="F63" s="28"/>
      <c r="G63" s="28"/>
      <c r="H63" s="28"/>
      <c r="I63" s="28"/>
      <c r="J63" s="28"/>
      <c r="K63" s="48"/>
      <c r="L63" s="49"/>
    </row>
    <row r="64" spans="2:12" ht="28.5" customHeight="1" thickBot="1" x14ac:dyDescent="0.35">
      <c r="B64" s="1" t="s">
        <v>55</v>
      </c>
      <c r="C64" s="2" t="s">
        <v>59</v>
      </c>
      <c r="D64" s="3">
        <v>100</v>
      </c>
      <c r="E64" s="4">
        <v>0.7</v>
      </c>
      <c r="F64" s="4">
        <v>0.1</v>
      </c>
      <c r="G64" s="4">
        <v>1.8999999999999997</v>
      </c>
      <c r="H64" s="4">
        <v>11</v>
      </c>
      <c r="I64" s="4">
        <v>10</v>
      </c>
      <c r="J64" s="5">
        <v>23</v>
      </c>
      <c r="K64" s="6">
        <v>14</v>
      </c>
      <c r="L64" s="5">
        <v>0.9</v>
      </c>
    </row>
    <row r="65" spans="2:12" ht="28.5" customHeight="1" thickBot="1" x14ac:dyDescent="0.35">
      <c r="B65" s="7" t="s">
        <v>46</v>
      </c>
      <c r="C65" s="12" t="s">
        <v>82</v>
      </c>
      <c r="D65" s="34">
        <v>180</v>
      </c>
      <c r="E65" s="10">
        <f>10.21*180/150</f>
        <v>12.252000000000001</v>
      </c>
      <c r="F65" s="10">
        <f>14.9*180/150</f>
        <v>17.88</v>
      </c>
      <c r="G65" s="10">
        <f>1.92*180/150</f>
        <v>2.3039999999999998</v>
      </c>
      <c r="H65" s="10">
        <f>245.04*180/150</f>
        <v>294.048</v>
      </c>
      <c r="I65" s="10">
        <f>0.43*180/150</f>
        <v>0.51600000000000001</v>
      </c>
      <c r="J65" s="10">
        <f>86.51*180/150</f>
        <v>103.81200000000001</v>
      </c>
      <c r="K65" s="11">
        <f>14.59*180/150</f>
        <v>17.507999999999999</v>
      </c>
      <c r="L65" s="5">
        <f>2.1*180/150</f>
        <v>2.52</v>
      </c>
    </row>
    <row r="66" spans="2:12" ht="29.25" customHeight="1" thickBot="1" x14ac:dyDescent="0.35">
      <c r="B66" s="7" t="s">
        <v>14</v>
      </c>
      <c r="C66" s="8" t="s">
        <v>40</v>
      </c>
      <c r="D66" s="34">
        <v>50</v>
      </c>
      <c r="E66" s="4">
        <v>3.8</v>
      </c>
      <c r="F66" s="4">
        <v>0.4</v>
      </c>
      <c r="G66" s="5">
        <v>24.6</v>
      </c>
      <c r="H66" s="4">
        <v>117.5</v>
      </c>
      <c r="I66" s="5">
        <v>0</v>
      </c>
      <c r="J66" s="15">
        <v>11.5</v>
      </c>
      <c r="K66" s="16">
        <v>16.5</v>
      </c>
      <c r="L66" s="5">
        <v>0.95</v>
      </c>
    </row>
    <row r="67" spans="2:12" ht="30" customHeight="1" thickBot="1" x14ac:dyDescent="0.35">
      <c r="B67" s="7" t="s">
        <v>16</v>
      </c>
      <c r="C67" s="12" t="s">
        <v>41</v>
      </c>
      <c r="D67" s="34">
        <v>40</v>
      </c>
      <c r="E67" s="5">
        <v>2.64</v>
      </c>
      <c r="F67" s="5">
        <v>0.48</v>
      </c>
      <c r="G67" s="99">
        <v>13.36</v>
      </c>
      <c r="H67" s="5">
        <v>69.599999999999994</v>
      </c>
      <c r="I67" s="99">
        <v>0</v>
      </c>
      <c r="J67" s="100">
        <v>13.2</v>
      </c>
      <c r="K67" s="101">
        <v>22.8</v>
      </c>
      <c r="L67" s="101">
        <v>1.8</v>
      </c>
    </row>
    <row r="68" spans="2:12" ht="29.25" customHeight="1" thickBot="1" x14ac:dyDescent="0.35">
      <c r="B68" s="7" t="s">
        <v>13</v>
      </c>
      <c r="C68" s="12" t="s">
        <v>42</v>
      </c>
      <c r="D68" s="34">
        <v>200</v>
      </c>
      <c r="E68" s="10">
        <v>0</v>
      </c>
      <c r="F68" s="10">
        <v>0</v>
      </c>
      <c r="G68" s="10">
        <v>6.9860000000000007</v>
      </c>
      <c r="H68" s="10">
        <v>27.93</v>
      </c>
      <c r="I68" s="10">
        <v>0.05</v>
      </c>
      <c r="J68" s="10">
        <v>2.69</v>
      </c>
      <c r="K68" s="5">
        <v>2.2000000000000002</v>
      </c>
      <c r="L68" s="5">
        <v>0.43</v>
      </c>
    </row>
    <row r="69" spans="2:12" ht="32.25" customHeight="1" thickBot="1" x14ac:dyDescent="0.35">
      <c r="B69" s="27"/>
      <c r="C69" s="121" t="s">
        <v>27</v>
      </c>
      <c r="D69" s="94">
        <f t="shared" ref="D69:L69" si="9">SUM(D64:D68)</f>
        <v>570</v>
      </c>
      <c r="E69" s="112">
        <f t="shared" si="9"/>
        <v>19.391999999999999</v>
      </c>
      <c r="F69" s="112">
        <f t="shared" si="9"/>
        <v>18.86</v>
      </c>
      <c r="G69" s="112">
        <f t="shared" si="9"/>
        <v>49.150000000000006</v>
      </c>
      <c r="H69" s="112">
        <f t="shared" si="9"/>
        <v>520.07799999999997</v>
      </c>
      <c r="I69" s="112">
        <f t="shared" si="9"/>
        <v>10.566000000000001</v>
      </c>
      <c r="J69" s="112">
        <f t="shared" si="9"/>
        <v>154.202</v>
      </c>
      <c r="K69" s="112">
        <f t="shared" si="9"/>
        <v>73.007999999999996</v>
      </c>
      <c r="L69" s="112">
        <f t="shared" si="9"/>
        <v>6.6</v>
      </c>
    </row>
    <row r="70" spans="2:12" ht="31.5" customHeight="1" thickBot="1" x14ac:dyDescent="0.35">
      <c r="B70" s="50" t="s">
        <v>1</v>
      </c>
      <c r="C70" s="28"/>
      <c r="D70" s="51"/>
      <c r="E70" s="52"/>
      <c r="F70" s="52"/>
      <c r="G70" s="52"/>
      <c r="H70" s="52"/>
      <c r="I70" s="52"/>
      <c r="J70" s="52"/>
      <c r="K70" s="53"/>
      <c r="L70" s="54"/>
    </row>
    <row r="71" spans="2:12" ht="33" customHeight="1" thickBot="1" x14ac:dyDescent="0.35">
      <c r="B71" s="1" t="s">
        <v>55</v>
      </c>
      <c r="C71" s="2" t="s">
        <v>59</v>
      </c>
      <c r="D71" s="3">
        <v>100</v>
      </c>
      <c r="E71" s="4">
        <v>0.7</v>
      </c>
      <c r="F71" s="4">
        <v>0.1</v>
      </c>
      <c r="G71" s="4">
        <v>1.8999999999999997</v>
      </c>
      <c r="H71" s="4">
        <v>11</v>
      </c>
      <c r="I71" s="4">
        <v>10</v>
      </c>
      <c r="J71" s="5">
        <v>23</v>
      </c>
      <c r="K71" s="6">
        <v>14</v>
      </c>
      <c r="L71" s="5">
        <v>0.9</v>
      </c>
    </row>
    <row r="72" spans="2:12" ht="30.75" customHeight="1" thickBot="1" x14ac:dyDescent="0.35">
      <c r="B72" s="55" t="s">
        <v>18</v>
      </c>
      <c r="C72" s="12" t="s">
        <v>50</v>
      </c>
      <c r="D72" s="34">
        <v>250</v>
      </c>
      <c r="E72" s="4">
        <f>1.98*250/200</f>
        <v>2.4750000000000001</v>
      </c>
      <c r="F72" s="4">
        <f>3.51*250/200</f>
        <v>4.3875000000000002</v>
      </c>
      <c r="G72" s="4">
        <f>13.74*250/200</f>
        <v>17.175000000000001</v>
      </c>
      <c r="H72" s="4">
        <f>95.14*250/200</f>
        <v>118.925</v>
      </c>
      <c r="I72" s="14">
        <f>13.42*250/200</f>
        <v>16.774999999999999</v>
      </c>
      <c r="J72" s="36">
        <f>20.31*250/200</f>
        <v>25.387499999999999</v>
      </c>
      <c r="K72" s="11">
        <f>21.25*250/200</f>
        <v>26.5625</v>
      </c>
      <c r="L72" s="5">
        <f>0.8*250/200</f>
        <v>1</v>
      </c>
    </row>
    <row r="73" spans="2:12" ht="33.75" customHeight="1" thickBot="1" x14ac:dyDescent="0.35">
      <c r="B73" s="35" t="s">
        <v>70</v>
      </c>
      <c r="C73" s="26" t="s">
        <v>83</v>
      </c>
      <c r="D73" s="34">
        <v>250</v>
      </c>
      <c r="E73" s="4">
        <f>13.48*200/280</f>
        <v>9.6285714285714281</v>
      </c>
      <c r="F73" s="4">
        <f>21.99*200/280</f>
        <v>15.707142857142857</v>
      </c>
      <c r="G73" s="4">
        <f>51.12*200/280</f>
        <v>36.514285714285712</v>
      </c>
      <c r="H73" s="4">
        <f>400.02*200/280</f>
        <v>285.72857142857146</v>
      </c>
      <c r="I73" s="14">
        <f>3.47*200/280</f>
        <v>2.4785714285714286</v>
      </c>
      <c r="J73" s="36">
        <f>36.05*200/280</f>
        <v>25.749999999999996</v>
      </c>
      <c r="K73" s="16">
        <f>126.69*200/280</f>
        <v>90.492857142857147</v>
      </c>
      <c r="L73" s="5">
        <f>5.14*200/280</f>
        <v>3.6714285714285713</v>
      </c>
    </row>
    <row r="74" spans="2:12" ht="33.75" customHeight="1" thickBot="1" x14ac:dyDescent="0.35">
      <c r="B74" s="33" t="s">
        <v>14</v>
      </c>
      <c r="C74" s="12" t="s">
        <v>40</v>
      </c>
      <c r="D74" s="34">
        <v>60</v>
      </c>
      <c r="E74" s="4">
        <v>4.5599999999999996</v>
      </c>
      <c r="F74" s="4">
        <v>0.47999999999999993</v>
      </c>
      <c r="G74" s="4">
        <v>29.479999999999997</v>
      </c>
      <c r="H74" s="4">
        <v>141</v>
      </c>
      <c r="I74" s="14">
        <v>0</v>
      </c>
      <c r="J74" s="36">
        <v>13.8</v>
      </c>
      <c r="K74" s="37">
        <v>19.8</v>
      </c>
      <c r="L74" s="14">
        <v>1.1466666666666667</v>
      </c>
    </row>
    <row r="75" spans="2:12" ht="31.5" customHeight="1" thickBot="1" x14ac:dyDescent="0.35">
      <c r="B75" s="7" t="s">
        <v>16</v>
      </c>
      <c r="C75" s="26" t="s">
        <v>41</v>
      </c>
      <c r="D75" s="13">
        <v>40</v>
      </c>
      <c r="E75" s="14">
        <v>2.64</v>
      </c>
      <c r="F75" s="14">
        <v>4.8</v>
      </c>
      <c r="G75" s="14">
        <v>13.36</v>
      </c>
      <c r="H75" s="4">
        <v>69.599999999999994</v>
      </c>
      <c r="I75" s="5">
        <v>0</v>
      </c>
      <c r="J75" s="15">
        <v>13.2</v>
      </c>
      <c r="K75" s="16">
        <v>22.8</v>
      </c>
      <c r="L75" s="5">
        <v>1.8079999999999998</v>
      </c>
    </row>
    <row r="76" spans="2:12" ht="32.25" customHeight="1" thickBot="1" x14ac:dyDescent="0.35">
      <c r="B76" s="33" t="s">
        <v>17</v>
      </c>
      <c r="C76" s="12" t="s">
        <v>52</v>
      </c>
      <c r="D76" s="34">
        <v>100</v>
      </c>
      <c r="E76" s="4">
        <v>0.4</v>
      </c>
      <c r="F76" s="4">
        <v>0.4</v>
      </c>
      <c r="G76" s="4">
        <v>9.8000000000000007</v>
      </c>
      <c r="H76" s="4">
        <v>47</v>
      </c>
      <c r="I76" s="16">
        <v>10</v>
      </c>
      <c r="J76" s="6">
        <v>16</v>
      </c>
      <c r="K76" s="37">
        <v>9</v>
      </c>
      <c r="L76" s="32">
        <v>2.2000000000000002</v>
      </c>
    </row>
    <row r="77" spans="2:12" ht="31.5" customHeight="1" thickBot="1" x14ac:dyDescent="0.35">
      <c r="B77" s="33" t="s">
        <v>47</v>
      </c>
      <c r="C77" s="12" t="s">
        <v>48</v>
      </c>
      <c r="D77" s="34">
        <v>180</v>
      </c>
      <c r="E77" s="4">
        <v>0.9</v>
      </c>
      <c r="F77" s="4">
        <v>0.18</v>
      </c>
      <c r="G77" s="4">
        <v>18.18</v>
      </c>
      <c r="H77" s="4">
        <v>82.8</v>
      </c>
      <c r="I77" s="16">
        <v>3.6</v>
      </c>
      <c r="J77" s="24">
        <v>12.6</v>
      </c>
      <c r="K77" s="16">
        <v>7.2</v>
      </c>
      <c r="L77" s="16">
        <v>2.52</v>
      </c>
    </row>
    <row r="78" spans="2:12" ht="33" customHeight="1" thickBot="1" x14ac:dyDescent="0.35">
      <c r="B78" s="35"/>
      <c r="C78" s="95" t="s">
        <v>2</v>
      </c>
      <c r="D78" s="96">
        <f t="shared" ref="D78:L78" si="10">SUM(D71:D77)</f>
        <v>980</v>
      </c>
      <c r="E78" s="110">
        <f t="shared" si="10"/>
        <v>21.303571428571423</v>
      </c>
      <c r="F78" s="110">
        <f t="shared" si="10"/>
        <v>26.054642857142856</v>
      </c>
      <c r="G78" s="110">
        <f t="shared" si="10"/>
        <v>126.40928571428572</v>
      </c>
      <c r="H78" s="110">
        <f t="shared" si="10"/>
        <v>756.05357142857144</v>
      </c>
      <c r="I78" s="110">
        <f t="shared" si="10"/>
        <v>42.853571428571428</v>
      </c>
      <c r="J78" s="110">
        <f t="shared" si="10"/>
        <v>129.73750000000001</v>
      </c>
      <c r="K78" s="110">
        <f t="shared" si="10"/>
        <v>189.85535714285714</v>
      </c>
      <c r="L78" s="110">
        <f t="shared" si="10"/>
        <v>13.246095238095236</v>
      </c>
    </row>
    <row r="79" spans="2:12" ht="34.5" customHeight="1" thickBot="1" x14ac:dyDescent="0.35">
      <c r="B79" s="7"/>
      <c r="C79" s="62" t="s">
        <v>3</v>
      </c>
      <c r="D79" s="63">
        <f t="shared" ref="D79:L79" si="11">D78+D69</f>
        <v>1550</v>
      </c>
      <c r="E79" s="64">
        <f t="shared" si="11"/>
        <v>40.695571428571427</v>
      </c>
      <c r="F79" s="64">
        <f t="shared" si="11"/>
        <v>44.914642857142852</v>
      </c>
      <c r="G79" s="64">
        <f t="shared" si="11"/>
        <v>175.55928571428572</v>
      </c>
      <c r="H79" s="64">
        <f t="shared" si="11"/>
        <v>1276.1315714285715</v>
      </c>
      <c r="I79" s="64">
        <f t="shared" si="11"/>
        <v>53.41957142857143</v>
      </c>
      <c r="J79" s="64">
        <f t="shared" si="11"/>
        <v>283.93950000000001</v>
      </c>
      <c r="K79" s="64">
        <f t="shared" si="11"/>
        <v>262.86335714285713</v>
      </c>
      <c r="L79" s="59">
        <f t="shared" si="11"/>
        <v>19.846095238095238</v>
      </c>
    </row>
    <row r="80" spans="2:12" ht="37.9" customHeight="1" thickBot="1" x14ac:dyDescent="0.35">
      <c r="B80" s="137" t="s">
        <v>9</v>
      </c>
      <c r="C80" s="39"/>
      <c r="D80" s="39"/>
      <c r="E80" s="39"/>
      <c r="F80" s="39"/>
      <c r="G80" s="39"/>
      <c r="H80" s="39"/>
      <c r="I80" s="39"/>
      <c r="J80" s="39"/>
      <c r="K80" s="39"/>
      <c r="L80" s="40"/>
    </row>
    <row r="81" spans="2:12" ht="27" customHeight="1" thickBot="1" x14ac:dyDescent="0.35">
      <c r="B81" s="145" t="s">
        <v>4</v>
      </c>
      <c r="C81" s="147" t="s">
        <v>0</v>
      </c>
      <c r="D81" s="147" t="s">
        <v>30</v>
      </c>
      <c r="E81" s="149" t="s">
        <v>12</v>
      </c>
      <c r="F81" s="150"/>
      <c r="G81" s="150"/>
      <c r="H81" s="151"/>
      <c r="I81" s="152" t="s">
        <v>35</v>
      </c>
      <c r="J81" s="143" t="s">
        <v>36</v>
      </c>
      <c r="K81" s="143" t="s">
        <v>37</v>
      </c>
      <c r="L81" s="143" t="s">
        <v>38</v>
      </c>
    </row>
    <row r="82" spans="2:12" ht="59.25" customHeight="1" thickBot="1" x14ac:dyDescent="0.35">
      <c r="B82" s="146"/>
      <c r="C82" s="148"/>
      <c r="D82" s="148"/>
      <c r="E82" s="21" t="s">
        <v>31</v>
      </c>
      <c r="F82" s="21" t="s">
        <v>32</v>
      </c>
      <c r="G82" s="21" t="s">
        <v>33</v>
      </c>
      <c r="H82" s="21" t="s">
        <v>34</v>
      </c>
      <c r="I82" s="153"/>
      <c r="J82" s="144"/>
      <c r="K82" s="144"/>
      <c r="L82" s="144"/>
    </row>
    <row r="83" spans="2:12" ht="31.5" customHeight="1" thickBot="1" x14ac:dyDescent="0.35">
      <c r="B83" s="27" t="s">
        <v>26</v>
      </c>
      <c r="C83" s="28"/>
      <c r="D83" s="28"/>
      <c r="E83" s="28"/>
      <c r="F83" s="28"/>
      <c r="G83" s="28"/>
      <c r="H83" s="28"/>
      <c r="I83" s="28"/>
      <c r="J83" s="28"/>
      <c r="K83" s="28"/>
      <c r="L83" s="30"/>
    </row>
    <row r="84" spans="2:12" ht="30.75" customHeight="1" thickBot="1" x14ac:dyDescent="0.35">
      <c r="B84" s="33" t="s">
        <v>53</v>
      </c>
      <c r="C84" s="2" t="s">
        <v>94</v>
      </c>
      <c r="D84" s="3">
        <v>270</v>
      </c>
      <c r="E84" s="4">
        <f>15.8*270/250</f>
        <v>17.064</v>
      </c>
      <c r="F84" s="4">
        <f>11.8*270/250</f>
        <v>12.744</v>
      </c>
      <c r="G84" s="4">
        <f>43.56*270/250</f>
        <v>47.044800000000002</v>
      </c>
      <c r="H84" s="4">
        <f>315.29*270/250</f>
        <v>340.51319999999998</v>
      </c>
      <c r="I84" s="4">
        <f>1.62*270/250</f>
        <v>1.7496</v>
      </c>
      <c r="J84" s="4">
        <f>158.62*270/250</f>
        <v>171.30960000000002</v>
      </c>
      <c r="K84" s="37">
        <f>45.44*270/250</f>
        <v>49.075199999999995</v>
      </c>
      <c r="L84" s="14">
        <f>0.73*270/250</f>
        <v>0.78839999999999999</v>
      </c>
    </row>
    <row r="85" spans="2:12" ht="28.5" customHeight="1" thickBot="1" x14ac:dyDescent="0.35">
      <c r="B85" s="7" t="s">
        <v>19</v>
      </c>
      <c r="C85" s="8" t="s">
        <v>45</v>
      </c>
      <c r="D85" s="9">
        <v>10</v>
      </c>
      <c r="E85" s="10">
        <v>0.05</v>
      </c>
      <c r="F85" s="10">
        <v>8.25</v>
      </c>
      <c r="G85" s="10">
        <v>0.08</v>
      </c>
      <c r="H85" s="10">
        <v>74.8</v>
      </c>
      <c r="I85" s="10">
        <v>0</v>
      </c>
      <c r="J85" s="10">
        <v>2.4</v>
      </c>
      <c r="K85" s="11">
        <v>0.05</v>
      </c>
      <c r="L85" s="5">
        <v>0.02</v>
      </c>
    </row>
    <row r="86" spans="2:12" ht="30" customHeight="1" thickBot="1" x14ac:dyDescent="0.35">
      <c r="B86" s="7" t="s">
        <v>14</v>
      </c>
      <c r="C86" s="12" t="s">
        <v>40</v>
      </c>
      <c r="D86" s="9">
        <v>40</v>
      </c>
      <c r="E86" s="4">
        <f>7.7*40/100</f>
        <v>3.08</v>
      </c>
      <c r="F86" s="4">
        <f>3*40/100</f>
        <v>1.2</v>
      </c>
      <c r="G86" s="4">
        <f>50.1*40/100</f>
        <v>20.04</v>
      </c>
      <c r="H86" s="4">
        <f>259*40/100</f>
        <v>103.6</v>
      </c>
      <c r="I86" s="4">
        <v>0</v>
      </c>
      <c r="J86" s="4">
        <f>22*40/100</f>
        <v>8.8000000000000007</v>
      </c>
      <c r="K86" s="16">
        <f>33*40/100</f>
        <v>13.2</v>
      </c>
      <c r="L86" s="5">
        <f>2*40/100</f>
        <v>0.8</v>
      </c>
    </row>
    <row r="87" spans="2:12" ht="30" customHeight="1" thickBot="1" x14ac:dyDescent="0.35">
      <c r="B87" s="7" t="s">
        <v>13</v>
      </c>
      <c r="C87" s="17" t="s">
        <v>42</v>
      </c>
      <c r="D87" s="9">
        <v>200</v>
      </c>
      <c r="E87" s="10">
        <v>0</v>
      </c>
      <c r="F87" s="10">
        <v>0</v>
      </c>
      <c r="G87" s="10">
        <v>6.9860000000000007</v>
      </c>
      <c r="H87" s="10">
        <v>27.93</v>
      </c>
      <c r="I87" s="10">
        <v>0.05</v>
      </c>
      <c r="J87" s="10">
        <v>2.69</v>
      </c>
      <c r="K87" s="16">
        <v>2.2000000000000002</v>
      </c>
      <c r="L87" s="5">
        <v>0.43</v>
      </c>
    </row>
    <row r="88" spans="2:12" ht="33" customHeight="1" thickBot="1" x14ac:dyDescent="0.35">
      <c r="B88" s="122"/>
      <c r="C88" s="134" t="s">
        <v>27</v>
      </c>
      <c r="D88" s="135">
        <f t="shared" ref="D88:L88" si="12">SUM(D84:D87)</f>
        <v>520</v>
      </c>
      <c r="E88" s="140">
        <f t="shared" si="12"/>
        <v>20.194000000000003</v>
      </c>
      <c r="F88" s="140">
        <f t="shared" si="12"/>
        <v>22.193999999999999</v>
      </c>
      <c r="G88" s="140">
        <f t="shared" si="12"/>
        <v>74.150800000000004</v>
      </c>
      <c r="H88" s="140">
        <f t="shared" si="12"/>
        <v>546.84319999999991</v>
      </c>
      <c r="I88" s="140">
        <f t="shared" si="12"/>
        <v>1.7996000000000001</v>
      </c>
      <c r="J88" s="140">
        <f t="shared" si="12"/>
        <v>185.19960000000003</v>
      </c>
      <c r="K88" s="140">
        <f t="shared" si="12"/>
        <v>64.525199999999998</v>
      </c>
      <c r="L88" s="140">
        <f t="shared" si="12"/>
        <v>2.0384000000000002</v>
      </c>
    </row>
    <row r="89" spans="2:12" ht="31.5" customHeight="1" thickBot="1" x14ac:dyDescent="0.35">
      <c r="B89" s="27" t="s">
        <v>1</v>
      </c>
      <c r="C89" s="28"/>
      <c r="D89" s="29"/>
      <c r="E89" s="28"/>
      <c r="F89" s="28"/>
      <c r="G89" s="28"/>
      <c r="H89" s="28"/>
      <c r="I89" s="28"/>
      <c r="J89" s="28"/>
      <c r="K89" s="28"/>
      <c r="L89" s="30"/>
    </row>
    <row r="90" spans="2:12" ht="30.75" customHeight="1" thickBot="1" x14ac:dyDescent="0.35">
      <c r="B90" s="55" t="s">
        <v>55</v>
      </c>
      <c r="C90" s="65" t="s">
        <v>59</v>
      </c>
      <c r="D90" s="66">
        <v>100</v>
      </c>
      <c r="E90" s="14">
        <v>0.7</v>
      </c>
      <c r="F90" s="14">
        <v>0.1</v>
      </c>
      <c r="G90" s="14">
        <v>1.8999999999999997</v>
      </c>
      <c r="H90" s="14">
        <v>11</v>
      </c>
      <c r="I90" s="14">
        <v>10</v>
      </c>
      <c r="J90" s="44">
        <v>23</v>
      </c>
      <c r="K90" s="11">
        <v>14</v>
      </c>
      <c r="L90" s="5">
        <v>0.9</v>
      </c>
    </row>
    <row r="91" spans="2:12" ht="30" customHeight="1" thickBot="1" x14ac:dyDescent="0.35">
      <c r="B91" s="33" t="s">
        <v>84</v>
      </c>
      <c r="C91" s="12" t="s">
        <v>85</v>
      </c>
      <c r="D91" s="34">
        <v>250</v>
      </c>
      <c r="E91" s="4">
        <f>17.4*250/200</f>
        <v>21.75</v>
      </c>
      <c r="F91" s="4">
        <f>4.2*250/200</f>
        <v>5.25</v>
      </c>
      <c r="G91" s="4">
        <f>3.5*250/200</f>
        <v>4.375</v>
      </c>
      <c r="H91" s="4">
        <f>120*250/200</f>
        <v>150</v>
      </c>
      <c r="I91" s="37">
        <f>1.3*250/200</f>
        <v>1.625</v>
      </c>
      <c r="J91" s="32">
        <f>18*250/200</f>
        <v>22.5</v>
      </c>
      <c r="K91" s="37">
        <f>20*250/200</f>
        <v>25</v>
      </c>
      <c r="L91" s="37">
        <f>1.2*250/200</f>
        <v>1.5</v>
      </c>
    </row>
    <row r="92" spans="2:12" ht="30.75" customHeight="1" thickBot="1" x14ac:dyDescent="0.35">
      <c r="B92" s="33" t="s">
        <v>88</v>
      </c>
      <c r="C92" s="12" t="s">
        <v>86</v>
      </c>
      <c r="D92" s="34">
        <v>100</v>
      </c>
      <c r="E92" s="4">
        <v>12.33</v>
      </c>
      <c r="F92" s="4">
        <v>6.8</v>
      </c>
      <c r="G92" s="4">
        <v>11.5</v>
      </c>
      <c r="H92" s="4">
        <v>172.59</v>
      </c>
      <c r="I92" s="14">
        <v>1.2</v>
      </c>
      <c r="J92" s="36">
        <v>143.22999999999999</v>
      </c>
      <c r="K92" s="11">
        <v>45.71</v>
      </c>
      <c r="L92" s="5">
        <v>0.83</v>
      </c>
    </row>
    <row r="93" spans="2:12" ht="30.75" customHeight="1" thickBot="1" x14ac:dyDescent="0.35">
      <c r="B93" s="33" t="s">
        <v>87</v>
      </c>
      <c r="C93" s="12" t="s">
        <v>89</v>
      </c>
      <c r="D93" s="34">
        <v>180</v>
      </c>
      <c r="E93" s="4">
        <f>5.45*180/150</f>
        <v>6.54</v>
      </c>
      <c r="F93" s="4">
        <f>5.78*180/150</f>
        <v>6.9360000000000008</v>
      </c>
      <c r="G93" s="4">
        <f>30.45*180/150</f>
        <v>36.54</v>
      </c>
      <c r="H93" s="4">
        <f>195.71*180/150</f>
        <v>234.85200000000003</v>
      </c>
      <c r="I93" s="14">
        <v>0</v>
      </c>
      <c r="J93" s="36">
        <f>12.14*180/150</f>
        <v>14.568000000000001</v>
      </c>
      <c r="K93" s="11">
        <f>8.14*180/150</f>
        <v>9.7680000000000007</v>
      </c>
      <c r="L93" s="5">
        <f>0.23*180/150</f>
        <v>0.27599999999999997</v>
      </c>
    </row>
    <row r="94" spans="2:12" ht="31.5" customHeight="1" thickBot="1" x14ac:dyDescent="0.35">
      <c r="B94" s="33" t="s">
        <v>14</v>
      </c>
      <c r="C94" s="12" t="s">
        <v>40</v>
      </c>
      <c r="D94" s="34">
        <v>60</v>
      </c>
      <c r="E94" s="4">
        <v>4.5599999999999996</v>
      </c>
      <c r="F94" s="4">
        <v>0.47999999999999993</v>
      </c>
      <c r="G94" s="4">
        <v>29.479999999999997</v>
      </c>
      <c r="H94" s="4">
        <v>141</v>
      </c>
      <c r="I94" s="14">
        <v>0</v>
      </c>
      <c r="J94" s="36">
        <v>13.8</v>
      </c>
      <c r="K94" s="37">
        <v>19.8</v>
      </c>
      <c r="L94" s="14">
        <v>1.1466666666666667</v>
      </c>
    </row>
    <row r="95" spans="2:12" ht="31.5" customHeight="1" thickBot="1" x14ac:dyDescent="0.35">
      <c r="B95" s="7" t="s">
        <v>16</v>
      </c>
      <c r="C95" s="17" t="s">
        <v>41</v>
      </c>
      <c r="D95" s="13">
        <v>40</v>
      </c>
      <c r="E95" s="14">
        <v>2.64</v>
      </c>
      <c r="F95" s="14">
        <v>4.8</v>
      </c>
      <c r="G95" s="14">
        <v>13.36</v>
      </c>
      <c r="H95" s="4">
        <v>69.599999999999994</v>
      </c>
      <c r="I95" s="5">
        <v>0</v>
      </c>
      <c r="J95" s="15">
        <v>13.2</v>
      </c>
      <c r="K95" s="16">
        <v>22.8</v>
      </c>
      <c r="L95" s="5">
        <v>1.8079999999999998</v>
      </c>
    </row>
    <row r="96" spans="2:12" ht="30.75" customHeight="1" thickBot="1" x14ac:dyDescent="0.35">
      <c r="B96" s="7" t="s">
        <v>13</v>
      </c>
      <c r="C96" s="26" t="s">
        <v>42</v>
      </c>
      <c r="D96" s="13">
        <v>200</v>
      </c>
      <c r="E96" s="14">
        <v>0</v>
      </c>
      <c r="F96" s="14">
        <v>0</v>
      </c>
      <c r="G96" s="14">
        <v>6.9860000000000007</v>
      </c>
      <c r="H96" s="4">
        <v>27.93</v>
      </c>
      <c r="I96" s="5">
        <v>0.05</v>
      </c>
      <c r="J96" s="15">
        <v>2.69</v>
      </c>
      <c r="K96" s="16">
        <v>2.2000000000000002</v>
      </c>
      <c r="L96" s="5">
        <v>0.43</v>
      </c>
    </row>
    <row r="97" spans="2:12" ht="31.15" customHeight="1" thickBot="1" x14ac:dyDescent="0.35">
      <c r="B97" s="102"/>
      <c r="C97" s="56" t="s">
        <v>2</v>
      </c>
      <c r="D97" s="57">
        <f t="shared" ref="D97:L97" si="13">SUM(D90:D96)</f>
        <v>930</v>
      </c>
      <c r="E97" s="58">
        <f t="shared" si="13"/>
        <v>48.52</v>
      </c>
      <c r="F97" s="58">
        <f t="shared" si="13"/>
        <v>24.366</v>
      </c>
      <c r="G97" s="58">
        <f t="shared" si="13"/>
        <v>104.14099999999999</v>
      </c>
      <c r="H97" s="58">
        <f t="shared" si="13"/>
        <v>806.97199999999998</v>
      </c>
      <c r="I97" s="58">
        <f t="shared" si="13"/>
        <v>12.875</v>
      </c>
      <c r="J97" s="58">
        <f t="shared" si="13"/>
        <v>232.988</v>
      </c>
      <c r="K97" s="58">
        <f t="shared" si="13"/>
        <v>139.27799999999999</v>
      </c>
      <c r="L97" s="61">
        <f t="shared" si="13"/>
        <v>6.8906666666666663</v>
      </c>
    </row>
    <row r="98" spans="2:12" ht="31.9" customHeight="1" thickBot="1" x14ac:dyDescent="0.35">
      <c r="B98" s="102"/>
      <c r="C98" s="56" t="s">
        <v>3</v>
      </c>
      <c r="D98" s="57">
        <f t="shared" ref="D98:L98" si="14">D97+D88</f>
        <v>1450</v>
      </c>
      <c r="E98" s="58">
        <f t="shared" si="14"/>
        <v>68.713999999999999</v>
      </c>
      <c r="F98" s="58">
        <f t="shared" si="14"/>
        <v>46.56</v>
      </c>
      <c r="G98" s="58">
        <f t="shared" si="14"/>
        <v>178.29179999999999</v>
      </c>
      <c r="H98" s="58">
        <f t="shared" si="14"/>
        <v>1353.8152</v>
      </c>
      <c r="I98" s="58">
        <f t="shared" si="14"/>
        <v>14.6746</v>
      </c>
      <c r="J98" s="58">
        <f t="shared" si="14"/>
        <v>418.18760000000003</v>
      </c>
      <c r="K98" s="58">
        <f t="shared" si="14"/>
        <v>203.8032</v>
      </c>
      <c r="L98" s="59">
        <f t="shared" si="14"/>
        <v>8.9290666666666674</v>
      </c>
    </row>
    <row r="99" spans="2:12" ht="34.5" customHeight="1" thickBot="1" x14ac:dyDescent="0.35">
      <c r="B99" s="137" t="s">
        <v>21</v>
      </c>
      <c r="C99" s="39"/>
      <c r="D99" s="39"/>
      <c r="E99" s="39"/>
      <c r="F99" s="39"/>
      <c r="G99" s="39"/>
      <c r="H99" s="39"/>
      <c r="I99" s="39"/>
      <c r="J99" s="39"/>
      <c r="K99" s="39"/>
      <c r="L99" s="40"/>
    </row>
    <row r="100" spans="2:12" ht="21.75" customHeight="1" thickBot="1" x14ac:dyDescent="0.35">
      <c r="B100" s="145" t="s">
        <v>4</v>
      </c>
      <c r="C100" s="147" t="s">
        <v>0</v>
      </c>
      <c r="D100" s="147" t="s">
        <v>30</v>
      </c>
      <c r="E100" s="149" t="s">
        <v>12</v>
      </c>
      <c r="F100" s="150"/>
      <c r="G100" s="150"/>
      <c r="H100" s="151"/>
      <c r="I100" s="152" t="s">
        <v>35</v>
      </c>
      <c r="J100" s="143" t="s">
        <v>36</v>
      </c>
      <c r="K100" s="143" t="s">
        <v>37</v>
      </c>
      <c r="L100" s="143" t="s">
        <v>38</v>
      </c>
    </row>
    <row r="101" spans="2:12" ht="56.25" customHeight="1" thickBot="1" x14ac:dyDescent="0.35">
      <c r="B101" s="146"/>
      <c r="C101" s="148"/>
      <c r="D101" s="148"/>
      <c r="E101" s="21" t="s">
        <v>31</v>
      </c>
      <c r="F101" s="21" t="s">
        <v>32</v>
      </c>
      <c r="G101" s="21" t="s">
        <v>33</v>
      </c>
      <c r="H101" s="21" t="s">
        <v>34</v>
      </c>
      <c r="I101" s="153"/>
      <c r="J101" s="144"/>
      <c r="K101" s="144"/>
      <c r="L101" s="144"/>
    </row>
    <row r="102" spans="2:12" ht="28.5" customHeight="1" thickBot="1" x14ac:dyDescent="0.35">
      <c r="B102" s="27" t="s">
        <v>26</v>
      </c>
      <c r="C102" s="28"/>
      <c r="D102" s="28"/>
      <c r="E102" s="28"/>
      <c r="F102" s="28"/>
      <c r="G102" s="28"/>
      <c r="H102" s="28"/>
      <c r="I102" s="28"/>
      <c r="J102" s="28"/>
      <c r="K102" s="28"/>
      <c r="L102" s="30"/>
    </row>
    <row r="103" spans="2:12" ht="30" customHeight="1" thickBot="1" x14ac:dyDescent="0.35">
      <c r="B103" s="7" t="s">
        <v>95</v>
      </c>
      <c r="C103" s="8" t="s">
        <v>96</v>
      </c>
      <c r="D103" s="9">
        <v>190</v>
      </c>
      <c r="E103" s="10">
        <v>17.97</v>
      </c>
      <c r="F103" s="10">
        <v>18.2</v>
      </c>
      <c r="G103" s="10">
        <v>5.04</v>
      </c>
      <c r="H103" s="10">
        <v>256.07</v>
      </c>
      <c r="I103" s="10">
        <v>2.85</v>
      </c>
      <c r="J103" s="5">
        <v>135.05000000000001</v>
      </c>
      <c r="K103" s="24">
        <v>27.12</v>
      </c>
      <c r="L103" s="5">
        <v>3.53</v>
      </c>
    </row>
    <row r="104" spans="2:12" ht="30.75" customHeight="1" thickBot="1" x14ac:dyDescent="0.35">
      <c r="B104" s="7" t="s">
        <v>19</v>
      </c>
      <c r="C104" s="8" t="s">
        <v>45</v>
      </c>
      <c r="D104" s="9">
        <v>10</v>
      </c>
      <c r="E104" s="10">
        <v>0.05</v>
      </c>
      <c r="F104" s="10">
        <v>8.25</v>
      </c>
      <c r="G104" s="10">
        <v>0.08</v>
      </c>
      <c r="H104" s="10">
        <v>74.8</v>
      </c>
      <c r="I104" s="10">
        <v>0</v>
      </c>
      <c r="J104" s="10">
        <v>2.4</v>
      </c>
      <c r="K104" s="11">
        <v>0.05</v>
      </c>
      <c r="L104" s="5">
        <v>0.02</v>
      </c>
    </row>
    <row r="105" spans="2:12" ht="30.75" customHeight="1" thickBot="1" x14ac:dyDescent="0.35">
      <c r="B105" s="7" t="s">
        <v>14</v>
      </c>
      <c r="C105" s="17" t="s">
        <v>40</v>
      </c>
      <c r="D105" s="9">
        <v>50</v>
      </c>
      <c r="E105" s="10">
        <f>3.08*50/40</f>
        <v>3.85</v>
      </c>
      <c r="F105" s="10">
        <f>1.2*50/40</f>
        <v>1.5</v>
      </c>
      <c r="G105" s="10">
        <f>20.04*50/40</f>
        <v>25.05</v>
      </c>
      <c r="H105" s="10">
        <f>103.6*50/40</f>
        <v>129.5</v>
      </c>
      <c r="I105" s="10">
        <v>0</v>
      </c>
      <c r="J105" s="10">
        <f>8.8*50/40</f>
        <v>11.000000000000002</v>
      </c>
      <c r="K105" s="11">
        <f>13.2*50/40</f>
        <v>16.5</v>
      </c>
      <c r="L105" s="5">
        <f>0.8*50/40</f>
        <v>1</v>
      </c>
    </row>
    <row r="106" spans="2:12" ht="33" customHeight="1" thickBot="1" x14ac:dyDescent="0.35">
      <c r="B106" s="33" t="s">
        <v>16</v>
      </c>
      <c r="C106" s="12" t="s">
        <v>41</v>
      </c>
      <c r="D106" s="34">
        <v>50</v>
      </c>
      <c r="E106" s="4">
        <v>3.3</v>
      </c>
      <c r="F106" s="4">
        <v>0.6</v>
      </c>
      <c r="G106" s="4">
        <v>16.7</v>
      </c>
      <c r="H106" s="4">
        <v>87</v>
      </c>
      <c r="I106" s="14">
        <v>0</v>
      </c>
      <c r="J106" s="36">
        <v>16.5</v>
      </c>
      <c r="K106" s="37">
        <v>28.5</v>
      </c>
      <c r="L106" s="14">
        <v>2.25</v>
      </c>
    </row>
    <row r="107" spans="2:12" ht="30.75" customHeight="1" thickBot="1" x14ac:dyDescent="0.35">
      <c r="B107" s="7" t="s">
        <v>13</v>
      </c>
      <c r="C107" s="17" t="s">
        <v>42</v>
      </c>
      <c r="D107" s="9">
        <v>200</v>
      </c>
      <c r="E107" s="10">
        <v>0</v>
      </c>
      <c r="F107" s="10">
        <v>0</v>
      </c>
      <c r="G107" s="10">
        <v>6.9860000000000007</v>
      </c>
      <c r="H107" s="10">
        <v>27.93</v>
      </c>
      <c r="I107" s="10">
        <v>0.05</v>
      </c>
      <c r="J107" s="10">
        <v>2.69</v>
      </c>
      <c r="K107" s="16">
        <v>2.2000000000000002</v>
      </c>
      <c r="L107" s="5">
        <v>0.43</v>
      </c>
    </row>
    <row r="108" spans="2:12" ht="31.5" customHeight="1" thickBot="1" x14ac:dyDescent="0.35">
      <c r="B108" s="141"/>
      <c r="C108" s="124" t="s">
        <v>27</v>
      </c>
      <c r="D108" s="135">
        <f t="shared" ref="D108:L108" si="15">SUM(D103:D107)</f>
        <v>500</v>
      </c>
      <c r="E108" s="140">
        <f t="shared" si="15"/>
        <v>25.17</v>
      </c>
      <c r="F108" s="140">
        <f t="shared" si="15"/>
        <v>28.55</v>
      </c>
      <c r="G108" s="140">
        <f t="shared" si="15"/>
        <v>53.856000000000009</v>
      </c>
      <c r="H108" s="140">
        <f t="shared" si="15"/>
        <v>575.29999999999995</v>
      </c>
      <c r="I108" s="140">
        <f t="shared" si="15"/>
        <v>2.9</v>
      </c>
      <c r="J108" s="140">
        <f t="shared" si="15"/>
        <v>167.64000000000001</v>
      </c>
      <c r="K108" s="140">
        <f t="shared" si="15"/>
        <v>74.37</v>
      </c>
      <c r="L108" s="140">
        <f t="shared" si="15"/>
        <v>7.2299999999999995</v>
      </c>
    </row>
    <row r="109" spans="2:12" ht="28.5" customHeight="1" thickBot="1" x14ac:dyDescent="0.35">
      <c r="B109" s="27" t="s">
        <v>1</v>
      </c>
      <c r="C109" s="28"/>
      <c r="D109" s="29"/>
      <c r="E109" s="28"/>
      <c r="F109" s="28"/>
      <c r="G109" s="28"/>
      <c r="H109" s="28"/>
      <c r="I109" s="28"/>
      <c r="J109" s="28"/>
      <c r="K109" s="28"/>
      <c r="L109" s="30"/>
    </row>
    <row r="110" spans="2:12" ht="29.25" customHeight="1" thickBot="1" x14ac:dyDescent="0.35">
      <c r="B110" s="42" t="s">
        <v>55</v>
      </c>
      <c r="C110" s="43" t="s">
        <v>59</v>
      </c>
      <c r="D110" s="34">
        <v>100</v>
      </c>
      <c r="E110" s="31">
        <v>0.7</v>
      </c>
      <c r="F110" s="31">
        <v>0.1</v>
      </c>
      <c r="G110" s="31">
        <v>1.8999999999999997</v>
      </c>
      <c r="H110" s="31">
        <v>11</v>
      </c>
      <c r="I110" s="14">
        <v>10</v>
      </c>
      <c r="J110" s="44">
        <v>23</v>
      </c>
      <c r="K110" s="37">
        <v>14</v>
      </c>
      <c r="L110" s="14">
        <v>0.9</v>
      </c>
    </row>
    <row r="111" spans="2:12" ht="30" customHeight="1" thickBot="1" x14ac:dyDescent="0.35">
      <c r="B111" s="33" t="s">
        <v>68</v>
      </c>
      <c r="C111" s="12" t="s">
        <v>78</v>
      </c>
      <c r="D111" s="34">
        <v>250</v>
      </c>
      <c r="E111" s="4">
        <f>1.53*250/200</f>
        <v>1.9125000000000001</v>
      </c>
      <c r="F111" s="4">
        <f>3.9*250/200</f>
        <v>4.875</v>
      </c>
      <c r="G111" s="4">
        <f>6.67*250/200</f>
        <v>8.3375000000000004</v>
      </c>
      <c r="H111" s="10">
        <f>118.96*250/200</f>
        <v>148.69999999999999</v>
      </c>
      <c r="I111" s="16">
        <f>23.64*250/200</f>
        <v>29.55</v>
      </c>
      <c r="J111" s="24">
        <f>42.83*250/200</f>
        <v>53.537500000000001</v>
      </c>
      <c r="K111" s="16">
        <f>16.77*250/200</f>
        <v>20.962499999999999</v>
      </c>
      <c r="L111" s="16">
        <f>0.59*250/200</f>
        <v>0.73750000000000004</v>
      </c>
    </row>
    <row r="112" spans="2:12" ht="29.25" customHeight="1" thickBot="1" x14ac:dyDescent="0.35">
      <c r="B112" s="33" t="s">
        <v>61</v>
      </c>
      <c r="C112" s="12" t="s">
        <v>56</v>
      </c>
      <c r="D112" s="34">
        <v>100</v>
      </c>
      <c r="E112" s="4">
        <v>10.63</v>
      </c>
      <c r="F112" s="4">
        <v>12.64</v>
      </c>
      <c r="G112" s="4">
        <v>13.07</v>
      </c>
      <c r="H112" s="4">
        <v>209.45</v>
      </c>
      <c r="I112" s="14">
        <v>0.54</v>
      </c>
      <c r="J112" s="36">
        <v>60.77</v>
      </c>
      <c r="K112" s="16">
        <v>33.950000000000003</v>
      </c>
      <c r="L112" s="5">
        <v>1.2</v>
      </c>
    </row>
    <row r="113" spans="2:12" ht="26.25" customHeight="1" thickBot="1" x14ac:dyDescent="0.35">
      <c r="B113" s="33" t="s">
        <v>62</v>
      </c>
      <c r="C113" s="12" t="s">
        <v>57</v>
      </c>
      <c r="D113" s="34">
        <v>180</v>
      </c>
      <c r="E113" s="4">
        <v>3.9</v>
      </c>
      <c r="F113" s="4">
        <v>3.456</v>
      </c>
      <c r="G113" s="4">
        <v>34.787999999999997</v>
      </c>
      <c r="H113" s="4">
        <v>227.47200000000001</v>
      </c>
      <c r="I113" s="14">
        <v>31.14</v>
      </c>
      <c r="J113" s="36">
        <v>174.708</v>
      </c>
      <c r="K113" s="16">
        <v>39.588000000000008</v>
      </c>
      <c r="L113" s="5">
        <v>1.464</v>
      </c>
    </row>
    <row r="114" spans="2:12" ht="30" customHeight="1" thickBot="1" x14ac:dyDescent="0.35">
      <c r="B114" s="33" t="s">
        <v>14</v>
      </c>
      <c r="C114" s="12" t="s">
        <v>40</v>
      </c>
      <c r="D114" s="34">
        <v>60</v>
      </c>
      <c r="E114" s="4">
        <v>4.5599999999999996</v>
      </c>
      <c r="F114" s="4">
        <v>0.47999999999999993</v>
      </c>
      <c r="G114" s="4">
        <v>29.479999999999997</v>
      </c>
      <c r="H114" s="4">
        <v>141</v>
      </c>
      <c r="I114" s="14">
        <v>0</v>
      </c>
      <c r="J114" s="36">
        <v>13.8</v>
      </c>
      <c r="K114" s="16">
        <v>19.8</v>
      </c>
      <c r="L114" s="5">
        <v>1.1466666666666667</v>
      </c>
    </row>
    <row r="115" spans="2:12" ht="28.5" customHeight="1" thickBot="1" x14ac:dyDescent="0.35">
      <c r="B115" s="33" t="s">
        <v>16</v>
      </c>
      <c r="C115" s="12" t="s">
        <v>41</v>
      </c>
      <c r="D115" s="34">
        <v>40</v>
      </c>
      <c r="E115" s="4">
        <v>2.64</v>
      </c>
      <c r="F115" s="4">
        <v>4.8</v>
      </c>
      <c r="G115" s="4">
        <v>13.36</v>
      </c>
      <c r="H115" s="4">
        <v>69.599999999999994</v>
      </c>
      <c r="I115" s="14">
        <v>0</v>
      </c>
      <c r="J115" s="36">
        <v>13.2</v>
      </c>
      <c r="K115" s="37">
        <v>22.8</v>
      </c>
      <c r="L115" s="14">
        <v>1.8079999999999998</v>
      </c>
    </row>
    <row r="116" spans="2:12" ht="27" customHeight="1" thickBot="1" x14ac:dyDescent="0.35">
      <c r="B116" s="33" t="s">
        <v>47</v>
      </c>
      <c r="C116" s="12" t="s">
        <v>48</v>
      </c>
      <c r="D116" s="34">
        <v>180</v>
      </c>
      <c r="E116" s="4">
        <v>0.9</v>
      </c>
      <c r="F116" s="4">
        <v>0.18</v>
      </c>
      <c r="G116" s="4">
        <v>18.18</v>
      </c>
      <c r="H116" s="4">
        <v>82.8</v>
      </c>
      <c r="I116" s="16">
        <v>3.6</v>
      </c>
      <c r="J116" s="24">
        <v>12.6</v>
      </c>
      <c r="K116" s="16">
        <v>7.2</v>
      </c>
      <c r="L116" s="16">
        <v>2.52</v>
      </c>
    </row>
    <row r="117" spans="2:12" ht="32.25" customHeight="1" thickBot="1" x14ac:dyDescent="0.35">
      <c r="B117" s="33"/>
      <c r="C117" s="56" t="s">
        <v>2</v>
      </c>
      <c r="D117" s="57">
        <f t="shared" ref="D117:L117" si="16">SUM(D110:D116)</f>
        <v>910</v>
      </c>
      <c r="E117" s="58">
        <f t="shared" si="16"/>
        <v>25.242499999999996</v>
      </c>
      <c r="F117" s="58">
        <f t="shared" si="16"/>
        <v>26.531000000000002</v>
      </c>
      <c r="G117" s="58">
        <f t="shared" si="16"/>
        <v>119.1155</v>
      </c>
      <c r="H117" s="58">
        <f t="shared" si="16"/>
        <v>890.02199999999993</v>
      </c>
      <c r="I117" s="59">
        <f t="shared" si="16"/>
        <v>74.829999999999984</v>
      </c>
      <c r="J117" s="60">
        <f t="shared" si="16"/>
        <v>351.6155</v>
      </c>
      <c r="K117" s="61">
        <f t="shared" si="16"/>
        <v>158.3005</v>
      </c>
      <c r="L117" s="61">
        <f t="shared" si="16"/>
        <v>9.7761666666666667</v>
      </c>
    </row>
    <row r="118" spans="2:12" ht="33" customHeight="1" thickBot="1" x14ac:dyDescent="0.35">
      <c r="B118" s="7"/>
      <c r="C118" s="62" t="s">
        <v>3</v>
      </c>
      <c r="D118" s="63">
        <f t="shared" ref="D118:L118" si="17">D117+D108</f>
        <v>1410</v>
      </c>
      <c r="E118" s="64">
        <f t="shared" si="17"/>
        <v>50.412499999999994</v>
      </c>
      <c r="F118" s="64">
        <f t="shared" si="17"/>
        <v>55.081000000000003</v>
      </c>
      <c r="G118" s="64">
        <f t="shared" si="17"/>
        <v>172.97149999999999</v>
      </c>
      <c r="H118" s="64">
        <f t="shared" si="17"/>
        <v>1465.3219999999999</v>
      </c>
      <c r="I118" s="64">
        <f t="shared" si="17"/>
        <v>77.72999999999999</v>
      </c>
      <c r="J118" s="64">
        <f t="shared" si="17"/>
        <v>519.25549999999998</v>
      </c>
      <c r="K118" s="64">
        <f t="shared" si="17"/>
        <v>232.6705</v>
      </c>
      <c r="L118" s="59">
        <f t="shared" si="17"/>
        <v>17.006166666666665</v>
      </c>
    </row>
    <row r="119" spans="2:12" ht="39.75" customHeight="1" thickBot="1" x14ac:dyDescent="0.35">
      <c r="B119" s="137" t="s">
        <v>22</v>
      </c>
      <c r="C119" s="39"/>
      <c r="D119" s="39"/>
      <c r="E119" s="39"/>
      <c r="F119" s="39"/>
      <c r="G119" s="39"/>
      <c r="H119" s="39"/>
      <c r="I119" s="39"/>
      <c r="J119" s="39"/>
      <c r="K119" s="39"/>
      <c r="L119" s="40"/>
    </row>
    <row r="120" spans="2:12" ht="21.75" customHeight="1" thickBot="1" x14ac:dyDescent="0.35">
      <c r="B120" s="145" t="s">
        <v>4</v>
      </c>
      <c r="C120" s="147" t="s">
        <v>0</v>
      </c>
      <c r="D120" s="147" t="s">
        <v>30</v>
      </c>
      <c r="E120" s="149" t="s">
        <v>12</v>
      </c>
      <c r="F120" s="150"/>
      <c r="G120" s="150"/>
      <c r="H120" s="151"/>
      <c r="I120" s="152" t="s">
        <v>35</v>
      </c>
      <c r="J120" s="143" t="s">
        <v>36</v>
      </c>
      <c r="K120" s="143" t="s">
        <v>37</v>
      </c>
      <c r="L120" s="143" t="s">
        <v>38</v>
      </c>
    </row>
    <row r="121" spans="2:12" ht="56.25" customHeight="1" thickBot="1" x14ac:dyDescent="0.35">
      <c r="B121" s="146"/>
      <c r="C121" s="148"/>
      <c r="D121" s="148"/>
      <c r="E121" s="21" t="s">
        <v>31</v>
      </c>
      <c r="F121" s="21" t="s">
        <v>32</v>
      </c>
      <c r="G121" s="21" t="s">
        <v>33</v>
      </c>
      <c r="H121" s="21" t="s">
        <v>34</v>
      </c>
      <c r="I121" s="153"/>
      <c r="J121" s="144"/>
      <c r="K121" s="144"/>
      <c r="L121" s="144"/>
    </row>
    <row r="122" spans="2:12" ht="31.5" customHeight="1" thickBot="1" x14ac:dyDescent="0.35">
      <c r="B122" s="27" t="s">
        <v>26</v>
      </c>
      <c r="C122" s="28"/>
      <c r="D122" s="28"/>
      <c r="E122" s="28"/>
      <c r="F122" s="28"/>
      <c r="G122" s="28"/>
      <c r="H122" s="28"/>
      <c r="I122" s="28"/>
      <c r="J122" s="28"/>
      <c r="K122" s="28"/>
      <c r="L122" s="30"/>
    </row>
    <row r="123" spans="2:12" ht="31.5" customHeight="1" thickBot="1" x14ac:dyDescent="0.35">
      <c r="B123" s="55" t="s">
        <v>51</v>
      </c>
      <c r="C123" s="12" t="s">
        <v>90</v>
      </c>
      <c r="D123" s="34">
        <v>170</v>
      </c>
      <c r="E123" s="31">
        <f>1.44+11.1</f>
        <v>12.54</v>
      </c>
      <c r="F123" s="31">
        <f>13.35+1.7</f>
        <v>15.049999999999999</v>
      </c>
      <c r="G123" s="31">
        <f>11.1+36.7</f>
        <v>47.800000000000004</v>
      </c>
      <c r="H123" s="31">
        <f>65.6+303.3</f>
        <v>368.9</v>
      </c>
      <c r="I123" s="14">
        <v>0.17</v>
      </c>
      <c r="J123" s="44">
        <f>77.25+61.4</f>
        <v>138.65</v>
      </c>
      <c r="K123" s="16">
        <f>6.8+18</f>
        <v>24.8</v>
      </c>
      <c r="L123" s="5">
        <f>0.04+1.35</f>
        <v>1.3900000000000001</v>
      </c>
    </row>
    <row r="124" spans="2:12" ht="30" customHeight="1" thickBot="1" x14ac:dyDescent="0.35">
      <c r="B124" s="33" t="s">
        <v>13</v>
      </c>
      <c r="C124" s="12" t="s">
        <v>42</v>
      </c>
      <c r="D124" s="34">
        <v>200</v>
      </c>
      <c r="E124" s="4">
        <v>0</v>
      </c>
      <c r="F124" s="4">
        <v>0</v>
      </c>
      <c r="G124" s="4">
        <v>6.9860000000000007</v>
      </c>
      <c r="H124" s="4">
        <v>27.93</v>
      </c>
      <c r="I124" s="4">
        <v>0.05</v>
      </c>
      <c r="J124" s="4">
        <v>2.69</v>
      </c>
      <c r="K124" s="16">
        <v>2.2000000000000002</v>
      </c>
      <c r="L124" s="5">
        <v>0.43</v>
      </c>
    </row>
    <row r="125" spans="2:12" ht="32.25" customHeight="1" thickBot="1" x14ac:dyDescent="0.35">
      <c r="B125" s="33" t="s">
        <v>14</v>
      </c>
      <c r="C125" s="12" t="s">
        <v>40</v>
      </c>
      <c r="D125" s="34">
        <v>60</v>
      </c>
      <c r="E125" s="4">
        <v>4.5599999999999996</v>
      </c>
      <c r="F125" s="4">
        <v>0.47999999999999993</v>
      </c>
      <c r="G125" s="4">
        <v>29.479999999999997</v>
      </c>
      <c r="H125" s="4">
        <v>141</v>
      </c>
      <c r="I125" s="16">
        <v>0</v>
      </c>
      <c r="J125" s="24">
        <v>13.8</v>
      </c>
      <c r="K125" s="16">
        <v>19.8</v>
      </c>
      <c r="L125" s="16">
        <v>1.1466666666666667</v>
      </c>
    </row>
    <row r="126" spans="2:12" ht="31.5" customHeight="1" thickBot="1" x14ac:dyDescent="0.35">
      <c r="B126" s="7" t="s">
        <v>17</v>
      </c>
      <c r="C126" s="26" t="s">
        <v>52</v>
      </c>
      <c r="D126" s="34">
        <v>100</v>
      </c>
      <c r="E126" s="4">
        <v>0.4</v>
      </c>
      <c r="F126" s="4">
        <v>0.4</v>
      </c>
      <c r="G126" s="4">
        <v>9.8000000000000007</v>
      </c>
      <c r="H126" s="4">
        <v>47</v>
      </c>
      <c r="I126" s="4">
        <v>10</v>
      </c>
      <c r="J126" s="4">
        <v>16</v>
      </c>
      <c r="K126" s="16">
        <v>9</v>
      </c>
      <c r="L126" s="5">
        <v>2.2000000000000002</v>
      </c>
    </row>
    <row r="127" spans="2:12" ht="39.75" customHeight="1" thickBot="1" x14ac:dyDescent="0.35">
      <c r="B127" s="122"/>
      <c r="C127" s="121" t="s">
        <v>27</v>
      </c>
      <c r="D127" s="94">
        <f t="shared" ref="D127:L127" si="18">SUM(D123:D126)</f>
        <v>530</v>
      </c>
      <c r="E127" s="112">
        <f t="shared" si="18"/>
        <v>17.499999999999996</v>
      </c>
      <c r="F127" s="112">
        <f t="shared" si="18"/>
        <v>15.93</v>
      </c>
      <c r="G127" s="112">
        <f t="shared" si="18"/>
        <v>94.065999999999988</v>
      </c>
      <c r="H127" s="112">
        <f t="shared" si="18"/>
        <v>584.82999999999993</v>
      </c>
      <c r="I127" s="112">
        <f t="shared" si="18"/>
        <v>10.220000000000001</v>
      </c>
      <c r="J127" s="112">
        <f t="shared" si="18"/>
        <v>171.14000000000001</v>
      </c>
      <c r="K127" s="112">
        <f t="shared" si="18"/>
        <v>55.8</v>
      </c>
      <c r="L127" s="112">
        <f t="shared" si="18"/>
        <v>5.166666666666667</v>
      </c>
    </row>
    <row r="128" spans="2:12" ht="27.75" customHeight="1" thickBot="1" x14ac:dyDescent="0.35">
      <c r="B128" s="27" t="s">
        <v>1</v>
      </c>
      <c r="C128" s="28"/>
      <c r="D128" s="29"/>
      <c r="E128" s="28"/>
      <c r="F128" s="28"/>
      <c r="G128" s="28"/>
      <c r="H128" s="28"/>
      <c r="I128" s="28"/>
      <c r="J128" s="28"/>
      <c r="K128" s="28"/>
      <c r="L128" s="30"/>
    </row>
    <row r="129" spans="2:13" ht="29.25" customHeight="1" thickBot="1" x14ac:dyDescent="0.35">
      <c r="B129" s="1" t="s">
        <v>65</v>
      </c>
      <c r="C129" s="2" t="s">
        <v>66</v>
      </c>
      <c r="D129" s="3">
        <v>100</v>
      </c>
      <c r="E129" s="31">
        <v>1.6</v>
      </c>
      <c r="F129" s="31">
        <v>5.0999999999999996</v>
      </c>
      <c r="G129" s="31">
        <v>3.25</v>
      </c>
      <c r="H129" s="31">
        <v>67.683333333333337</v>
      </c>
      <c r="I129" s="14">
        <v>19.816666666666666</v>
      </c>
      <c r="J129" s="15">
        <v>52.233333333333334</v>
      </c>
      <c r="K129" s="16">
        <v>16.016666666666666</v>
      </c>
      <c r="L129" s="32">
        <v>0.66666666666666663</v>
      </c>
    </row>
    <row r="130" spans="2:13" ht="29.25" customHeight="1" thickBot="1" x14ac:dyDescent="0.35">
      <c r="B130" s="55" t="s">
        <v>18</v>
      </c>
      <c r="C130" s="12" t="s">
        <v>50</v>
      </c>
      <c r="D130" s="34">
        <v>250</v>
      </c>
      <c r="E130" s="4">
        <f>1.98*250/200</f>
        <v>2.4750000000000001</v>
      </c>
      <c r="F130" s="4">
        <f>3.51*250/200</f>
        <v>4.3875000000000002</v>
      </c>
      <c r="G130" s="4">
        <f>13.74*250/200</f>
        <v>17.175000000000001</v>
      </c>
      <c r="H130" s="4">
        <f>95.14*250/200</f>
        <v>118.925</v>
      </c>
      <c r="I130" s="14">
        <f>13.42*250/200</f>
        <v>16.774999999999999</v>
      </c>
      <c r="J130" s="36">
        <f>20.31*250/200</f>
        <v>25.387499999999999</v>
      </c>
      <c r="K130" s="11">
        <f>21.25*250/200</f>
        <v>26.5625</v>
      </c>
      <c r="L130" s="5">
        <f>0.8*250/200</f>
        <v>1</v>
      </c>
    </row>
    <row r="131" spans="2:13" ht="29.25" customHeight="1" thickBot="1" x14ac:dyDescent="0.35">
      <c r="B131" s="45" t="s">
        <v>67</v>
      </c>
      <c r="C131" s="12" t="s">
        <v>80</v>
      </c>
      <c r="D131" s="34">
        <v>250</v>
      </c>
      <c r="E131" s="4">
        <v>21.175000000000001</v>
      </c>
      <c r="F131" s="4">
        <v>13.074999999999999</v>
      </c>
      <c r="G131" s="4">
        <v>32.162500000000001</v>
      </c>
      <c r="H131" s="4">
        <v>381.66250000000002</v>
      </c>
      <c r="I131" s="14">
        <v>7.5250000000000004</v>
      </c>
      <c r="J131" s="36">
        <v>57.8125</v>
      </c>
      <c r="K131" s="103">
        <v>67.55</v>
      </c>
      <c r="L131" s="14">
        <v>2.4624999999999999</v>
      </c>
    </row>
    <row r="132" spans="2:13" ht="29.25" customHeight="1" thickBot="1" x14ac:dyDescent="0.35">
      <c r="B132" s="33" t="s">
        <v>14</v>
      </c>
      <c r="C132" s="12" t="s">
        <v>40</v>
      </c>
      <c r="D132" s="34">
        <v>60</v>
      </c>
      <c r="E132" s="4">
        <v>4.5599999999999996</v>
      </c>
      <c r="F132" s="4">
        <v>0.47999999999999993</v>
      </c>
      <c r="G132" s="4">
        <v>29.479999999999997</v>
      </c>
      <c r="H132" s="4">
        <v>141</v>
      </c>
      <c r="I132" s="14">
        <v>0</v>
      </c>
      <c r="J132" s="36">
        <v>13.8</v>
      </c>
      <c r="K132" s="16">
        <v>19.8</v>
      </c>
      <c r="L132" s="5">
        <v>1.1466666666666667</v>
      </c>
    </row>
    <row r="133" spans="2:13" ht="30.75" customHeight="1" thickBot="1" x14ac:dyDescent="0.35">
      <c r="B133" s="33" t="s">
        <v>16</v>
      </c>
      <c r="C133" s="12" t="s">
        <v>41</v>
      </c>
      <c r="D133" s="34">
        <v>40</v>
      </c>
      <c r="E133" s="4">
        <v>2.64</v>
      </c>
      <c r="F133" s="4">
        <v>4.8</v>
      </c>
      <c r="G133" s="4">
        <v>13.36</v>
      </c>
      <c r="H133" s="4">
        <v>69.599999999999994</v>
      </c>
      <c r="I133" s="14">
        <v>0</v>
      </c>
      <c r="J133" s="36">
        <v>13.2</v>
      </c>
      <c r="K133" s="16">
        <v>22.8</v>
      </c>
      <c r="L133" s="5">
        <v>1.8079999999999998</v>
      </c>
    </row>
    <row r="134" spans="2:13" ht="30" customHeight="1" thickBot="1" x14ac:dyDescent="0.35">
      <c r="B134" s="7" t="s">
        <v>47</v>
      </c>
      <c r="C134" s="26" t="s">
        <v>48</v>
      </c>
      <c r="D134" s="13">
        <v>180</v>
      </c>
      <c r="E134" s="14">
        <v>0.9</v>
      </c>
      <c r="F134" s="14">
        <v>0.18</v>
      </c>
      <c r="G134" s="14">
        <v>18.18</v>
      </c>
      <c r="H134" s="4">
        <v>82.8</v>
      </c>
      <c r="I134" s="5">
        <v>3.6</v>
      </c>
      <c r="J134" s="15">
        <v>12.6</v>
      </c>
      <c r="K134" s="16">
        <v>7.2</v>
      </c>
      <c r="L134" s="5">
        <v>2.52</v>
      </c>
    </row>
    <row r="135" spans="2:13" ht="40.5" customHeight="1" thickBot="1" x14ac:dyDescent="0.35">
      <c r="B135" s="33"/>
      <c r="C135" s="56" t="s">
        <v>2</v>
      </c>
      <c r="D135" s="57">
        <f t="shared" ref="D135:L135" si="19">SUM(D129:D134)</f>
        <v>880</v>
      </c>
      <c r="E135" s="58">
        <f t="shared" si="19"/>
        <v>33.349999999999994</v>
      </c>
      <c r="F135" s="58">
        <f t="shared" si="19"/>
        <v>28.022500000000001</v>
      </c>
      <c r="G135" s="58">
        <f t="shared" si="19"/>
        <v>113.60749999999999</v>
      </c>
      <c r="H135" s="58">
        <f t="shared" si="19"/>
        <v>861.67083333333335</v>
      </c>
      <c r="I135" s="58">
        <f t="shared" si="19"/>
        <v>47.716666666666669</v>
      </c>
      <c r="J135" s="58">
        <f t="shared" si="19"/>
        <v>175.03333333333333</v>
      </c>
      <c r="K135" s="58">
        <f t="shared" si="19"/>
        <v>159.92916666666667</v>
      </c>
      <c r="L135" s="61">
        <f t="shared" si="19"/>
        <v>9.6038333333333323</v>
      </c>
      <c r="M135" s="41"/>
    </row>
    <row r="136" spans="2:13" ht="41.25" customHeight="1" thickBot="1" x14ac:dyDescent="0.35">
      <c r="B136" s="7"/>
      <c r="C136" s="62" t="s">
        <v>3</v>
      </c>
      <c r="D136" s="63">
        <f t="shared" ref="D136:L136" si="20">D135+D127</f>
        <v>1410</v>
      </c>
      <c r="E136" s="64">
        <f t="shared" si="20"/>
        <v>50.849999999999994</v>
      </c>
      <c r="F136" s="64">
        <f t="shared" si="20"/>
        <v>43.952500000000001</v>
      </c>
      <c r="G136" s="64">
        <f t="shared" si="20"/>
        <v>207.67349999999999</v>
      </c>
      <c r="H136" s="64">
        <f t="shared" si="20"/>
        <v>1446.5008333333333</v>
      </c>
      <c r="I136" s="64">
        <f t="shared" si="20"/>
        <v>57.936666666666667</v>
      </c>
      <c r="J136" s="64">
        <f t="shared" si="20"/>
        <v>346.17333333333335</v>
      </c>
      <c r="K136" s="64">
        <f t="shared" si="20"/>
        <v>215.72916666666669</v>
      </c>
      <c r="L136" s="59">
        <f t="shared" si="20"/>
        <v>14.770499999999998</v>
      </c>
      <c r="M136" s="41"/>
    </row>
    <row r="137" spans="2:13" ht="36.75" customHeight="1" thickBot="1" x14ac:dyDescent="0.35">
      <c r="B137" s="137" t="s">
        <v>23</v>
      </c>
      <c r="C137" s="39"/>
      <c r="D137" s="39"/>
      <c r="E137" s="39"/>
      <c r="F137" s="39"/>
      <c r="G137" s="39"/>
      <c r="H137" s="39"/>
      <c r="I137" s="39"/>
      <c r="J137" s="39"/>
      <c r="K137" s="39"/>
      <c r="L137" s="40"/>
    </row>
    <row r="138" spans="2:13" ht="23.25" customHeight="1" thickBot="1" x14ac:dyDescent="0.35">
      <c r="B138" s="145" t="s">
        <v>4</v>
      </c>
      <c r="C138" s="147" t="s">
        <v>0</v>
      </c>
      <c r="D138" s="147" t="s">
        <v>30</v>
      </c>
      <c r="E138" s="149" t="s">
        <v>12</v>
      </c>
      <c r="F138" s="150"/>
      <c r="G138" s="150"/>
      <c r="H138" s="151"/>
      <c r="I138" s="152" t="s">
        <v>35</v>
      </c>
      <c r="J138" s="143" t="s">
        <v>36</v>
      </c>
      <c r="K138" s="143" t="s">
        <v>37</v>
      </c>
      <c r="L138" s="143" t="s">
        <v>38</v>
      </c>
    </row>
    <row r="139" spans="2:13" ht="54.75" customHeight="1" thickBot="1" x14ac:dyDescent="0.35">
      <c r="B139" s="146"/>
      <c r="C139" s="148"/>
      <c r="D139" s="148"/>
      <c r="E139" s="21" t="s">
        <v>31</v>
      </c>
      <c r="F139" s="21" t="s">
        <v>32</v>
      </c>
      <c r="G139" s="21" t="s">
        <v>33</v>
      </c>
      <c r="H139" s="21" t="s">
        <v>34</v>
      </c>
      <c r="I139" s="153"/>
      <c r="J139" s="144"/>
      <c r="K139" s="144"/>
      <c r="L139" s="144"/>
    </row>
    <row r="140" spans="2:13" ht="32.25" customHeight="1" thickBot="1" x14ac:dyDescent="0.35">
      <c r="B140" s="27" t="s">
        <v>26</v>
      </c>
      <c r="C140" s="28"/>
      <c r="D140" s="28"/>
      <c r="E140" s="28"/>
      <c r="F140" s="28"/>
      <c r="G140" s="28"/>
      <c r="H140" s="28"/>
      <c r="I140" s="28"/>
      <c r="J140" s="28"/>
      <c r="K140" s="28"/>
      <c r="L140" s="30"/>
    </row>
    <row r="141" spans="2:13" ht="29.25" customHeight="1" thickBot="1" x14ac:dyDescent="0.35">
      <c r="B141" s="7" t="s">
        <v>64</v>
      </c>
      <c r="C141" s="2" t="s">
        <v>63</v>
      </c>
      <c r="D141" s="3">
        <v>220</v>
      </c>
      <c r="E141" s="4">
        <f>5.02*220/200</f>
        <v>5.5219999999999994</v>
      </c>
      <c r="F141" s="4">
        <f>13.6*220/200</f>
        <v>14.96</v>
      </c>
      <c r="G141" s="4">
        <f>55.76*220/200</f>
        <v>61.335999999999991</v>
      </c>
      <c r="H141" s="4">
        <f>368*220/200</f>
        <v>404.8</v>
      </c>
      <c r="I141" s="4">
        <f>1.08*220/200</f>
        <v>1.1880000000000002</v>
      </c>
      <c r="J141" s="4">
        <f>55.36*220/200</f>
        <v>60.896000000000001</v>
      </c>
      <c r="K141" s="37">
        <f>53.22*220/200</f>
        <v>58.542000000000002</v>
      </c>
      <c r="L141" s="14">
        <f>1.66*220/200</f>
        <v>1.8259999999999998</v>
      </c>
    </row>
    <row r="142" spans="2:13" ht="30" customHeight="1" thickBot="1" x14ac:dyDescent="0.35">
      <c r="B142" s="7" t="s">
        <v>54</v>
      </c>
      <c r="C142" s="8" t="s">
        <v>60</v>
      </c>
      <c r="D142" s="9">
        <v>10</v>
      </c>
      <c r="E142" s="10">
        <v>2.0499999999999998</v>
      </c>
      <c r="F142" s="10">
        <v>2.2999999999999998</v>
      </c>
      <c r="G142" s="10">
        <v>0.23</v>
      </c>
      <c r="H142" s="10">
        <v>29.67</v>
      </c>
      <c r="I142" s="10">
        <v>0.06</v>
      </c>
      <c r="J142" s="10">
        <v>70</v>
      </c>
      <c r="K142" s="11">
        <v>3.3</v>
      </c>
      <c r="L142" s="5">
        <v>0.08</v>
      </c>
    </row>
    <row r="143" spans="2:13" ht="28.5" customHeight="1" thickBot="1" x14ac:dyDescent="0.35">
      <c r="B143" s="7" t="s">
        <v>14</v>
      </c>
      <c r="C143" s="12" t="s">
        <v>40</v>
      </c>
      <c r="D143" s="34">
        <v>40</v>
      </c>
      <c r="E143" s="4">
        <v>3.08</v>
      </c>
      <c r="F143" s="4">
        <v>1.2</v>
      </c>
      <c r="G143" s="4">
        <v>20.04</v>
      </c>
      <c r="H143" s="4">
        <v>103.6</v>
      </c>
      <c r="I143" s="4">
        <v>0</v>
      </c>
      <c r="J143" s="4">
        <v>8.8000000000000007</v>
      </c>
      <c r="K143" s="11">
        <v>13.2</v>
      </c>
      <c r="L143" s="5">
        <v>0.8</v>
      </c>
    </row>
    <row r="144" spans="2:13" ht="28.5" customHeight="1" thickBot="1" x14ac:dyDescent="0.35">
      <c r="B144" s="7" t="s">
        <v>17</v>
      </c>
      <c r="C144" s="26" t="s">
        <v>52</v>
      </c>
      <c r="D144" s="34">
        <v>100</v>
      </c>
      <c r="E144" s="4">
        <v>0.4</v>
      </c>
      <c r="F144" s="4">
        <v>0.4</v>
      </c>
      <c r="G144" s="4">
        <v>9.8000000000000007</v>
      </c>
      <c r="H144" s="4">
        <v>47</v>
      </c>
      <c r="I144" s="4">
        <v>10</v>
      </c>
      <c r="J144" s="4">
        <v>16</v>
      </c>
      <c r="K144" s="16">
        <v>9</v>
      </c>
      <c r="L144" s="5">
        <v>2.2000000000000002</v>
      </c>
    </row>
    <row r="145" spans="2:12" ht="32.25" customHeight="1" thickBot="1" x14ac:dyDescent="0.35">
      <c r="B145" s="33" t="s">
        <v>47</v>
      </c>
      <c r="C145" s="12" t="s">
        <v>48</v>
      </c>
      <c r="D145" s="34">
        <v>200</v>
      </c>
      <c r="E145" s="4">
        <v>1</v>
      </c>
      <c r="F145" s="4">
        <v>0.2</v>
      </c>
      <c r="G145" s="4">
        <v>20.2</v>
      </c>
      <c r="H145" s="4">
        <v>92</v>
      </c>
      <c r="I145" s="16">
        <v>4</v>
      </c>
      <c r="J145" s="24">
        <v>14</v>
      </c>
      <c r="K145" s="16">
        <v>8</v>
      </c>
      <c r="L145" s="16">
        <v>2.8</v>
      </c>
    </row>
    <row r="146" spans="2:12" ht="40.5" customHeight="1" thickBot="1" x14ac:dyDescent="0.35">
      <c r="B146" s="126"/>
      <c r="C146" s="127" t="s">
        <v>27</v>
      </c>
      <c r="D146" s="128">
        <f t="shared" ref="D146:L146" si="21">SUM(D141:D145)</f>
        <v>570</v>
      </c>
      <c r="E146" s="129">
        <f t="shared" si="21"/>
        <v>12.052</v>
      </c>
      <c r="F146" s="130">
        <f t="shared" si="21"/>
        <v>19.059999999999999</v>
      </c>
      <c r="G146" s="129">
        <f t="shared" si="21"/>
        <v>111.60599999999999</v>
      </c>
      <c r="H146" s="129">
        <f t="shared" si="21"/>
        <v>677.07</v>
      </c>
      <c r="I146" s="130">
        <f t="shared" si="21"/>
        <v>15.248000000000001</v>
      </c>
      <c r="J146" s="129">
        <f t="shared" si="21"/>
        <v>169.69600000000003</v>
      </c>
      <c r="K146" s="130">
        <f t="shared" si="21"/>
        <v>92.042000000000002</v>
      </c>
      <c r="L146" s="129">
        <f t="shared" si="21"/>
        <v>7.7060000000000004</v>
      </c>
    </row>
    <row r="147" spans="2:12" ht="29.25" customHeight="1" thickBot="1" x14ac:dyDescent="0.35">
      <c r="B147" s="27" t="s">
        <v>1</v>
      </c>
      <c r="C147" s="28"/>
      <c r="D147" s="29"/>
      <c r="E147" s="28"/>
      <c r="F147" s="28"/>
      <c r="G147" s="28"/>
      <c r="H147" s="28"/>
      <c r="I147" s="28"/>
      <c r="J147" s="28"/>
      <c r="K147" s="28"/>
      <c r="L147" s="30"/>
    </row>
    <row r="148" spans="2:12" ht="30" customHeight="1" thickBot="1" x14ac:dyDescent="0.35">
      <c r="B148" s="55" t="s">
        <v>55</v>
      </c>
      <c r="C148" s="65" t="s">
        <v>59</v>
      </c>
      <c r="D148" s="66">
        <v>100</v>
      </c>
      <c r="E148" s="14">
        <v>0.7</v>
      </c>
      <c r="F148" s="14">
        <v>0.1</v>
      </c>
      <c r="G148" s="14">
        <v>1.8999999999999997</v>
      </c>
      <c r="H148" s="14">
        <v>11</v>
      </c>
      <c r="I148" s="14">
        <v>10</v>
      </c>
      <c r="J148" s="44">
        <v>23</v>
      </c>
      <c r="K148" s="11">
        <v>14</v>
      </c>
      <c r="L148" s="5">
        <v>0.9</v>
      </c>
    </row>
    <row r="149" spans="2:12" ht="30" customHeight="1" thickBot="1" x14ac:dyDescent="0.35">
      <c r="B149" s="33" t="s">
        <v>15</v>
      </c>
      <c r="C149" s="12" t="s">
        <v>75</v>
      </c>
      <c r="D149" s="34">
        <v>250</v>
      </c>
      <c r="E149" s="4">
        <v>5.87</v>
      </c>
      <c r="F149" s="4">
        <v>5.55</v>
      </c>
      <c r="G149" s="4">
        <v>19.27</v>
      </c>
      <c r="H149" s="5">
        <v>150.85</v>
      </c>
      <c r="I149" s="16">
        <v>11.5</v>
      </c>
      <c r="J149" s="24">
        <v>61.25</v>
      </c>
      <c r="K149" s="16">
        <v>38.26</v>
      </c>
      <c r="L149" s="25">
        <v>2.5</v>
      </c>
    </row>
    <row r="150" spans="2:12" ht="31.5" customHeight="1" thickBot="1" x14ac:dyDescent="0.35">
      <c r="B150" s="33" t="s">
        <v>81</v>
      </c>
      <c r="C150" s="12" t="s">
        <v>79</v>
      </c>
      <c r="D150" s="34">
        <v>250</v>
      </c>
      <c r="E150" s="4">
        <v>31</v>
      </c>
      <c r="F150" s="4">
        <v>20.399999999999999</v>
      </c>
      <c r="G150" s="4">
        <v>22</v>
      </c>
      <c r="H150" s="4">
        <v>336.22500000000002</v>
      </c>
      <c r="I150" s="14">
        <v>12.875</v>
      </c>
      <c r="J150" s="36">
        <v>31.25</v>
      </c>
      <c r="K150" s="16">
        <v>126.25</v>
      </c>
      <c r="L150" s="5">
        <v>2.8624999999999998</v>
      </c>
    </row>
    <row r="151" spans="2:12" ht="32.25" customHeight="1" thickBot="1" x14ac:dyDescent="0.35">
      <c r="B151" s="7" t="s">
        <v>14</v>
      </c>
      <c r="C151" s="26" t="s">
        <v>40</v>
      </c>
      <c r="D151" s="13">
        <v>60</v>
      </c>
      <c r="E151" s="14">
        <v>4.5599999999999996</v>
      </c>
      <c r="F151" s="14">
        <v>0.47999999999999993</v>
      </c>
      <c r="G151" s="14">
        <v>29.479999999999997</v>
      </c>
      <c r="H151" s="4">
        <v>141</v>
      </c>
      <c r="I151" s="5">
        <v>0</v>
      </c>
      <c r="J151" s="15">
        <v>13.8</v>
      </c>
      <c r="K151" s="16">
        <v>19.8</v>
      </c>
      <c r="L151" s="5">
        <v>1.1466666666666667</v>
      </c>
    </row>
    <row r="152" spans="2:12" ht="30" customHeight="1" thickBot="1" x14ac:dyDescent="0.35">
      <c r="B152" s="33" t="s">
        <v>16</v>
      </c>
      <c r="C152" s="12" t="s">
        <v>41</v>
      </c>
      <c r="D152" s="34">
        <v>40</v>
      </c>
      <c r="E152" s="4">
        <v>2.64</v>
      </c>
      <c r="F152" s="4">
        <v>4.8</v>
      </c>
      <c r="G152" s="4">
        <v>13.36</v>
      </c>
      <c r="H152" s="4">
        <v>69.599999999999994</v>
      </c>
      <c r="I152" s="5">
        <v>0</v>
      </c>
      <c r="J152" s="36">
        <v>13.2</v>
      </c>
      <c r="K152" s="37">
        <v>22.8</v>
      </c>
      <c r="L152" s="5">
        <v>1.8079999999999998</v>
      </c>
    </row>
    <row r="153" spans="2:12" ht="30.75" customHeight="1" thickBot="1" x14ac:dyDescent="0.35">
      <c r="B153" s="33" t="s">
        <v>13</v>
      </c>
      <c r="C153" s="12" t="s">
        <v>42</v>
      </c>
      <c r="D153" s="34">
        <v>200</v>
      </c>
      <c r="E153" s="4">
        <v>0</v>
      </c>
      <c r="F153" s="4">
        <v>0</v>
      </c>
      <c r="G153" s="4">
        <v>6.9860000000000007</v>
      </c>
      <c r="H153" s="4">
        <v>27.93</v>
      </c>
      <c r="I153" s="4">
        <v>0.05</v>
      </c>
      <c r="J153" s="4">
        <v>2.69</v>
      </c>
      <c r="K153" s="16">
        <v>2.2000000000000002</v>
      </c>
      <c r="L153" s="5">
        <v>0.43</v>
      </c>
    </row>
    <row r="154" spans="2:12" ht="30.75" customHeight="1" thickBot="1" x14ac:dyDescent="0.35">
      <c r="B154" s="33" t="s">
        <v>17</v>
      </c>
      <c r="C154" s="12" t="s">
        <v>52</v>
      </c>
      <c r="D154" s="34">
        <v>100</v>
      </c>
      <c r="E154" s="4">
        <v>0.4</v>
      </c>
      <c r="F154" s="4">
        <v>0.4</v>
      </c>
      <c r="G154" s="4">
        <v>9.8000000000000007</v>
      </c>
      <c r="H154" s="4">
        <v>47</v>
      </c>
      <c r="I154" s="14">
        <v>10</v>
      </c>
      <c r="J154" s="36">
        <v>16</v>
      </c>
      <c r="K154" s="103">
        <v>9</v>
      </c>
      <c r="L154" s="5">
        <v>2.2000000000000002</v>
      </c>
    </row>
    <row r="155" spans="2:12" ht="39" customHeight="1" thickBot="1" x14ac:dyDescent="0.35">
      <c r="B155" s="67"/>
      <c r="C155" s="56" t="s">
        <v>2</v>
      </c>
      <c r="D155" s="57">
        <f t="shared" ref="D155:L155" si="22">SUM(D148:D154)</f>
        <v>1000</v>
      </c>
      <c r="E155" s="58">
        <f t="shared" si="22"/>
        <v>45.17</v>
      </c>
      <c r="F155" s="58">
        <f t="shared" si="22"/>
        <v>31.729999999999997</v>
      </c>
      <c r="G155" s="58">
        <f t="shared" si="22"/>
        <v>102.79600000000001</v>
      </c>
      <c r="H155" s="58">
        <f t="shared" si="22"/>
        <v>783.60500000000002</v>
      </c>
      <c r="I155" s="58">
        <f t="shared" si="22"/>
        <v>44.424999999999997</v>
      </c>
      <c r="J155" s="58">
        <f t="shared" si="22"/>
        <v>161.19</v>
      </c>
      <c r="K155" s="58">
        <f t="shared" si="22"/>
        <v>232.31</v>
      </c>
      <c r="L155" s="58">
        <f t="shared" si="22"/>
        <v>11.847166666666666</v>
      </c>
    </row>
    <row r="156" spans="2:12" ht="39.75" customHeight="1" thickBot="1" x14ac:dyDescent="0.35">
      <c r="B156" s="38"/>
      <c r="C156" s="62" t="s">
        <v>3</v>
      </c>
      <c r="D156" s="63">
        <f t="shared" ref="D156:L156" si="23">D155+D146</f>
        <v>1570</v>
      </c>
      <c r="E156" s="64">
        <f t="shared" si="23"/>
        <v>57.222000000000001</v>
      </c>
      <c r="F156" s="64">
        <f t="shared" si="23"/>
        <v>50.789999999999992</v>
      </c>
      <c r="G156" s="64">
        <f t="shared" si="23"/>
        <v>214.40199999999999</v>
      </c>
      <c r="H156" s="64">
        <f t="shared" si="23"/>
        <v>1460.6750000000002</v>
      </c>
      <c r="I156" s="64">
        <f t="shared" si="23"/>
        <v>59.673000000000002</v>
      </c>
      <c r="J156" s="64">
        <f t="shared" si="23"/>
        <v>330.88600000000002</v>
      </c>
      <c r="K156" s="64">
        <f t="shared" si="23"/>
        <v>324.35199999999998</v>
      </c>
      <c r="L156" s="59">
        <f t="shared" si="23"/>
        <v>19.553166666666666</v>
      </c>
    </row>
    <row r="157" spans="2:12" ht="34.5" customHeight="1" thickBot="1" x14ac:dyDescent="0.35">
      <c r="B157" s="137" t="s">
        <v>24</v>
      </c>
      <c r="C157" s="39"/>
      <c r="D157" s="39"/>
      <c r="E157" s="39"/>
      <c r="F157" s="39"/>
      <c r="G157" s="39"/>
      <c r="H157" s="39"/>
      <c r="I157" s="39"/>
      <c r="J157" s="39"/>
      <c r="K157" s="39"/>
      <c r="L157" s="40"/>
    </row>
    <row r="158" spans="2:12" ht="21" customHeight="1" thickBot="1" x14ac:dyDescent="0.35">
      <c r="B158" s="145" t="s">
        <v>4</v>
      </c>
      <c r="C158" s="147" t="s">
        <v>0</v>
      </c>
      <c r="D158" s="147" t="s">
        <v>30</v>
      </c>
      <c r="E158" s="149" t="s">
        <v>12</v>
      </c>
      <c r="F158" s="150"/>
      <c r="G158" s="150"/>
      <c r="H158" s="151"/>
      <c r="I158" s="152" t="s">
        <v>35</v>
      </c>
      <c r="J158" s="143" t="s">
        <v>36</v>
      </c>
      <c r="K158" s="143" t="s">
        <v>37</v>
      </c>
      <c r="L158" s="143" t="s">
        <v>38</v>
      </c>
    </row>
    <row r="159" spans="2:12" ht="46.5" customHeight="1" thickBot="1" x14ac:dyDescent="0.35">
      <c r="B159" s="146"/>
      <c r="C159" s="148"/>
      <c r="D159" s="148"/>
      <c r="E159" s="21" t="s">
        <v>31</v>
      </c>
      <c r="F159" s="21" t="s">
        <v>32</v>
      </c>
      <c r="G159" s="21" t="s">
        <v>33</v>
      </c>
      <c r="H159" s="21" t="s">
        <v>34</v>
      </c>
      <c r="I159" s="153"/>
      <c r="J159" s="144"/>
      <c r="K159" s="144"/>
      <c r="L159" s="144"/>
    </row>
    <row r="160" spans="2:12" ht="33" customHeight="1" thickBot="1" x14ac:dyDescent="0.35">
      <c r="B160" s="27" t="s">
        <v>26</v>
      </c>
      <c r="C160" s="28"/>
      <c r="D160" s="28"/>
      <c r="E160" s="28"/>
      <c r="F160" s="28"/>
      <c r="G160" s="28"/>
      <c r="H160" s="28"/>
      <c r="I160" s="28"/>
      <c r="J160" s="28"/>
      <c r="K160" s="28"/>
      <c r="L160" s="30"/>
    </row>
    <row r="161" spans="2:12" ht="28.5" customHeight="1" thickBot="1" x14ac:dyDescent="0.35">
      <c r="B161" s="33" t="s">
        <v>43</v>
      </c>
      <c r="C161" s="12" t="s">
        <v>94</v>
      </c>
      <c r="D161" s="34">
        <v>270</v>
      </c>
      <c r="E161" s="4">
        <f>11.5*270/250</f>
        <v>12.42</v>
      </c>
      <c r="F161" s="4">
        <f>8.8*270/250</f>
        <v>9.5039999999999996</v>
      </c>
      <c r="G161" s="4">
        <f>39.29*270/250</f>
        <v>42.433199999999999</v>
      </c>
      <c r="H161" s="4">
        <f>324.95*270/250</f>
        <v>350.94600000000003</v>
      </c>
      <c r="I161" s="10">
        <f>4.2*270/250</f>
        <v>4.5359999999999996</v>
      </c>
      <c r="J161" s="10">
        <f>173.96*270/250</f>
        <v>187.87680000000003</v>
      </c>
      <c r="K161" s="10">
        <f>67.33*270/250</f>
        <v>72.716399999999993</v>
      </c>
      <c r="L161" s="5">
        <f>1.56*270/250</f>
        <v>1.6847999999999999</v>
      </c>
    </row>
    <row r="162" spans="2:12" ht="27" customHeight="1" thickBot="1" x14ac:dyDescent="0.35">
      <c r="B162" s="7" t="s">
        <v>19</v>
      </c>
      <c r="C162" s="8" t="s">
        <v>45</v>
      </c>
      <c r="D162" s="9">
        <v>10</v>
      </c>
      <c r="E162" s="10">
        <v>0.05</v>
      </c>
      <c r="F162" s="10">
        <v>8.25</v>
      </c>
      <c r="G162" s="10">
        <v>0.08</v>
      </c>
      <c r="H162" s="10">
        <v>74.8</v>
      </c>
      <c r="I162" s="10">
        <v>0</v>
      </c>
      <c r="J162" s="10">
        <v>2.4</v>
      </c>
      <c r="K162" s="11">
        <v>0.05</v>
      </c>
      <c r="L162" s="5">
        <v>0.02</v>
      </c>
    </row>
    <row r="163" spans="2:12" ht="29.25" customHeight="1" thickBot="1" x14ac:dyDescent="0.35">
      <c r="B163" s="7" t="s">
        <v>14</v>
      </c>
      <c r="C163" s="12" t="s">
        <v>40</v>
      </c>
      <c r="D163" s="9">
        <v>40</v>
      </c>
      <c r="E163" s="4">
        <v>3.04</v>
      </c>
      <c r="F163" s="4">
        <v>0.31999999999999995</v>
      </c>
      <c r="G163" s="4">
        <v>19.653333333333332</v>
      </c>
      <c r="H163" s="4">
        <v>94</v>
      </c>
      <c r="I163" s="4">
        <v>0</v>
      </c>
      <c r="J163" s="4">
        <v>9.1999999999999993</v>
      </c>
      <c r="K163" s="16">
        <v>13.2</v>
      </c>
      <c r="L163" s="5">
        <v>0.85333333333333328</v>
      </c>
    </row>
    <row r="164" spans="2:12" ht="29.25" customHeight="1" thickBot="1" x14ac:dyDescent="0.35">
      <c r="B164" s="7" t="s">
        <v>16</v>
      </c>
      <c r="C164" s="26" t="s">
        <v>41</v>
      </c>
      <c r="D164" s="13">
        <v>40</v>
      </c>
      <c r="E164" s="14">
        <v>2.64</v>
      </c>
      <c r="F164" s="14">
        <v>4.8</v>
      </c>
      <c r="G164" s="14">
        <v>13.36</v>
      </c>
      <c r="H164" s="4">
        <v>69.599999999999994</v>
      </c>
      <c r="I164" s="5">
        <v>0</v>
      </c>
      <c r="J164" s="15">
        <v>13.2</v>
      </c>
      <c r="K164" s="16">
        <v>22.8</v>
      </c>
      <c r="L164" s="25">
        <v>1.8079999999999998</v>
      </c>
    </row>
    <row r="165" spans="2:12" ht="27" customHeight="1" thickBot="1" x14ac:dyDescent="0.35">
      <c r="B165" s="33" t="s">
        <v>13</v>
      </c>
      <c r="C165" s="12" t="s">
        <v>42</v>
      </c>
      <c r="D165" s="34">
        <v>200</v>
      </c>
      <c r="E165" s="4">
        <v>0</v>
      </c>
      <c r="F165" s="4">
        <v>0</v>
      </c>
      <c r="G165" s="4">
        <v>6.9860000000000007</v>
      </c>
      <c r="H165" s="4">
        <v>27.93</v>
      </c>
      <c r="I165" s="4">
        <v>0.05</v>
      </c>
      <c r="J165" s="4">
        <v>2.69</v>
      </c>
      <c r="K165" s="16">
        <v>2.2000000000000002</v>
      </c>
      <c r="L165" s="5">
        <v>0.43</v>
      </c>
    </row>
    <row r="166" spans="2:12" ht="37.5" customHeight="1" thickBot="1" x14ac:dyDescent="0.35">
      <c r="B166" s="126"/>
      <c r="C166" s="93" t="s">
        <v>27</v>
      </c>
      <c r="D166" s="94">
        <f t="shared" ref="D166:L166" si="24">SUM(D161:D165)</f>
        <v>560</v>
      </c>
      <c r="E166" s="59">
        <f t="shared" si="24"/>
        <v>18.150000000000002</v>
      </c>
      <c r="F166" s="59">
        <f t="shared" si="24"/>
        <v>22.873999999999999</v>
      </c>
      <c r="G166" s="59">
        <f t="shared" si="24"/>
        <v>82.512533333333337</v>
      </c>
      <c r="H166" s="59">
        <f t="shared" si="24"/>
        <v>617.27600000000007</v>
      </c>
      <c r="I166" s="59">
        <f t="shared" si="24"/>
        <v>4.5859999999999994</v>
      </c>
      <c r="J166" s="59">
        <f t="shared" si="24"/>
        <v>215.36680000000001</v>
      </c>
      <c r="K166" s="59">
        <f t="shared" si="24"/>
        <v>110.96639999999999</v>
      </c>
      <c r="L166" s="59">
        <f t="shared" si="24"/>
        <v>4.7961333333333327</v>
      </c>
    </row>
    <row r="167" spans="2:12" ht="30.75" customHeight="1" thickBot="1" x14ac:dyDescent="0.35">
      <c r="B167" s="27" t="s">
        <v>1</v>
      </c>
      <c r="C167" s="28"/>
      <c r="D167" s="29"/>
      <c r="E167" s="28"/>
      <c r="F167" s="28"/>
      <c r="G167" s="28"/>
      <c r="H167" s="28"/>
      <c r="I167" s="28"/>
      <c r="J167" s="28"/>
      <c r="K167" s="28"/>
      <c r="L167" s="30"/>
    </row>
    <row r="168" spans="2:12" ht="30.75" customHeight="1" thickBot="1" x14ac:dyDescent="0.35">
      <c r="B168" s="55" t="s">
        <v>55</v>
      </c>
      <c r="C168" s="12" t="s">
        <v>59</v>
      </c>
      <c r="D168" s="34">
        <v>100</v>
      </c>
      <c r="E168" s="10">
        <v>0.7</v>
      </c>
      <c r="F168" s="10">
        <v>0.1</v>
      </c>
      <c r="G168" s="10">
        <v>1.8999999999999997</v>
      </c>
      <c r="H168" s="5">
        <v>11</v>
      </c>
      <c r="I168" s="14">
        <v>10</v>
      </c>
      <c r="J168" s="44">
        <v>23</v>
      </c>
      <c r="K168" s="16">
        <v>14</v>
      </c>
      <c r="L168" s="5">
        <v>0.9</v>
      </c>
    </row>
    <row r="169" spans="2:12" ht="30" customHeight="1" thickBot="1" x14ac:dyDescent="0.35">
      <c r="B169" s="55" t="s">
        <v>91</v>
      </c>
      <c r="C169" s="12" t="s">
        <v>92</v>
      </c>
      <c r="D169" s="34">
        <v>250</v>
      </c>
      <c r="E169" s="4">
        <f>2.19*150/200</f>
        <v>1.6425000000000001</v>
      </c>
      <c r="F169" s="4">
        <f>5.18*250/200</f>
        <v>6.4749999999999996</v>
      </c>
      <c r="G169" s="4">
        <f>10.93*250/200</f>
        <v>13.6625</v>
      </c>
      <c r="H169" s="4">
        <f>101.1*250/200</f>
        <v>126.375</v>
      </c>
      <c r="I169" s="14">
        <f>18.92*250/200</f>
        <v>23.65</v>
      </c>
      <c r="J169" s="36">
        <f>32.83*250/200</f>
        <v>41.037500000000001</v>
      </c>
      <c r="K169" s="11">
        <f>24.15*250/200</f>
        <v>30.1875</v>
      </c>
      <c r="L169" s="5">
        <f>0</f>
        <v>0</v>
      </c>
    </row>
    <row r="170" spans="2:12" ht="27.75" customHeight="1" thickBot="1" x14ac:dyDescent="0.35">
      <c r="B170" s="33" t="s">
        <v>88</v>
      </c>
      <c r="C170" s="12" t="s">
        <v>86</v>
      </c>
      <c r="D170" s="34">
        <v>100</v>
      </c>
      <c r="E170" s="4">
        <v>12.33</v>
      </c>
      <c r="F170" s="4">
        <v>6.8</v>
      </c>
      <c r="G170" s="4">
        <v>11.5</v>
      </c>
      <c r="H170" s="4">
        <v>172.59</v>
      </c>
      <c r="I170" s="14">
        <v>1.2</v>
      </c>
      <c r="J170" s="36">
        <v>143.22999999999999</v>
      </c>
      <c r="K170" s="11">
        <v>45.71</v>
      </c>
      <c r="L170" s="5">
        <f>0.77*250/200</f>
        <v>0.96250000000000002</v>
      </c>
    </row>
    <row r="171" spans="2:12" ht="28.5" customHeight="1" thickBot="1" x14ac:dyDescent="0.35">
      <c r="B171" s="33" t="s">
        <v>87</v>
      </c>
      <c r="C171" s="12" t="s">
        <v>89</v>
      </c>
      <c r="D171" s="34">
        <v>180</v>
      </c>
      <c r="E171" s="4">
        <v>6.54</v>
      </c>
      <c r="F171" s="4">
        <v>6.9360000000000008</v>
      </c>
      <c r="G171" s="4">
        <v>36.54</v>
      </c>
      <c r="H171" s="4">
        <v>234.85200000000003</v>
      </c>
      <c r="I171" s="14">
        <v>0</v>
      </c>
      <c r="J171" s="36">
        <v>14.568000000000001</v>
      </c>
      <c r="K171" s="11">
        <v>9.7680000000000007</v>
      </c>
      <c r="L171" s="5">
        <v>0.27599999999999997</v>
      </c>
    </row>
    <row r="172" spans="2:12" ht="29.25" customHeight="1" thickBot="1" x14ac:dyDescent="0.35">
      <c r="B172" s="7" t="s">
        <v>14</v>
      </c>
      <c r="C172" s="26" t="s">
        <v>40</v>
      </c>
      <c r="D172" s="13">
        <v>60</v>
      </c>
      <c r="E172" s="14">
        <v>4.5599999999999996</v>
      </c>
      <c r="F172" s="14">
        <v>0.47999999999999993</v>
      </c>
      <c r="G172" s="14">
        <v>29.479999999999997</v>
      </c>
      <c r="H172" s="4">
        <v>141</v>
      </c>
      <c r="I172" s="5">
        <v>0</v>
      </c>
      <c r="J172" s="15">
        <v>13.8</v>
      </c>
      <c r="K172" s="16">
        <v>19.8</v>
      </c>
      <c r="L172" s="5">
        <v>1.1466666666666667</v>
      </c>
    </row>
    <row r="173" spans="2:12" ht="28.5" customHeight="1" thickBot="1" x14ac:dyDescent="0.35">
      <c r="B173" s="7" t="s">
        <v>16</v>
      </c>
      <c r="C173" s="26" t="s">
        <v>41</v>
      </c>
      <c r="D173" s="13">
        <v>40</v>
      </c>
      <c r="E173" s="14">
        <v>2.64</v>
      </c>
      <c r="F173" s="14">
        <v>4.8</v>
      </c>
      <c r="G173" s="14">
        <v>13.36</v>
      </c>
      <c r="H173" s="4">
        <v>69.599999999999994</v>
      </c>
      <c r="I173" s="5">
        <v>0</v>
      </c>
      <c r="J173" s="15">
        <v>13.2</v>
      </c>
      <c r="K173" s="16">
        <v>22.8</v>
      </c>
      <c r="L173" s="5">
        <v>1.8079999999999998</v>
      </c>
    </row>
    <row r="174" spans="2:12" ht="30.75" customHeight="1" thickBot="1" x14ac:dyDescent="0.35">
      <c r="B174" s="7" t="s">
        <v>13</v>
      </c>
      <c r="C174" s="26" t="s">
        <v>42</v>
      </c>
      <c r="D174" s="34">
        <v>200</v>
      </c>
      <c r="E174" s="4">
        <v>0</v>
      </c>
      <c r="F174" s="4">
        <v>0</v>
      </c>
      <c r="G174" s="4">
        <v>6.9860000000000007</v>
      </c>
      <c r="H174" s="4">
        <v>27.93</v>
      </c>
      <c r="I174" s="4">
        <v>0.05</v>
      </c>
      <c r="J174" s="4">
        <v>2.69</v>
      </c>
      <c r="K174" s="11">
        <v>2.2000000000000002</v>
      </c>
      <c r="L174" s="5">
        <v>0.43</v>
      </c>
    </row>
    <row r="175" spans="2:12" ht="36" customHeight="1" thickBot="1" x14ac:dyDescent="0.35">
      <c r="B175" s="68"/>
      <c r="C175" s="93" t="s">
        <v>2</v>
      </c>
      <c r="D175" s="94">
        <f t="shared" ref="D175:L175" si="25">SUM(D168:D174)</f>
        <v>930</v>
      </c>
      <c r="E175" s="91">
        <f t="shared" si="25"/>
        <v>28.412499999999998</v>
      </c>
      <c r="F175" s="59">
        <f t="shared" si="25"/>
        <v>25.591000000000001</v>
      </c>
      <c r="G175" s="91">
        <f t="shared" si="25"/>
        <v>113.4285</v>
      </c>
      <c r="H175" s="59">
        <f t="shared" si="25"/>
        <v>783.34699999999998</v>
      </c>
      <c r="I175" s="91">
        <f t="shared" si="25"/>
        <v>34.9</v>
      </c>
      <c r="J175" s="59">
        <f t="shared" si="25"/>
        <v>251.52549999999999</v>
      </c>
      <c r="K175" s="59">
        <f t="shared" si="25"/>
        <v>144.46549999999999</v>
      </c>
      <c r="L175" s="92">
        <f t="shared" si="25"/>
        <v>5.5231666666666666</v>
      </c>
    </row>
    <row r="176" spans="2:12" ht="35.25" customHeight="1" thickBot="1" x14ac:dyDescent="0.35">
      <c r="B176" s="7"/>
      <c r="C176" s="62" t="s">
        <v>3</v>
      </c>
      <c r="D176" s="63">
        <f t="shared" ref="D176:L176" si="26">D175+D166</f>
        <v>1490</v>
      </c>
      <c r="E176" s="64">
        <f t="shared" si="26"/>
        <v>46.5625</v>
      </c>
      <c r="F176" s="64">
        <f t="shared" si="26"/>
        <v>48.465000000000003</v>
      </c>
      <c r="G176" s="64">
        <f t="shared" si="26"/>
        <v>195.94103333333334</v>
      </c>
      <c r="H176" s="64">
        <f t="shared" si="26"/>
        <v>1400.623</v>
      </c>
      <c r="I176" s="64">
        <f t="shared" si="26"/>
        <v>39.485999999999997</v>
      </c>
      <c r="J176" s="64">
        <f t="shared" si="26"/>
        <v>466.89229999999998</v>
      </c>
      <c r="K176" s="64">
        <f t="shared" si="26"/>
        <v>255.43189999999998</v>
      </c>
      <c r="L176" s="59">
        <f t="shared" si="26"/>
        <v>10.319299999999998</v>
      </c>
    </row>
    <row r="177" spans="2:13" ht="36" customHeight="1" thickBot="1" x14ac:dyDescent="0.35">
      <c r="B177" s="137" t="s">
        <v>25</v>
      </c>
      <c r="C177" s="39"/>
      <c r="D177" s="39"/>
      <c r="E177" s="39"/>
      <c r="F177" s="39"/>
      <c r="G177" s="39"/>
      <c r="H177" s="39"/>
      <c r="I177" s="39"/>
      <c r="J177" s="39"/>
      <c r="K177" s="39"/>
      <c r="L177" s="40"/>
    </row>
    <row r="178" spans="2:13" ht="24" customHeight="1" thickBot="1" x14ac:dyDescent="0.35">
      <c r="B178" s="145" t="s">
        <v>4</v>
      </c>
      <c r="C178" s="147" t="s">
        <v>0</v>
      </c>
      <c r="D178" s="147" t="s">
        <v>30</v>
      </c>
      <c r="E178" s="149" t="s">
        <v>12</v>
      </c>
      <c r="F178" s="150"/>
      <c r="G178" s="150"/>
      <c r="H178" s="151"/>
      <c r="I178" s="152" t="s">
        <v>35</v>
      </c>
      <c r="J178" s="143" t="s">
        <v>36</v>
      </c>
      <c r="K178" s="143" t="s">
        <v>37</v>
      </c>
      <c r="L178" s="143" t="s">
        <v>38</v>
      </c>
    </row>
    <row r="179" spans="2:13" ht="46.5" customHeight="1" thickBot="1" x14ac:dyDescent="0.35">
      <c r="B179" s="146"/>
      <c r="C179" s="148"/>
      <c r="D179" s="148"/>
      <c r="E179" s="21" t="s">
        <v>31</v>
      </c>
      <c r="F179" s="21" t="s">
        <v>32</v>
      </c>
      <c r="G179" s="21" t="s">
        <v>33</v>
      </c>
      <c r="H179" s="21" t="s">
        <v>34</v>
      </c>
      <c r="I179" s="153"/>
      <c r="J179" s="144"/>
      <c r="K179" s="144"/>
      <c r="L179" s="144"/>
    </row>
    <row r="180" spans="2:13" ht="33" customHeight="1" thickBot="1" x14ac:dyDescent="0.35">
      <c r="B180" s="69" t="s">
        <v>26</v>
      </c>
      <c r="C180" s="48"/>
      <c r="D180" s="48"/>
      <c r="E180" s="48"/>
      <c r="F180" s="48"/>
      <c r="G180" s="48"/>
      <c r="H180" s="48"/>
      <c r="I180" s="48"/>
      <c r="J180" s="48"/>
      <c r="K180" s="70"/>
      <c r="L180" s="104"/>
    </row>
    <row r="181" spans="2:13" ht="30.75" customHeight="1" thickBot="1" x14ac:dyDescent="0.35">
      <c r="B181" s="55" t="s">
        <v>55</v>
      </c>
      <c r="C181" s="12" t="s">
        <v>59</v>
      </c>
      <c r="D181" s="34">
        <v>100</v>
      </c>
      <c r="E181" s="10">
        <v>0.7</v>
      </c>
      <c r="F181" s="10">
        <v>0.1</v>
      </c>
      <c r="G181" s="10">
        <v>1.8999999999999997</v>
      </c>
      <c r="H181" s="5">
        <v>11</v>
      </c>
      <c r="I181" s="14">
        <v>10</v>
      </c>
      <c r="J181" s="44">
        <v>23</v>
      </c>
      <c r="K181" s="16">
        <v>14</v>
      </c>
      <c r="L181" s="5">
        <v>0.9</v>
      </c>
    </row>
    <row r="182" spans="2:13" ht="29.25" customHeight="1" thickBot="1" x14ac:dyDescent="0.35">
      <c r="B182" s="7" t="s">
        <v>61</v>
      </c>
      <c r="C182" s="8" t="s">
        <v>56</v>
      </c>
      <c r="D182" s="9">
        <v>100</v>
      </c>
      <c r="E182" s="10">
        <v>10.63</v>
      </c>
      <c r="F182" s="10">
        <v>12.64</v>
      </c>
      <c r="G182" s="10">
        <v>19.02</v>
      </c>
      <c r="H182" s="10">
        <v>209.45</v>
      </c>
      <c r="I182" s="10">
        <v>0.54</v>
      </c>
      <c r="J182" s="10">
        <v>60.77</v>
      </c>
      <c r="K182" s="11">
        <v>33.950000000000003</v>
      </c>
      <c r="L182" s="5">
        <v>1.2</v>
      </c>
    </row>
    <row r="183" spans="2:13" ht="29.25" customHeight="1" thickBot="1" x14ac:dyDescent="0.35">
      <c r="B183" s="7" t="s">
        <v>62</v>
      </c>
      <c r="C183" s="8" t="s">
        <v>57</v>
      </c>
      <c r="D183" s="9">
        <v>180</v>
      </c>
      <c r="E183" s="10">
        <v>3.9</v>
      </c>
      <c r="F183" s="10">
        <v>3.456</v>
      </c>
      <c r="G183" s="10">
        <v>34.787999999999997</v>
      </c>
      <c r="H183" s="10">
        <v>227.47200000000001</v>
      </c>
      <c r="I183" s="10">
        <v>31.14</v>
      </c>
      <c r="J183" s="10">
        <v>174.708</v>
      </c>
      <c r="K183" s="11">
        <v>39.588000000000008</v>
      </c>
      <c r="L183" s="5">
        <v>1.464</v>
      </c>
    </row>
    <row r="184" spans="2:13" ht="28.5" customHeight="1" thickBot="1" x14ac:dyDescent="0.35">
      <c r="B184" s="7" t="s">
        <v>14</v>
      </c>
      <c r="C184" s="26" t="s">
        <v>40</v>
      </c>
      <c r="D184" s="13">
        <v>40</v>
      </c>
      <c r="E184" s="14">
        <v>3.04</v>
      </c>
      <c r="F184" s="14">
        <v>0.31999999999999995</v>
      </c>
      <c r="G184" s="14">
        <v>19.653333333333332</v>
      </c>
      <c r="H184" s="14">
        <v>94</v>
      </c>
      <c r="I184" s="14">
        <v>0</v>
      </c>
      <c r="J184" s="14">
        <v>9.1999999999999993</v>
      </c>
      <c r="K184" s="16">
        <v>13.2</v>
      </c>
      <c r="L184" s="5">
        <v>0.85333333333333328</v>
      </c>
    </row>
    <row r="185" spans="2:13" ht="27.75" customHeight="1" thickBot="1" x14ac:dyDescent="0.35">
      <c r="B185" s="7" t="s">
        <v>47</v>
      </c>
      <c r="C185" s="26" t="s">
        <v>48</v>
      </c>
      <c r="D185" s="105">
        <v>200</v>
      </c>
      <c r="E185" s="4">
        <v>1</v>
      </c>
      <c r="F185" s="5">
        <v>0.2</v>
      </c>
      <c r="G185" s="4">
        <v>20.2</v>
      </c>
      <c r="H185" s="4">
        <v>92</v>
      </c>
      <c r="I185" s="5">
        <v>4</v>
      </c>
      <c r="J185" s="4">
        <v>14</v>
      </c>
      <c r="K185" s="11">
        <v>8</v>
      </c>
      <c r="L185" s="5">
        <v>2.8</v>
      </c>
    </row>
    <row r="186" spans="2:13" ht="38.25" customHeight="1" thickBot="1" x14ac:dyDescent="0.35">
      <c r="B186" s="131"/>
      <c r="C186" s="121" t="s">
        <v>27</v>
      </c>
      <c r="D186" s="132">
        <f t="shared" ref="D186:L186" si="27">SUM(D181:D185)</f>
        <v>620</v>
      </c>
      <c r="E186" s="112">
        <f t="shared" si="27"/>
        <v>19.27</v>
      </c>
      <c r="F186" s="133">
        <f t="shared" si="27"/>
        <v>16.716000000000001</v>
      </c>
      <c r="G186" s="112">
        <f t="shared" si="27"/>
        <v>95.561333333333337</v>
      </c>
      <c r="H186" s="133">
        <f t="shared" si="27"/>
        <v>633.92200000000003</v>
      </c>
      <c r="I186" s="112">
        <f t="shared" si="27"/>
        <v>45.68</v>
      </c>
      <c r="J186" s="133">
        <f t="shared" si="27"/>
        <v>281.678</v>
      </c>
      <c r="K186" s="112">
        <f t="shared" si="27"/>
        <v>108.73800000000001</v>
      </c>
      <c r="L186" s="133">
        <f t="shared" si="27"/>
        <v>7.2173333333333334</v>
      </c>
      <c r="M186" s="41"/>
    </row>
    <row r="187" spans="2:13" ht="32.25" customHeight="1" thickBot="1" x14ac:dyDescent="0.35">
      <c r="B187" s="71" t="s">
        <v>20</v>
      </c>
      <c r="C187" s="48"/>
      <c r="D187" s="72"/>
      <c r="E187" s="53"/>
      <c r="F187" s="53"/>
      <c r="G187" s="53"/>
      <c r="H187" s="53"/>
      <c r="I187" s="53"/>
      <c r="J187" s="53"/>
      <c r="K187" s="73"/>
      <c r="L187" s="74"/>
    </row>
    <row r="188" spans="2:13" ht="30.75" customHeight="1" thickBot="1" x14ac:dyDescent="0.35">
      <c r="B188" s="33" t="s">
        <v>55</v>
      </c>
      <c r="C188" s="12" t="s">
        <v>59</v>
      </c>
      <c r="D188" s="34">
        <v>100</v>
      </c>
      <c r="E188" s="4">
        <v>0.7</v>
      </c>
      <c r="F188" s="4">
        <v>0.1</v>
      </c>
      <c r="G188" s="4">
        <v>1.8999999999999997</v>
      </c>
      <c r="H188" s="4">
        <v>11</v>
      </c>
      <c r="I188" s="4">
        <v>10</v>
      </c>
      <c r="J188" s="4">
        <v>23</v>
      </c>
      <c r="K188" s="14">
        <v>14</v>
      </c>
      <c r="L188" s="14">
        <v>0.9</v>
      </c>
    </row>
    <row r="189" spans="2:13" ht="30" customHeight="1" thickBot="1" x14ac:dyDescent="0.35">
      <c r="B189" s="33" t="s">
        <v>69</v>
      </c>
      <c r="C189" s="12" t="s">
        <v>93</v>
      </c>
      <c r="D189" s="34">
        <v>250</v>
      </c>
      <c r="E189" s="4">
        <v>1.6375</v>
      </c>
      <c r="F189" s="4">
        <v>6.0750000000000002</v>
      </c>
      <c r="G189" s="4">
        <v>10.8375</v>
      </c>
      <c r="H189" s="4">
        <v>132.57499999999999</v>
      </c>
      <c r="I189" s="14">
        <v>18.100000000000001</v>
      </c>
      <c r="J189" s="36">
        <v>34.362499999999997</v>
      </c>
      <c r="K189" s="16">
        <v>18.987500000000001</v>
      </c>
      <c r="L189" s="5">
        <v>0.9</v>
      </c>
    </row>
    <row r="190" spans="2:13" ht="29.25" customHeight="1" thickBot="1" x14ac:dyDescent="0.35">
      <c r="B190" s="33" t="s">
        <v>70</v>
      </c>
      <c r="C190" s="12" t="s">
        <v>83</v>
      </c>
      <c r="D190" s="34">
        <v>250</v>
      </c>
      <c r="E190" s="4">
        <v>9.6285714285714281</v>
      </c>
      <c r="F190" s="4">
        <v>15.707142857142857</v>
      </c>
      <c r="G190" s="4">
        <v>36.514285714285712</v>
      </c>
      <c r="H190" s="4">
        <v>285.72857142857146</v>
      </c>
      <c r="I190" s="14">
        <v>2.4785714285714286</v>
      </c>
      <c r="J190" s="36">
        <v>25.749999999999996</v>
      </c>
      <c r="K190" s="16">
        <v>90.492857142857147</v>
      </c>
      <c r="L190" s="5">
        <v>3.6714285714285713</v>
      </c>
    </row>
    <row r="191" spans="2:13" ht="28.5" customHeight="1" thickBot="1" x14ac:dyDescent="0.35">
      <c r="B191" s="33" t="s">
        <v>14</v>
      </c>
      <c r="C191" s="12" t="s">
        <v>40</v>
      </c>
      <c r="D191" s="34">
        <v>60</v>
      </c>
      <c r="E191" s="4">
        <v>4.5599999999999996</v>
      </c>
      <c r="F191" s="4">
        <v>0.47999999999999993</v>
      </c>
      <c r="G191" s="4">
        <v>29.479999999999997</v>
      </c>
      <c r="H191" s="4">
        <v>141</v>
      </c>
      <c r="I191" s="16">
        <v>0</v>
      </c>
      <c r="J191" s="24">
        <v>13.8</v>
      </c>
      <c r="K191" s="16">
        <v>19.8</v>
      </c>
      <c r="L191" s="16">
        <v>1.1466666666666667</v>
      </c>
    </row>
    <row r="192" spans="2:13" ht="29.25" customHeight="1" thickBot="1" x14ac:dyDescent="0.35">
      <c r="B192" s="33" t="s">
        <v>16</v>
      </c>
      <c r="C192" s="12" t="s">
        <v>41</v>
      </c>
      <c r="D192" s="34">
        <v>40</v>
      </c>
      <c r="E192" s="4">
        <v>2.64</v>
      </c>
      <c r="F192" s="4">
        <v>4.8</v>
      </c>
      <c r="G192" s="4">
        <v>13.36</v>
      </c>
      <c r="H192" s="4">
        <v>69.599999999999994</v>
      </c>
      <c r="I192" s="16">
        <v>0</v>
      </c>
      <c r="J192" s="24">
        <v>13.2</v>
      </c>
      <c r="K192" s="16">
        <v>22.8</v>
      </c>
      <c r="L192" s="16">
        <v>1.8079999999999998</v>
      </c>
    </row>
    <row r="193" spans="1:15" ht="30" customHeight="1" thickBot="1" x14ac:dyDescent="0.35">
      <c r="B193" s="7" t="s">
        <v>13</v>
      </c>
      <c r="C193" s="26" t="s">
        <v>42</v>
      </c>
      <c r="D193" s="34">
        <v>200</v>
      </c>
      <c r="E193" s="4">
        <v>0</v>
      </c>
      <c r="F193" s="4">
        <v>0</v>
      </c>
      <c r="G193" s="4">
        <v>6.9860000000000007</v>
      </c>
      <c r="H193" s="4">
        <v>27.93</v>
      </c>
      <c r="I193" s="4">
        <v>0.05</v>
      </c>
      <c r="J193" s="4">
        <v>2.69</v>
      </c>
      <c r="K193" s="11">
        <v>2.2000000000000002</v>
      </c>
      <c r="L193" s="5">
        <v>0.43</v>
      </c>
    </row>
    <row r="194" spans="1:15" ht="36.75" customHeight="1" thickBot="1" x14ac:dyDescent="0.35">
      <c r="B194" s="75"/>
      <c r="C194" s="47" t="s">
        <v>2</v>
      </c>
      <c r="D194" s="57">
        <f t="shared" ref="D194:L194" si="28">SUM(D188:D193)</f>
        <v>900</v>
      </c>
      <c r="E194" s="139">
        <f t="shared" si="28"/>
        <v>19.166071428571428</v>
      </c>
      <c r="F194" s="139">
        <f t="shared" si="28"/>
        <v>27.162142857142857</v>
      </c>
      <c r="G194" s="139">
        <f t="shared" si="28"/>
        <v>99.07778571428571</v>
      </c>
      <c r="H194" s="139">
        <f t="shared" si="28"/>
        <v>667.83357142857142</v>
      </c>
      <c r="I194" s="139">
        <f t="shared" si="28"/>
        <v>30.62857142857143</v>
      </c>
      <c r="J194" s="139">
        <f t="shared" si="28"/>
        <v>112.80249999999999</v>
      </c>
      <c r="K194" s="139">
        <f t="shared" si="28"/>
        <v>168.28035714285716</v>
      </c>
      <c r="L194" s="139">
        <f t="shared" si="28"/>
        <v>8.8560952380952376</v>
      </c>
    </row>
    <row r="195" spans="1:15" ht="33" customHeight="1" thickBot="1" x14ac:dyDescent="0.35">
      <c r="B195" s="76"/>
      <c r="C195" s="95" t="s">
        <v>3</v>
      </c>
      <c r="D195" s="96">
        <f t="shared" ref="D195:L195" si="29">D194+D186</f>
        <v>1520</v>
      </c>
      <c r="E195" s="61">
        <f t="shared" si="29"/>
        <v>38.436071428571424</v>
      </c>
      <c r="F195" s="61">
        <f t="shared" si="29"/>
        <v>43.878142857142862</v>
      </c>
      <c r="G195" s="61">
        <f t="shared" si="29"/>
        <v>194.63911904761903</v>
      </c>
      <c r="H195" s="61">
        <f t="shared" si="29"/>
        <v>1301.7555714285713</v>
      </c>
      <c r="I195" s="61">
        <f t="shared" si="29"/>
        <v>76.308571428571426</v>
      </c>
      <c r="J195" s="61">
        <f t="shared" si="29"/>
        <v>394.48050000000001</v>
      </c>
      <c r="K195" s="61">
        <f t="shared" si="29"/>
        <v>277.01835714285716</v>
      </c>
      <c r="L195" s="61">
        <f t="shared" si="29"/>
        <v>16.073428571428572</v>
      </c>
    </row>
    <row r="196" spans="1:15" ht="37.5" customHeight="1" thickBot="1" x14ac:dyDescent="0.35">
      <c r="B196" s="106"/>
      <c r="C196" s="107" t="s">
        <v>11</v>
      </c>
      <c r="D196" s="77">
        <f t="shared" ref="D196:L196" si="30">D195+D176+D156+D136+D118+D98+D79+D59+D40+D21</f>
        <v>14870</v>
      </c>
      <c r="E196" s="78">
        <f t="shared" si="30"/>
        <v>516.44249579831933</v>
      </c>
      <c r="F196" s="78">
        <f t="shared" si="30"/>
        <v>472.45732492997189</v>
      </c>
      <c r="G196" s="78">
        <f t="shared" si="30"/>
        <v>1889.4913067226889</v>
      </c>
      <c r="H196" s="78">
        <f t="shared" si="30"/>
        <v>13732.810676190475</v>
      </c>
      <c r="I196" s="78">
        <f t="shared" si="30"/>
        <v>553.51340952380951</v>
      </c>
      <c r="J196" s="79">
        <f t="shared" si="30"/>
        <v>3860.8873509803925</v>
      </c>
      <c r="K196" s="79">
        <f t="shared" si="30"/>
        <v>2599.5354907563028</v>
      </c>
      <c r="L196" s="80">
        <f t="shared" si="30"/>
        <v>154.97362577030813</v>
      </c>
    </row>
    <row r="197" spans="1:15" ht="38.25" customHeight="1" thickBot="1" x14ac:dyDescent="0.35">
      <c r="B197" s="108"/>
      <c r="C197" s="109" t="s">
        <v>10</v>
      </c>
      <c r="D197" s="81">
        <f t="shared" ref="D197:L197" si="31">D196/10</f>
        <v>1487</v>
      </c>
      <c r="E197" s="82">
        <f t="shared" si="31"/>
        <v>51.644249579831936</v>
      </c>
      <c r="F197" s="83">
        <f t="shared" si="31"/>
        <v>47.245732492997192</v>
      </c>
      <c r="G197" s="84">
        <f t="shared" si="31"/>
        <v>188.94913067226889</v>
      </c>
      <c r="H197" s="84">
        <f t="shared" si="31"/>
        <v>1373.2810676190475</v>
      </c>
      <c r="I197" s="82">
        <f t="shared" si="31"/>
        <v>55.351340952380951</v>
      </c>
      <c r="J197" s="85">
        <f t="shared" si="31"/>
        <v>386.08873509803925</v>
      </c>
      <c r="K197" s="80">
        <f t="shared" si="31"/>
        <v>259.95354907563029</v>
      </c>
      <c r="L197" s="80">
        <f t="shared" si="31"/>
        <v>15.497362577030813</v>
      </c>
    </row>
    <row r="198" spans="1:15" ht="31.5" customHeight="1" x14ac:dyDescent="0.3">
      <c r="A198" s="86" t="s">
        <v>29</v>
      </c>
      <c r="B198" s="142"/>
      <c r="C198" s="142"/>
      <c r="D198" s="142"/>
      <c r="E198" s="142"/>
      <c r="F198" s="142"/>
      <c r="G198" s="142"/>
      <c r="H198" s="142"/>
      <c r="I198" s="142"/>
      <c r="J198" s="142"/>
      <c r="K198" s="142"/>
      <c r="L198" s="142"/>
    </row>
    <row r="199" spans="1:15" ht="20.25" x14ac:dyDescent="0.3">
      <c r="B199" s="87"/>
    </row>
    <row r="200" spans="1:15" ht="20.25" x14ac:dyDescent="0.3">
      <c r="B200" s="87"/>
      <c r="M200" s="90"/>
      <c r="N200" s="90"/>
    </row>
    <row r="201" spans="1:15" ht="20.25" x14ac:dyDescent="0.3">
      <c r="B201" s="87"/>
      <c r="M201" s="90"/>
      <c r="N201" s="90"/>
    </row>
    <row r="202" spans="1:15" ht="20.25" x14ac:dyDescent="0.3">
      <c r="B202" s="87"/>
      <c r="M202" s="90"/>
      <c r="N202" s="90"/>
    </row>
    <row r="203" spans="1:15" ht="33" customHeight="1" x14ac:dyDescent="0.3">
      <c r="B203" s="87"/>
      <c r="M203" s="90"/>
      <c r="N203" s="90"/>
    </row>
    <row r="204" spans="1:15" ht="39.75" customHeight="1" x14ac:dyDescent="0.3">
      <c r="B204" s="87"/>
      <c r="M204" s="90"/>
      <c r="N204" s="90"/>
    </row>
    <row r="205" spans="1:15" ht="39.75" customHeight="1" x14ac:dyDescent="0.3">
      <c r="B205" s="87"/>
      <c r="M205" s="90"/>
      <c r="N205" s="90"/>
      <c r="O205" s="90"/>
    </row>
    <row r="206" spans="1:15" ht="39.75" customHeight="1" x14ac:dyDescent="0.3">
      <c r="B206" s="87"/>
      <c r="M206" s="90"/>
      <c r="N206" s="90"/>
      <c r="O206" s="90"/>
    </row>
    <row r="207" spans="1:15" ht="39.75" customHeight="1" x14ac:dyDescent="0.3">
      <c r="B207" s="87"/>
      <c r="M207" s="90"/>
      <c r="N207" s="90"/>
      <c r="O207" s="90"/>
    </row>
    <row r="208" spans="1:15" ht="39.75" customHeight="1" x14ac:dyDescent="0.3">
      <c r="B208" s="87"/>
      <c r="M208" s="90"/>
      <c r="N208" s="90"/>
      <c r="O208" s="90"/>
    </row>
    <row r="209" spans="2:15" ht="39.75" customHeight="1" x14ac:dyDescent="0.3">
      <c r="B209" s="87"/>
      <c r="M209" s="90"/>
      <c r="N209" s="90"/>
      <c r="O209" s="90"/>
    </row>
    <row r="210" spans="2:15" ht="39.75" customHeight="1" x14ac:dyDescent="0.3">
      <c r="B210" s="87"/>
      <c r="M210" s="90"/>
      <c r="N210" s="90"/>
      <c r="O210" s="90"/>
    </row>
    <row r="211" spans="2:15" ht="39.75" customHeight="1" x14ac:dyDescent="0.3">
      <c r="B211" s="87"/>
      <c r="M211" s="90"/>
      <c r="N211" s="90"/>
      <c r="O211" s="90"/>
    </row>
    <row r="212" spans="2:15" ht="39.75" customHeight="1" x14ac:dyDescent="0.3">
      <c r="B212" s="87"/>
      <c r="M212" s="90"/>
      <c r="N212" s="90"/>
      <c r="O212" s="90"/>
    </row>
    <row r="213" spans="2:15" ht="39.75" customHeight="1" x14ac:dyDescent="0.3">
      <c r="B213" s="87"/>
      <c r="M213" s="90"/>
      <c r="N213" s="90"/>
      <c r="O213" s="90"/>
    </row>
    <row r="214" spans="2:15" ht="39.75" customHeight="1" x14ac:dyDescent="0.3">
      <c r="B214" s="87"/>
      <c r="M214" s="90"/>
      <c r="N214" s="90"/>
      <c r="O214" s="90"/>
    </row>
    <row r="215" spans="2:15" ht="39.75" customHeight="1" x14ac:dyDescent="0.3">
      <c r="B215" s="87"/>
      <c r="M215" s="90"/>
      <c r="N215" s="90"/>
      <c r="O215" s="90"/>
    </row>
    <row r="216" spans="2:15" ht="39.75" customHeight="1" x14ac:dyDescent="0.3">
      <c r="B216" s="87"/>
      <c r="M216" s="90"/>
      <c r="N216" s="90"/>
      <c r="O216" s="90"/>
    </row>
  </sheetData>
  <autoFilter ref="C4:C207"/>
  <mergeCells count="82">
    <mergeCell ref="B2:L2"/>
    <mergeCell ref="B4:B5"/>
    <mergeCell ref="C4:C5"/>
    <mergeCell ref="D4:D5"/>
    <mergeCell ref="E4:H4"/>
    <mergeCell ref="I4:I5"/>
    <mergeCell ref="J4:J5"/>
    <mergeCell ref="K4:K5"/>
    <mergeCell ref="L4:L5"/>
    <mergeCell ref="K23:K24"/>
    <mergeCell ref="L23:L24"/>
    <mergeCell ref="B42:B43"/>
    <mergeCell ref="C42:C43"/>
    <mergeCell ref="D42:D43"/>
    <mergeCell ref="E42:H42"/>
    <mergeCell ref="I42:I43"/>
    <mergeCell ref="J42:J43"/>
    <mergeCell ref="K42:K43"/>
    <mergeCell ref="L42:L43"/>
    <mergeCell ref="B23:B24"/>
    <mergeCell ref="C23:C24"/>
    <mergeCell ref="D23:D24"/>
    <mergeCell ref="E23:H23"/>
    <mergeCell ref="I23:I24"/>
    <mergeCell ref="J23:J24"/>
    <mergeCell ref="K61:K62"/>
    <mergeCell ref="L61:L62"/>
    <mergeCell ref="B81:B82"/>
    <mergeCell ref="C81:C82"/>
    <mergeCell ref="D81:D82"/>
    <mergeCell ref="E81:H81"/>
    <mergeCell ref="I81:I82"/>
    <mergeCell ref="J81:J82"/>
    <mergeCell ref="K81:K82"/>
    <mergeCell ref="L81:L82"/>
    <mergeCell ref="B61:B62"/>
    <mergeCell ref="C61:C62"/>
    <mergeCell ref="D61:D62"/>
    <mergeCell ref="E61:H61"/>
    <mergeCell ref="I61:I62"/>
    <mergeCell ref="J61:J62"/>
    <mergeCell ref="K100:K101"/>
    <mergeCell ref="L100:L101"/>
    <mergeCell ref="B120:B121"/>
    <mergeCell ref="C120:C121"/>
    <mergeCell ref="D120:D121"/>
    <mergeCell ref="E120:H120"/>
    <mergeCell ref="I120:I121"/>
    <mergeCell ref="J120:J121"/>
    <mergeCell ref="K120:K121"/>
    <mergeCell ref="L120:L121"/>
    <mergeCell ref="B100:B101"/>
    <mergeCell ref="C100:C101"/>
    <mergeCell ref="D100:D101"/>
    <mergeCell ref="E100:H100"/>
    <mergeCell ref="I100:I101"/>
    <mergeCell ref="J100:J101"/>
    <mergeCell ref="K138:K139"/>
    <mergeCell ref="L138:L139"/>
    <mergeCell ref="B158:B159"/>
    <mergeCell ref="C158:C159"/>
    <mergeCell ref="D158:D159"/>
    <mergeCell ref="E158:H158"/>
    <mergeCell ref="I158:I159"/>
    <mergeCell ref="J158:J159"/>
    <mergeCell ref="K158:K159"/>
    <mergeCell ref="L158:L159"/>
    <mergeCell ref="B138:B139"/>
    <mergeCell ref="C138:C139"/>
    <mergeCell ref="D138:D139"/>
    <mergeCell ref="E138:H138"/>
    <mergeCell ref="I138:I139"/>
    <mergeCell ref="J138:J139"/>
    <mergeCell ref="K178:K179"/>
    <mergeCell ref="L178:L179"/>
    <mergeCell ref="B198:L198"/>
    <mergeCell ref="B178:B179"/>
    <mergeCell ref="C178:C179"/>
    <mergeCell ref="D178:D179"/>
    <mergeCell ref="E178:H178"/>
    <mergeCell ref="I178:I179"/>
    <mergeCell ref="J178:J179"/>
  </mergeCells>
  <pageMargins left="0" right="0" top="0.35433070866141736" bottom="0.15748031496062992" header="0.19685039370078741" footer="0"/>
  <pageSetup paperSize="9" scale="41" orientation="landscape" r:id="rId1"/>
  <rowBreaks count="7" manualBreakCount="7">
    <brk id="40" max="11" man="1"/>
    <brk id="79" max="11" man="1"/>
    <brk id="118" max="11" man="1"/>
    <brk id="156" max="11" man="1"/>
    <brk id="197" max="11" man="1"/>
    <brk id="203" max="12" man="1"/>
    <brk id="238" max="5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1-4 кл Симф 2026</vt:lpstr>
      <vt:lpstr>5-11кл Симф 2026</vt:lpstr>
      <vt:lpstr>'1-4 кл Симф 2026'!_Hlk57507523</vt:lpstr>
      <vt:lpstr>'5-11кл Симф 2026'!_Hlk57507523</vt:lpstr>
      <vt:lpstr>'1-4 кл Симф 2026'!Область_печати</vt:lpstr>
      <vt:lpstr>'5-11кл Симф 2026'!Область_печати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2026-08-27T07:34:48Z</dcterms:modified>
</cp:coreProperties>
</file>