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40" tabRatio="806" activeTab="1"/>
  </bookViews>
  <sheets>
    <sheet name="меню 1-4 классы" sheetId="8" r:id="rId1"/>
    <sheet name="5-11кл." sheetId="12" r:id="rId2"/>
  </sheets>
  <definedNames>
    <definedName name="_xlnm._FilterDatabase" localSheetId="0" hidden="1">'меню 1-4 классы'!$C$4:$C$212</definedName>
    <definedName name="_xlnm._FilterDatabase" localSheetId="1" hidden="1">'5-11кл.'!$C$4:$C$213</definedName>
    <definedName name="_Hlk57507523" localSheetId="1">'5-11кл.'!$B$4</definedName>
    <definedName name="_Hlk57507523" localSheetId="0">'меню 1-4 классы'!$B$4</definedName>
    <definedName name="_xlnm.Print_Area" localSheetId="1">'5-11кл.'!$A$1:$M$203</definedName>
    <definedName name="_xlnm.Print_Area" localSheetId="0">'меню 1-4 классы'!$A$1:$L$202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<sst xmlns="http://schemas.openxmlformats.org/spreadsheetml/2006/main" count="842" uniqueCount="126">
  <si>
    <t xml:space="preserve">                    Основное меню   для детей  1-4 классов  </t>
  </si>
  <si>
    <t>День 1</t>
  </si>
  <si>
    <t>№, рецептура</t>
  </si>
  <si>
    <t>Наименование блюда</t>
  </si>
  <si>
    <t>Масса порций, г.</t>
  </si>
  <si>
    <t>Пищевая ценность</t>
  </si>
  <si>
    <t>Вит. С, мг.</t>
  </si>
  <si>
    <t>Ca, мг.</t>
  </si>
  <si>
    <t>Mg, мг.</t>
  </si>
  <si>
    <t>Fе, мг.</t>
  </si>
  <si>
    <t>белки, г.</t>
  </si>
  <si>
    <t>жиры, г.</t>
  </si>
  <si>
    <t>углеводы, г.</t>
  </si>
  <si>
    <t>Энергетическая ценность, ккал.</t>
  </si>
  <si>
    <t xml:space="preserve">Завтрак </t>
  </si>
  <si>
    <t>224/2017</t>
  </si>
  <si>
    <t>Запеканка из творога с морковью со сметаной</t>
  </si>
  <si>
    <t>18/2016</t>
  </si>
  <si>
    <t>Хлеб пшеничный</t>
  </si>
  <si>
    <t>54-3гн/2022</t>
  </si>
  <si>
    <t>Чай с лимоном и сахаром</t>
  </si>
  <si>
    <t>403/2016</t>
  </si>
  <si>
    <t>Фрукт свежий (по сезону)</t>
  </si>
  <si>
    <t>Итого завтрак:</t>
  </si>
  <si>
    <t>Обед</t>
  </si>
  <si>
    <t>47/2015</t>
  </si>
  <si>
    <t>Салат из квашеной капусты</t>
  </si>
  <si>
    <t>131/2010</t>
  </si>
  <si>
    <t xml:space="preserve">Свекольник </t>
  </si>
  <si>
    <t>234/2017</t>
  </si>
  <si>
    <t xml:space="preserve">Котлета (биточки) рыбные </t>
  </si>
  <si>
    <t>303/2017</t>
  </si>
  <si>
    <t>Каша гречневая</t>
  </si>
  <si>
    <t>484/2016</t>
  </si>
  <si>
    <t>Сок фруктовый</t>
  </si>
  <si>
    <t>19/2016</t>
  </si>
  <si>
    <t>Хлеб ржаной</t>
  </si>
  <si>
    <t>Итого обед:</t>
  </si>
  <si>
    <t>Всего:</t>
  </si>
  <si>
    <t>День 2</t>
  </si>
  <si>
    <t>70/71/2015</t>
  </si>
  <si>
    <t xml:space="preserve">Овощи натуральные по сезону </t>
  </si>
  <si>
    <t>226/2016</t>
  </si>
  <si>
    <t>Макароны, запеченные с сыром</t>
  </si>
  <si>
    <t>379/2017</t>
  </si>
  <si>
    <t xml:space="preserve">Кофейный напиток </t>
  </si>
  <si>
    <t>8,9/2011</t>
  </si>
  <si>
    <t>Икра свекольная</t>
  </si>
  <si>
    <t>132/2016</t>
  </si>
  <si>
    <t>Суп картофельный с горохом и птицей</t>
  </si>
  <si>
    <t>891/2022</t>
  </si>
  <si>
    <t>Вареники с картофелем и сметаной</t>
  </si>
  <si>
    <t>349/2017</t>
  </si>
  <si>
    <t>Компот из сухофруктов</t>
  </si>
  <si>
    <t>День 3</t>
  </si>
  <si>
    <t>ТТК</t>
  </si>
  <si>
    <t xml:space="preserve">Голубцы ленивые с соусом </t>
  </si>
  <si>
    <t>643/2022</t>
  </si>
  <si>
    <t>Картофельное пюре</t>
  </si>
  <si>
    <t>120/2017</t>
  </si>
  <si>
    <t>Суп молочный с макар.изделиями</t>
  </si>
  <si>
    <t>291/2017</t>
  </si>
  <si>
    <t>Плов из птицы</t>
  </si>
  <si>
    <t>451/2016</t>
  </si>
  <si>
    <t>Компот из яблок</t>
  </si>
  <si>
    <t>День 4</t>
  </si>
  <si>
    <t>238/2016</t>
  </si>
  <si>
    <t>Омлет паровой с мясом</t>
  </si>
  <si>
    <t>159/2016</t>
  </si>
  <si>
    <t>Щи зеленые со сметаной</t>
  </si>
  <si>
    <t>404/2021</t>
  </si>
  <si>
    <t>Оладьи из печени</t>
  </si>
  <si>
    <t>День 5</t>
  </si>
  <si>
    <t>182/2017</t>
  </si>
  <si>
    <t>Каша рисовая молочная жидкая</t>
  </si>
  <si>
    <t>13/2016</t>
  </si>
  <si>
    <t>Масло сливочное</t>
  </si>
  <si>
    <t>ПП</t>
  </si>
  <si>
    <t>Батон пшеничный</t>
  </si>
  <si>
    <t>420/2016</t>
  </si>
  <si>
    <t>Чай с сахаром</t>
  </si>
  <si>
    <t>7,46/2010</t>
  </si>
  <si>
    <t>Икра из кабачков (консервы)</t>
  </si>
  <si>
    <t>122/2016</t>
  </si>
  <si>
    <t>Рассольник Ленинградский</t>
  </si>
  <si>
    <t>406/2022</t>
  </si>
  <si>
    <t>Паста сливочная</t>
  </si>
  <si>
    <t>День 6</t>
  </si>
  <si>
    <t>22/2016</t>
  </si>
  <si>
    <t>Горошек консервированный</t>
  </si>
  <si>
    <t>210/2016</t>
  </si>
  <si>
    <t xml:space="preserve">Омлет натуральный </t>
  </si>
  <si>
    <t>92/2017</t>
  </si>
  <si>
    <t>Щи из квашеной капусты</t>
  </si>
  <si>
    <t>Каша вязкая Артек</t>
  </si>
  <si>
    <t>День 7</t>
  </si>
  <si>
    <t>352/2011</t>
  </si>
  <si>
    <t>Кисель из яблок</t>
  </si>
  <si>
    <t>Кондитерское изделие (печенье)</t>
  </si>
  <si>
    <t>День 8</t>
  </si>
  <si>
    <t>378/2022</t>
  </si>
  <si>
    <t xml:space="preserve">Плов из риса с курагой </t>
  </si>
  <si>
    <t>15/2017</t>
  </si>
  <si>
    <t>Сыр (порциями)</t>
  </si>
  <si>
    <t>462/2016</t>
  </si>
  <si>
    <t>Кисломолочный продукт</t>
  </si>
  <si>
    <t>День 9</t>
  </si>
  <si>
    <t>193/2016</t>
  </si>
  <si>
    <t>Каша жидкая молочная  геркулесовая</t>
  </si>
  <si>
    <t>415/2016</t>
  </si>
  <si>
    <t>Какао с молоком</t>
  </si>
  <si>
    <t>54-32з</t>
  </si>
  <si>
    <t>Морковные палочки</t>
  </si>
  <si>
    <t>Суп картофельный с горохом</t>
  </si>
  <si>
    <t>223/2017</t>
  </si>
  <si>
    <t>Запеканка из творога</t>
  </si>
  <si>
    <t>День 10</t>
  </si>
  <si>
    <t xml:space="preserve">  Обед</t>
  </si>
  <si>
    <t>82/2017</t>
  </si>
  <si>
    <t>Борщ с капустой и картофелем со сметаной</t>
  </si>
  <si>
    <t>203/2012</t>
  </si>
  <si>
    <t>Гречка по-купечески с мясом</t>
  </si>
  <si>
    <t>ВСЕГО за 10 дней:</t>
  </si>
  <si>
    <t>СРЕДНЕЕ ЗА 1ДЕНЬ:</t>
  </si>
  <si>
    <t xml:space="preserve">           * Овощи натуральные - допускается использование иных овещей ;     ** Фрукт свежий - допускается выдача иных фруктов;     *** Кисломолочный продукт - допускается использование иного кисломолоч. продукта ;</t>
  </si>
  <si>
    <t xml:space="preserve">                    Основное меню   для детей  5-11 классов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</si>
</sst>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#,##0.00\ &quot;₽&quot;"/>
    <numFmt numFmtId="177" formatCode="0.0"/>
  </numFmts>
  <fonts count="31">
    <font>
      <sz val="11"/>
      <color theme="1"/>
      <name val="Calibri"/>
      <charset val="134"/>
      <scheme val="minor"/>
    </font>
    <font>
      <sz val="16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16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17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left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wrapText="1"/>
    </xf>
    <xf numFmtId="2" fontId="4" fillId="0" borderId="10" xfId="0" applyNumberFormat="1" applyFont="1" applyFill="1" applyBorder="1" applyAlignment="1">
      <alignment horizontal="left"/>
    </xf>
    <xf numFmtId="1" fontId="4" fillId="0" borderId="10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wrapText="1"/>
    </xf>
    <xf numFmtId="49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left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49" fontId="1" fillId="0" borderId="8" xfId="0" applyNumberFormat="1" applyFont="1" applyFill="1" applyBorder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left" wrapText="1"/>
    </xf>
    <xf numFmtId="1" fontId="5" fillId="0" borderId="5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177" fontId="4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wrapText="1"/>
    </xf>
    <xf numFmtId="2" fontId="1" fillId="0" borderId="8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/>
    <xf numFmtId="2" fontId="4" fillId="0" borderId="8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vertical="center" wrapText="1"/>
    </xf>
    <xf numFmtId="1" fontId="4" fillId="0" borderId="4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2" fontId="5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horizontal="left"/>
    </xf>
    <xf numFmtId="2" fontId="5" fillId="0" borderId="0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wrapText="1"/>
    </xf>
    <xf numFmtId="2" fontId="4" fillId="0" borderId="2" xfId="0" applyNumberFormat="1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177" fontId="4" fillId="0" borderId="4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/>
    </xf>
    <xf numFmtId="2" fontId="1" fillId="0" borderId="12" xfId="0" applyNumberFormat="1" applyFont="1" applyFill="1" applyBorder="1" applyAlignment="1">
      <alignment horizontal="left"/>
    </xf>
    <xf numFmtId="2" fontId="1" fillId="0" borderId="2" xfId="0" applyNumberFormat="1" applyFont="1" applyFill="1" applyBorder="1"/>
    <xf numFmtId="2" fontId="1" fillId="0" borderId="12" xfId="0" applyNumberFormat="1" applyFont="1" applyFill="1" applyBorder="1"/>
    <xf numFmtId="0" fontId="1" fillId="0" borderId="0" xfId="0" applyFont="1" applyFill="1" applyAlignment="1"/>
    <xf numFmtId="49" fontId="5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wrapText="1"/>
    </xf>
    <xf numFmtId="49" fontId="1" fillId="0" borderId="14" xfId="0" applyNumberFormat="1" applyFont="1" applyFill="1" applyBorder="1" applyAlignment="1">
      <alignment horizontal="center"/>
    </xf>
    <xf numFmtId="2" fontId="3" fillId="0" borderId="15" xfId="5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2" fontId="3" fillId="0" borderId="17" xfId="50" applyNumberFormat="1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/>
    </xf>
    <xf numFmtId="2" fontId="8" fillId="0" borderId="8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2" fontId="4" fillId="0" borderId="7" xfId="0" applyNumberFormat="1" applyFont="1" applyFill="1" applyBorder="1" applyAlignment="1">
      <alignment horizontal="left"/>
    </xf>
    <xf numFmtId="1" fontId="4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101" xfId="49"/>
    <cellStyle name="Обычный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1"/>
  <sheetViews>
    <sheetView view="pageBreakPreview" zoomScale="78" zoomScaleNormal="78" topLeftCell="A190" workbookViewId="0">
      <selection activeCell="D202" sqref="D202"/>
    </sheetView>
  </sheetViews>
  <sheetFormatPr defaultColWidth="9.140625" defaultRowHeight="39.75" customHeight="1"/>
  <cols>
    <col min="1" max="1" width="4" style="1" customWidth="1"/>
    <col min="2" max="2" width="32" style="2" customWidth="1"/>
    <col min="3" max="3" width="61.859375" style="3" customWidth="1"/>
    <col min="4" max="4" width="24.4296875" style="2" customWidth="1"/>
    <col min="5" max="5" width="23.4296875" style="2" customWidth="1"/>
    <col min="6" max="6" width="24" style="2" customWidth="1"/>
    <col min="7" max="7" width="22.2890625" style="2" customWidth="1"/>
    <col min="8" max="8" width="25.4296875" style="2" customWidth="1"/>
    <col min="9" max="9" width="22.2890625" style="2" customWidth="1"/>
    <col min="10" max="10" width="21.2890625" style="2" customWidth="1"/>
    <col min="11" max="11" width="21" style="4" customWidth="1"/>
    <col min="12" max="12" width="22" style="2" customWidth="1"/>
    <col min="13" max="13" width="8" style="1" customWidth="1"/>
    <col min="14" max="16384" width="9.140625" style="1"/>
  </cols>
  <sheetData>
    <row r="1" ht="30" customHeight="1"/>
    <row r="2" ht="31.5" customHeight="1" spans="2:12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74"/>
    </row>
    <row r="3" ht="28.5" customHeight="1" spans="2:12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75"/>
    </row>
    <row r="4" ht="21.75" customHeight="1" spans="2:12">
      <c r="B4" s="9" t="s">
        <v>2</v>
      </c>
      <c r="C4" s="9" t="s">
        <v>3</v>
      </c>
      <c r="D4" s="9" t="s">
        <v>4</v>
      </c>
      <c r="E4" s="57" t="s">
        <v>5</v>
      </c>
      <c r="F4" s="58"/>
      <c r="G4" s="58"/>
      <c r="H4" s="59"/>
      <c r="I4" s="76" t="s">
        <v>6</v>
      </c>
      <c r="J4" s="77" t="s">
        <v>7</v>
      </c>
      <c r="K4" s="77" t="s">
        <v>8</v>
      </c>
      <c r="L4" s="77" t="s">
        <v>9</v>
      </c>
    </row>
    <row r="5" ht="59.25" customHeight="1" spans="2:12">
      <c r="B5" s="10"/>
      <c r="C5" s="10"/>
      <c r="D5" s="10"/>
      <c r="E5" s="60" t="s">
        <v>10</v>
      </c>
      <c r="F5" s="60" t="s">
        <v>11</v>
      </c>
      <c r="G5" s="60" t="s">
        <v>12</v>
      </c>
      <c r="H5" s="60" t="s">
        <v>13</v>
      </c>
      <c r="I5" s="78"/>
      <c r="J5" s="79"/>
      <c r="K5" s="79"/>
      <c r="L5" s="79"/>
    </row>
    <row r="6" ht="27.75" customHeight="1" spans="2:12">
      <c r="B6" s="11" t="s">
        <v>14</v>
      </c>
      <c r="C6" s="12"/>
      <c r="D6" s="13"/>
      <c r="E6" s="13"/>
      <c r="F6" s="13"/>
      <c r="G6" s="13"/>
      <c r="H6" s="13"/>
      <c r="I6" s="13"/>
      <c r="J6" s="13"/>
      <c r="K6" s="13"/>
      <c r="L6" s="80"/>
    </row>
    <row r="7" ht="29.25" customHeight="1" spans="2:12">
      <c r="B7" s="14" t="s">
        <v>15</v>
      </c>
      <c r="C7" s="15" t="s">
        <v>16</v>
      </c>
      <c r="D7" s="16">
        <v>170</v>
      </c>
      <c r="E7" s="61">
        <v>17.7</v>
      </c>
      <c r="F7" s="61">
        <v>16.78</v>
      </c>
      <c r="G7" s="61">
        <v>42</v>
      </c>
      <c r="H7" s="61">
        <v>444.43</v>
      </c>
      <c r="I7" s="62">
        <v>1.36</v>
      </c>
      <c r="J7" s="62">
        <v>291.57</v>
      </c>
      <c r="K7" s="62">
        <v>45.82</v>
      </c>
      <c r="L7" s="66">
        <v>1.14</v>
      </c>
    </row>
    <row r="8" ht="27.75" customHeight="1" spans="2:12">
      <c r="B8" s="14" t="s">
        <v>17</v>
      </c>
      <c r="C8" s="15" t="s">
        <v>18</v>
      </c>
      <c r="D8" s="16">
        <v>30</v>
      </c>
      <c r="E8" s="61">
        <v>2.28</v>
      </c>
      <c r="F8" s="61">
        <v>0.24</v>
      </c>
      <c r="G8" s="61">
        <v>14.76</v>
      </c>
      <c r="H8" s="61">
        <v>70.5</v>
      </c>
      <c r="I8" s="62">
        <v>0</v>
      </c>
      <c r="J8" s="62">
        <v>6.9</v>
      </c>
      <c r="K8" s="62">
        <v>9.9</v>
      </c>
      <c r="L8" s="66">
        <v>0.57</v>
      </c>
    </row>
    <row r="9" ht="30" customHeight="1" spans="2:12">
      <c r="B9" s="17" t="s">
        <v>19</v>
      </c>
      <c r="C9" s="18" t="s">
        <v>20</v>
      </c>
      <c r="D9" s="19">
        <v>200</v>
      </c>
      <c r="E9" s="62">
        <v>0.06</v>
      </c>
      <c r="F9" s="62">
        <v>0.01</v>
      </c>
      <c r="G9" s="62">
        <v>7.2</v>
      </c>
      <c r="H9" s="62">
        <v>30.31</v>
      </c>
      <c r="I9" s="62">
        <v>2.85</v>
      </c>
      <c r="J9" s="62">
        <v>5.49</v>
      </c>
      <c r="K9" s="81">
        <v>3.04</v>
      </c>
      <c r="L9" s="66">
        <v>0.47</v>
      </c>
    </row>
    <row r="10" ht="28.5" customHeight="1" spans="2:12">
      <c r="B10" s="17" t="s">
        <v>21</v>
      </c>
      <c r="C10" s="20" t="s">
        <v>22</v>
      </c>
      <c r="D10" s="16">
        <v>100</v>
      </c>
      <c r="E10" s="61">
        <v>0.4</v>
      </c>
      <c r="F10" s="61">
        <v>0.4</v>
      </c>
      <c r="G10" s="61">
        <v>9.8</v>
      </c>
      <c r="H10" s="61">
        <v>47</v>
      </c>
      <c r="I10" s="61">
        <v>10</v>
      </c>
      <c r="J10" s="61">
        <v>16</v>
      </c>
      <c r="K10" s="81">
        <v>9</v>
      </c>
      <c r="L10" s="66">
        <v>2.2</v>
      </c>
    </row>
    <row r="11" ht="32.25" customHeight="1" spans="2:12">
      <c r="B11" s="21"/>
      <c r="C11" s="22" t="s">
        <v>23</v>
      </c>
      <c r="D11" s="23">
        <f t="shared" ref="D11:L11" si="0">SUM(D7:D10)</f>
        <v>500</v>
      </c>
      <c r="E11" s="63">
        <f t="shared" si="0"/>
        <v>20.44</v>
      </c>
      <c r="F11" s="64">
        <f t="shared" si="0"/>
        <v>17.43</v>
      </c>
      <c r="G11" s="64">
        <f t="shared" si="0"/>
        <v>73.76</v>
      </c>
      <c r="H11" s="64">
        <f t="shared" si="0"/>
        <v>592.24</v>
      </c>
      <c r="I11" s="64">
        <f t="shared" si="0"/>
        <v>14.21</v>
      </c>
      <c r="J11" s="64">
        <f t="shared" si="0"/>
        <v>319.96</v>
      </c>
      <c r="K11" s="64">
        <f t="shared" si="0"/>
        <v>67.76</v>
      </c>
      <c r="L11" s="64">
        <f t="shared" si="0"/>
        <v>4.38</v>
      </c>
    </row>
    <row r="12" ht="28.9" customHeight="1" spans="2:12">
      <c r="B12" s="24" t="s">
        <v>24</v>
      </c>
      <c r="C12" s="25"/>
      <c r="D12" s="26"/>
      <c r="E12" s="25"/>
      <c r="F12" s="25"/>
      <c r="G12" s="25"/>
      <c r="H12" s="25"/>
      <c r="I12" s="25"/>
      <c r="J12" s="25"/>
      <c r="K12" s="25"/>
      <c r="L12" s="82"/>
    </row>
    <row r="13" ht="27" customHeight="1" spans="2:12">
      <c r="B13" s="27" t="s">
        <v>25</v>
      </c>
      <c r="C13" s="28" t="s">
        <v>26</v>
      </c>
      <c r="D13" s="29">
        <v>60</v>
      </c>
      <c r="E13" s="65">
        <v>0.96</v>
      </c>
      <c r="F13" s="65">
        <v>3.06</v>
      </c>
      <c r="G13" s="65">
        <v>1.95</v>
      </c>
      <c r="H13" s="65">
        <v>40.61</v>
      </c>
      <c r="I13" s="67">
        <v>11.89</v>
      </c>
      <c r="J13" s="83">
        <v>31.34</v>
      </c>
      <c r="K13" s="84">
        <v>9.61</v>
      </c>
      <c r="L13" s="85">
        <v>0.4</v>
      </c>
    </row>
    <row r="14" ht="29.25" customHeight="1" spans="2:12">
      <c r="B14" s="14" t="s">
        <v>27</v>
      </c>
      <c r="C14" s="15" t="s">
        <v>28</v>
      </c>
      <c r="D14" s="16">
        <v>200</v>
      </c>
      <c r="E14" s="61">
        <v>1.87</v>
      </c>
      <c r="F14" s="61">
        <v>4.2</v>
      </c>
      <c r="G14" s="61">
        <v>13.78</v>
      </c>
      <c r="H14" s="66">
        <v>97.07</v>
      </c>
      <c r="I14" s="84">
        <v>13.59</v>
      </c>
      <c r="J14" s="13">
        <v>35.24</v>
      </c>
      <c r="K14" s="84">
        <v>24.39</v>
      </c>
      <c r="L14" s="80">
        <v>1.21</v>
      </c>
    </row>
    <row r="15" ht="28.5" customHeight="1" spans="2:12">
      <c r="B15" s="30" t="s">
        <v>29</v>
      </c>
      <c r="C15" s="20" t="s">
        <v>30</v>
      </c>
      <c r="D15" s="31">
        <v>100</v>
      </c>
      <c r="E15" s="67">
        <v>10.63</v>
      </c>
      <c r="F15" s="67">
        <v>12.64</v>
      </c>
      <c r="G15" s="67">
        <v>13.07</v>
      </c>
      <c r="H15" s="66">
        <v>209.45</v>
      </c>
      <c r="I15" s="66">
        <v>0.54</v>
      </c>
      <c r="J15" s="83">
        <v>60.77</v>
      </c>
      <c r="K15" s="84">
        <v>33.95</v>
      </c>
      <c r="L15" s="80">
        <v>1.2</v>
      </c>
    </row>
    <row r="16" ht="27.75" customHeight="1" spans="2:12">
      <c r="B16" s="14" t="s">
        <v>31</v>
      </c>
      <c r="C16" s="15" t="s">
        <v>32</v>
      </c>
      <c r="D16" s="16">
        <v>150</v>
      </c>
      <c r="E16" s="61">
        <v>4</v>
      </c>
      <c r="F16" s="61">
        <v>4.24</v>
      </c>
      <c r="G16" s="61">
        <v>24.55</v>
      </c>
      <c r="H16" s="65">
        <v>152.4</v>
      </c>
      <c r="I16" s="67">
        <v>0</v>
      </c>
      <c r="J16" s="86">
        <v>10.53</v>
      </c>
      <c r="K16" s="87">
        <v>99.9</v>
      </c>
      <c r="L16" s="85">
        <v>3.36</v>
      </c>
    </row>
    <row r="17" ht="27.75" customHeight="1" spans="2:12">
      <c r="B17" s="14" t="s">
        <v>33</v>
      </c>
      <c r="C17" s="15" t="s">
        <v>34</v>
      </c>
      <c r="D17" s="16">
        <v>180</v>
      </c>
      <c r="E17" s="61">
        <v>0.9</v>
      </c>
      <c r="F17" s="61">
        <v>0.18</v>
      </c>
      <c r="G17" s="61">
        <v>18.18</v>
      </c>
      <c r="H17" s="61">
        <v>82.8</v>
      </c>
      <c r="I17" s="67">
        <v>3.6</v>
      </c>
      <c r="J17" s="86">
        <v>12.6</v>
      </c>
      <c r="K17" s="87">
        <v>7.2</v>
      </c>
      <c r="L17" s="85">
        <v>2.52</v>
      </c>
    </row>
    <row r="18" ht="28.5" customHeight="1" spans="2:12">
      <c r="B18" s="17" t="s">
        <v>17</v>
      </c>
      <c r="C18" s="18" t="s">
        <v>18</v>
      </c>
      <c r="D18" s="19">
        <v>45</v>
      </c>
      <c r="E18" s="62">
        <f>3.04*45/40</f>
        <v>3.42</v>
      </c>
      <c r="F18" s="62">
        <f>0.32*45/40</f>
        <v>0.36</v>
      </c>
      <c r="G18" s="62">
        <f>19.65*45/40</f>
        <v>22.10625</v>
      </c>
      <c r="H18" s="62">
        <f>94*45/40</f>
        <v>105.75</v>
      </c>
      <c r="I18" s="62">
        <v>0</v>
      </c>
      <c r="J18" s="62">
        <f>9.2*45/40</f>
        <v>10.35</v>
      </c>
      <c r="K18" s="81">
        <f>13.2*45/40</f>
        <v>14.85</v>
      </c>
      <c r="L18" s="66">
        <f>0.76*45/40</f>
        <v>0.855</v>
      </c>
    </row>
    <row r="19" ht="30" customHeight="1" spans="2:16">
      <c r="B19" s="17" t="s">
        <v>35</v>
      </c>
      <c r="C19" s="20" t="s">
        <v>36</v>
      </c>
      <c r="D19" s="31">
        <v>25</v>
      </c>
      <c r="E19" s="67">
        <v>1.65</v>
      </c>
      <c r="F19" s="67">
        <v>3</v>
      </c>
      <c r="G19" s="67">
        <v>8.35</v>
      </c>
      <c r="H19" s="67">
        <v>43.5</v>
      </c>
      <c r="I19" s="66">
        <v>0</v>
      </c>
      <c r="J19" s="67">
        <v>8.25</v>
      </c>
      <c r="K19" s="84">
        <v>14.25</v>
      </c>
      <c r="L19" s="66">
        <v>1.125</v>
      </c>
      <c r="P19" s="99"/>
    </row>
    <row r="20" ht="34.5" customHeight="1" spans="2:12">
      <c r="B20" s="32"/>
      <c r="C20" s="22" t="s">
        <v>37</v>
      </c>
      <c r="D20" s="33">
        <f>D19+D18+D17+D16+D15+D14+D13</f>
        <v>760</v>
      </c>
      <c r="E20" s="68">
        <f t="shared" ref="E20:L20" si="1">SUM(E13:E19)</f>
        <v>23.43</v>
      </c>
      <c r="F20" s="68">
        <f t="shared" si="1"/>
        <v>27.68</v>
      </c>
      <c r="G20" s="68">
        <f t="shared" si="1"/>
        <v>101.98625</v>
      </c>
      <c r="H20" s="68">
        <f t="shared" si="1"/>
        <v>731.58</v>
      </c>
      <c r="I20" s="88">
        <f t="shared" si="1"/>
        <v>29.62</v>
      </c>
      <c r="J20" s="89">
        <f t="shared" si="1"/>
        <v>169.08</v>
      </c>
      <c r="K20" s="64">
        <f t="shared" si="1"/>
        <v>204.15</v>
      </c>
      <c r="L20" s="90">
        <f t="shared" si="1"/>
        <v>10.67</v>
      </c>
    </row>
    <row r="21" ht="34.9" customHeight="1" spans="2:12">
      <c r="B21" s="34"/>
      <c r="C21" s="35" t="s">
        <v>38</v>
      </c>
      <c r="D21" s="36">
        <f t="shared" ref="D21:L21" si="2">D20+D11</f>
        <v>1260</v>
      </c>
      <c r="E21" s="69">
        <f t="shared" si="2"/>
        <v>43.87</v>
      </c>
      <c r="F21" s="69">
        <f t="shared" si="2"/>
        <v>45.11</v>
      </c>
      <c r="G21" s="69">
        <f t="shared" si="2"/>
        <v>175.74625</v>
      </c>
      <c r="H21" s="69">
        <f t="shared" si="2"/>
        <v>1323.82</v>
      </c>
      <c r="I21" s="69">
        <f t="shared" si="2"/>
        <v>43.83</v>
      </c>
      <c r="J21" s="69">
        <f t="shared" si="2"/>
        <v>489.04</v>
      </c>
      <c r="K21" s="69">
        <f t="shared" si="2"/>
        <v>271.91</v>
      </c>
      <c r="L21" s="64">
        <f t="shared" si="2"/>
        <v>15.05</v>
      </c>
    </row>
    <row r="22" ht="30.75" customHeight="1" spans="2:12">
      <c r="B22" s="37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 s="91"/>
    </row>
    <row r="23" ht="27.75" customHeight="1" spans="2:12">
      <c r="B23" s="39" t="s">
        <v>2</v>
      </c>
      <c r="C23" s="9" t="s">
        <v>3</v>
      </c>
      <c r="D23" s="9" t="s">
        <v>4</v>
      </c>
      <c r="E23" s="57" t="s">
        <v>5</v>
      </c>
      <c r="F23" s="58"/>
      <c r="G23" s="58"/>
      <c r="H23" s="59"/>
      <c r="I23" s="76" t="s">
        <v>6</v>
      </c>
      <c r="J23" s="77" t="s">
        <v>7</v>
      </c>
      <c r="K23" s="77" t="s">
        <v>8</v>
      </c>
      <c r="L23" s="77" t="s">
        <v>9</v>
      </c>
    </row>
    <row r="24" ht="57" customHeight="1" spans="2:12">
      <c r="B24" s="40"/>
      <c r="C24" s="10"/>
      <c r="D24" s="10"/>
      <c r="E24" s="60" t="s">
        <v>10</v>
      </c>
      <c r="F24" s="60" t="s">
        <v>11</v>
      </c>
      <c r="G24" s="60" t="s">
        <v>12</v>
      </c>
      <c r="H24" s="60" t="s">
        <v>13</v>
      </c>
      <c r="I24" s="78"/>
      <c r="J24" s="79"/>
      <c r="K24" s="79"/>
      <c r="L24" s="79"/>
    </row>
    <row r="25" ht="24.75" customHeight="1" spans="2:12">
      <c r="B25" s="24" t="s">
        <v>14</v>
      </c>
      <c r="C25" s="25"/>
      <c r="D25" s="25"/>
      <c r="E25" s="25"/>
      <c r="F25" s="25"/>
      <c r="G25" s="25"/>
      <c r="H25" s="25"/>
      <c r="I25" s="25"/>
      <c r="J25" s="25"/>
      <c r="K25" s="25"/>
      <c r="L25" s="82"/>
    </row>
    <row r="26" ht="27" customHeight="1" spans="2:12">
      <c r="B26" s="17" t="s">
        <v>40</v>
      </c>
      <c r="C26" s="15" t="s">
        <v>41</v>
      </c>
      <c r="D26" s="16">
        <v>60</v>
      </c>
      <c r="E26" s="61">
        <v>0.66</v>
      </c>
      <c r="F26" s="61">
        <v>0.12</v>
      </c>
      <c r="G26" s="61">
        <v>2.28</v>
      </c>
      <c r="H26" s="61">
        <v>13.2</v>
      </c>
      <c r="I26" s="61">
        <v>10.5</v>
      </c>
      <c r="J26" s="61">
        <v>8.4</v>
      </c>
      <c r="K26" s="67">
        <v>12</v>
      </c>
      <c r="L26" s="67">
        <v>0.51</v>
      </c>
    </row>
    <row r="27" ht="27.75" customHeight="1" spans="2:12">
      <c r="B27" s="14" t="s">
        <v>42</v>
      </c>
      <c r="C27" s="15" t="s">
        <v>43</v>
      </c>
      <c r="D27" s="16">
        <v>150</v>
      </c>
      <c r="E27" s="61">
        <v>10.15</v>
      </c>
      <c r="F27" s="61">
        <v>11.94</v>
      </c>
      <c r="G27" s="61">
        <v>25.58</v>
      </c>
      <c r="H27" s="61">
        <v>250.8</v>
      </c>
      <c r="I27" s="61">
        <v>0.07</v>
      </c>
      <c r="J27" s="61">
        <v>215</v>
      </c>
      <c r="K27" s="67">
        <v>15.68</v>
      </c>
      <c r="L27" s="67">
        <v>1.03</v>
      </c>
    </row>
    <row r="28" ht="27" customHeight="1" spans="2:12">
      <c r="B28" s="17" t="s">
        <v>17</v>
      </c>
      <c r="C28" s="15" t="s">
        <v>18</v>
      </c>
      <c r="D28" s="16">
        <v>40</v>
      </c>
      <c r="E28" s="61">
        <v>3.04</v>
      </c>
      <c r="F28" s="61">
        <v>0.32</v>
      </c>
      <c r="G28" s="61">
        <v>19.6533333333333</v>
      </c>
      <c r="H28" s="61">
        <v>94</v>
      </c>
      <c r="I28" s="61">
        <v>0</v>
      </c>
      <c r="J28" s="61">
        <v>9.2</v>
      </c>
      <c r="K28" s="66">
        <v>13.2</v>
      </c>
      <c r="L28" s="66">
        <v>0.853333333333333</v>
      </c>
    </row>
    <row r="29" ht="28.5" customHeight="1" spans="2:12">
      <c r="B29" s="17" t="s">
        <v>21</v>
      </c>
      <c r="C29" s="15" t="s">
        <v>22</v>
      </c>
      <c r="D29" s="16">
        <v>100</v>
      </c>
      <c r="E29" s="61">
        <v>0.4</v>
      </c>
      <c r="F29" s="61">
        <v>0.4</v>
      </c>
      <c r="G29" s="61">
        <v>9.8</v>
      </c>
      <c r="H29" s="61">
        <v>47</v>
      </c>
      <c r="I29" s="61">
        <v>10</v>
      </c>
      <c r="J29" s="61">
        <v>16</v>
      </c>
      <c r="K29" s="66">
        <v>9</v>
      </c>
      <c r="L29" s="66">
        <v>2.2</v>
      </c>
    </row>
    <row r="30" ht="30.75" customHeight="1" spans="2:12">
      <c r="B30" s="17" t="s">
        <v>44</v>
      </c>
      <c r="C30" s="41" t="s">
        <v>45</v>
      </c>
      <c r="D30" s="19">
        <v>200</v>
      </c>
      <c r="E30" s="62">
        <v>3.17</v>
      </c>
      <c r="F30" s="62">
        <v>3.1</v>
      </c>
      <c r="G30" s="62">
        <v>15.95</v>
      </c>
      <c r="H30" s="62">
        <v>100.6</v>
      </c>
      <c r="I30" s="62">
        <v>1.3</v>
      </c>
      <c r="J30" s="62">
        <v>125.78</v>
      </c>
      <c r="K30" s="81">
        <v>14</v>
      </c>
      <c r="L30" s="66">
        <v>0.13</v>
      </c>
    </row>
    <row r="31" ht="31.5" customHeight="1" spans="2:12">
      <c r="B31" s="42"/>
      <c r="C31" s="22" t="s">
        <v>23</v>
      </c>
      <c r="D31" s="33">
        <f t="shared" ref="D31:L31" si="3">SUM(D26:D30)</f>
        <v>550</v>
      </c>
      <c r="E31" s="68">
        <f t="shared" si="3"/>
        <v>17.42</v>
      </c>
      <c r="F31" s="68">
        <f t="shared" si="3"/>
        <v>15.88</v>
      </c>
      <c r="G31" s="68">
        <f t="shared" si="3"/>
        <v>73.2633333333333</v>
      </c>
      <c r="H31" s="68">
        <f t="shared" si="3"/>
        <v>505.6</v>
      </c>
      <c r="I31" s="68">
        <f t="shared" si="3"/>
        <v>21.87</v>
      </c>
      <c r="J31" s="68">
        <f t="shared" si="3"/>
        <v>374.38</v>
      </c>
      <c r="K31" s="68">
        <f t="shared" si="3"/>
        <v>63.88</v>
      </c>
      <c r="L31" s="64">
        <f t="shared" si="3"/>
        <v>4.72333333333333</v>
      </c>
    </row>
    <row r="32" ht="27.75" customHeight="1" spans="2:12">
      <c r="B32" s="24" t="s">
        <v>24</v>
      </c>
      <c r="C32" s="25"/>
      <c r="D32" s="26"/>
      <c r="E32" s="25"/>
      <c r="F32" s="25"/>
      <c r="G32" s="25"/>
      <c r="H32" s="25"/>
      <c r="I32" s="25"/>
      <c r="J32" s="25"/>
      <c r="K32" s="25"/>
      <c r="L32" s="82"/>
    </row>
    <row r="33" ht="24.75" customHeight="1" spans="2:12">
      <c r="B33" s="43" t="s">
        <v>46</v>
      </c>
      <c r="C33" s="44" t="s">
        <v>47</v>
      </c>
      <c r="D33" s="16">
        <v>60</v>
      </c>
      <c r="E33" s="65">
        <v>1.17</v>
      </c>
      <c r="F33" s="65">
        <v>5.06</v>
      </c>
      <c r="G33" s="65">
        <v>6.94</v>
      </c>
      <c r="H33" s="65">
        <v>78.05</v>
      </c>
      <c r="I33" s="67">
        <v>8.76</v>
      </c>
      <c r="J33" s="92">
        <v>22.55</v>
      </c>
      <c r="K33" s="87">
        <v>15.1</v>
      </c>
      <c r="L33" s="67">
        <v>0.9</v>
      </c>
    </row>
    <row r="34" ht="24.75" customHeight="1" spans="2:12">
      <c r="B34" s="45" t="s">
        <v>48</v>
      </c>
      <c r="C34" s="15" t="s">
        <v>49</v>
      </c>
      <c r="D34" s="16">
        <v>210</v>
      </c>
      <c r="E34" s="61">
        <v>9.28</v>
      </c>
      <c r="F34" s="61">
        <v>7.84</v>
      </c>
      <c r="G34" s="61">
        <v>15.42</v>
      </c>
      <c r="H34" s="61">
        <v>165.48</v>
      </c>
      <c r="I34" s="67">
        <v>9.2</v>
      </c>
      <c r="J34" s="86">
        <v>49.25</v>
      </c>
      <c r="K34" s="81">
        <v>30.61</v>
      </c>
      <c r="L34" s="66">
        <v>2</v>
      </c>
    </row>
    <row r="35" ht="26.25" customHeight="1" spans="2:12">
      <c r="B35" s="17" t="s">
        <v>50</v>
      </c>
      <c r="C35" s="15" t="s">
        <v>51</v>
      </c>
      <c r="D35" s="16">
        <v>210</v>
      </c>
      <c r="E35" s="61">
        <v>4.73</v>
      </c>
      <c r="F35" s="61">
        <v>4.73</v>
      </c>
      <c r="G35" s="61">
        <v>30.08</v>
      </c>
      <c r="H35" s="66">
        <v>272.58</v>
      </c>
      <c r="I35" s="66">
        <v>10.4</v>
      </c>
      <c r="J35" s="93">
        <v>198.25</v>
      </c>
      <c r="K35" s="84">
        <v>18.06</v>
      </c>
      <c r="L35" s="66">
        <v>1.02</v>
      </c>
    </row>
    <row r="36" ht="24.75" customHeight="1" spans="2:12">
      <c r="B36" s="14" t="s">
        <v>17</v>
      </c>
      <c r="C36" s="15" t="s">
        <v>18</v>
      </c>
      <c r="D36" s="16">
        <v>45</v>
      </c>
      <c r="E36" s="61">
        <v>3.42</v>
      </c>
      <c r="F36" s="61">
        <v>0.36</v>
      </c>
      <c r="G36" s="61">
        <v>22.10625</v>
      </c>
      <c r="H36" s="61">
        <v>105.75</v>
      </c>
      <c r="I36" s="84">
        <v>0</v>
      </c>
      <c r="J36" s="13">
        <v>10.35</v>
      </c>
      <c r="K36" s="84">
        <v>14.85</v>
      </c>
      <c r="L36" s="84">
        <v>0.855</v>
      </c>
    </row>
    <row r="37" ht="25.5" customHeight="1" spans="2:12">
      <c r="B37" s="17" t="s">
        <v>35</v>
      </c>
      <c r="C37" s="20" t="s">
        <v>36</v>
      </c>
      <c r="D37" s="31">
        <v>25</v>
      </c>
      <c r="E37" s="67">
        <v>1.65</v>
      </c>
      <c r="F37" s="67">
        <v>3</v>
      </c>
      <c r="G37" s="67">
        <v>8.35</v>
      </c>
      <c r="H37" s="61">
        <v>43.5</v>
      </c>
      <c r="I37" s="66">
        <v>0</v>
      </c>
      <c r="J37" s="83">
        <v>8.25</v>
      </c>
      <c r="K37" s="84">
        <v>14.25</v>
      </c>
      <c r="L37" s="66">
        <v>1.125</v>
      </c>
    </row>
    <row r="38" ht="26.25" customHeight="1" spans="2:12">
      <c r="B38" s="17" t="s">
        <v>52</v>
      </c>
      <c r="C38" s="20" t="s">
        <v>53</v>
      </c>
      <c r="D38" s="31">
        <v>180</v>
      </c>
      <c r="E38" s="67">
        <v>1.04</v>
      </c>
      <c r="F38" s="67">
        <v>0.27</v>
      </c>
      <c r="G38" s="67">
        <v>42.53</v>
      </c>
      <c r="H38" s="61">
        <v>176.74</v>
      </c>
      <c r="I38" s="66">
        <v>0.72</v>
      </c>
      <c r="J38" s="83">
        <v>5.26</v>
      </c>
      <c r="K38" s="84">
        <v>30.03</v>
      </c>
      <c r="L38" s="66">
        <v>0.86</v>
      </c>
    </row>
    <row r="39" ht="26.25" customHeight="1" spans="2:12">
      <c r="B39" s="14" t="s">
        <v>21</v>
      </c>
      <c r="C39" s="20" t="s">
        <v>22</v>
      </c>
      <c r="D39" s="31">
        <v>100</v>
      </c>
      <c r="E39" s="67">
        <v>0.4</v>
      </c>
      <c r="F39" s="67">
        <v>0.4</v>
      </c>
      <c r="G39" s="67">
        <v>9.8</v>
      </c>
      <c r="H39" s="61">
        <v>47</v>
      </c>
      <c r="I39" s="67">
        <v>10</v>
      </c>
      <c r="J39" s="86">
        <v>16</v>
      </c>
      <c r="K39" s="87">
        <v>9</v>
      </c>
      <c r="L39" s="67">
        <v>2.2</v>
      </c>
    </row>
    <row r="40" ht="29.25" customHeight="1" spans="2:12">
      <c r="B40" s="30"/>
      <c r="C40" s="46" t="s">
        <v>37</v>
      </c>
      <c r="D40" s="47">
        <f t="shared" ref="D40:L40" si="4">SUM(D33:D39)</f>
        <v>830</v>
      </c>
      <c r="E40" s="70">
        <f t="shared" si="4"/>
        <v>21.69</v>
      </c>
      <c r="F40" s="70">
        <f t="shared" si="4"/>
        <v>21.66</v>
      </c>
      <c r="G40" s="70">
        <f t="shared" si="4"/>
        <v>135.22625</v>
      </c>
      <c r="H40" s="70">
        <f t="shared" si="4"/>
        <v>889.1</v>
      </c>
      <c r="I40" s="70">
        <f t="shared" si="4"/>
        <v>39.08</v>
      </c>
      <c r="J40" s="70">
        <f t="shared" si="4"/>
        <v>309.91</v>
      </c>
      <c r="K40" s="70">
        <f t="shared" si="4"/>
        <v>131.9</v>
      </c>
      <c r="L40" s="70">
        <f t="shared" si="4"/>
        <v>8.96</v>
      </c>
    </row>
    <row r="41" ht="30" customHeight="1" spans="2:12">
      <c r="B41" s="17"/>
      <c r="C41" s="22" t="s">
        <v>38</v>
      </c>
      <c r="D41" s="33">
        <f t="shared" ref="D41:L41" si="5">D40+D31</f>
        <v>1380</v>
      </c>
      <c r="E41" s="68">
        <f t="shared" si="5"/>
        <v>39.11</v>
      </c>
      <c r="F41" s="68">
        <f t="shared" si="5"/>
        <v>37.54</v>
      </c>
      <c r="G41" s="68">
        <f t="shared" si="5"/>
        <v>208.489583333333</v>
      </c>
      <c r="H41" s="68">
        <f t="shared" si="5"/>
        <v>1394.7</v>
      </c>
      <c r="I41" s="68">
        <f t="shared" si="5"/>
        <v>60.95</v>
      </c>
      <c r="J41" s="68">
        <f t="shared" si="5"/>
        <v>684.29</v>
      </c>
      <c r="K41" s="68">
        <f t="shared" si="5"/>
        <v>195.78</v>
      </c>
      <c r="L41" s="64">
        <f t="shared" si="5"/>
        <v>13.6833333333333</v>
      </c>
    </row>
    <row r="42" ht="37.5" customHeight="1" spans="2:12">
      <c r="B42" s="37" t="s">
        <v>54</v>
      </c>
      <c r="C42" s="38"/>
      <c r="D42" s="38"/>
      <c r="E42" s="38"/>
      <c r="F42" s="38"/>
      <c r="G42" s="38"/>
      <c r="H42" s="38"/>
      <c r="I42" s="38"/>
      <c r="J42" s="38"/>
      <c r="K42" s="38"/>
      <c r="L42" s="91"/>
    </row>
    <row r="43" ht="27" customHeight="1" spans="2:12">
      <c r="B43" s="39" t="s">
        <v>2</v>
      </c>
      <c r="C43" s="9" t="s">
        <v>3</v>
      </c>
      <c r="D43" s="9" t="s">
        <v>4</v>
      </c>
      <c r="E43" s="57" t="s">
        <v>5</v>
      </c>
      <c r="F43" s="58"/>
      <c r="G43" s="58"/>
      <c r="H43" s="59"/>
      <c r="I43" s="76" t="s">
        <v>6</v>
      </c>
      <c r="J43" s="77" t="s">
        <v>7</v>
      </c>
      <c r="K43" s="77" t="s">
        <v>8</v>
      </c>
      <c r="L43" s="77" t="s">
        <v>9</v>
      </c>
    </row>
    <row r="44" ht="63.75" customHeight="1" spans="2:12">
      <c r="B44" s="40"/>
      <c r="C44" s="10"/>
      <c r="D44" s="10"/>
      <c r="E44" s="60" t="s">
        <v>10</v>
      </c>
      <c r="F44" s="60" t="s">
        <v>11</v>
      </c>
      <c r="G44" s="60" t="s">
        <v>12</v>
      </c>
      <c r="H44" s="60" t="s">
        <v>13</v>
      </c>
      <c r="I44" s="78"/>
      <c r="J44" s="79"/>
      <c r="K44" s="79"/>
      <c r="L44" s="79"/>
    </row>
    <row r="45" ht="27" customHeight="1" spans="2:12">
      <c r="B45" s="24" t="s">
        <v>14</v>
      </c>
      <c r="C45" s="25"/>
      <c r="D45" s="25"/>
      <c r="E45" s="25"/>
      <c r="F45" s="25"/>
      <c r="G45" s="25"/>
      <c r="H45" s="25"/>
      <c r="I45" s="25"/>
      <c r="J45" s="25"/>
      <c r="K45" s="25"/>
      <c r="L45" s="82"/>
    </row>
    <row r="46" ht="27" customHeight="1" spans="2:12">
      <c r="B46" s="27" t="s">
        <v>40</v>
      </c>
      <c r="C46" s="15" t="s">
        <v>41</v>
      </c>
      <c r="D46" s="16">
        <v>60</v>
      </c>
      <c r="E46" s="65">
        <v>0.66</v>
      </c>
      <c r="F46" s="65">
        <v>0.12</v>
      </c>
      <c r="G46" s="65">
        <v>2.28</v>
      </c>
      <c r="H46" s="65">
        <v>13.2</v>
      </c>
      <c r="I46" s="67">
        <v>10.5</v>
      </c>
      <c r="J46" s="92">
        <v>8.4</v>
      </c>
      <c r="K46" s="84">
        <v>12</v>
      </c>
      <c r="L46" s="66">
        <v>0.51</v>
      </c>
    </row>
    <row r="47" ht="26.25" customHeight="1" spans="2:12">
      <c r="B47" s="17" t="s">
        <v>55</v>
      </c>
      <c r="C47" s="18" t="s">
        <v>56</v>
      </c>
      <c r="D47" s="19">
        <v>100</v>
      </c>
      <c r="E47" s="62">
        <v>8.51</v>
      </c>
      <c r="F47" s="62">
        <v>13.45</v>
      </c>
      <c r="G47" s="62">
        <v>9.005</v>
      </c>
      <c r="H47" s="62">
        <v>185.69</v>
      </c>
      <c r="I47" s="62">
        <v>29.58</v>
      </c>
      <c r="J47" s="62">
        <v>18.45</v>
      </c>
      <c r="K47" s="81">
        <v>23.735</v>
      </c>
      <c r="L47" s="66">
        <v>1.24</v>
      </c>
    </row>
    <row r="48" ht="27.75" customHeight="1" spans="2:12">
      <c r="B48" s="17" t="s">
        <v>57</v>
      </c>
      <c r="C48" s="15" t="s">
        <v>58</v>
      </c>
      <c r="D48" s="19">
        <v>150</v>
      </c>
      <c r="E48" s="62">
        <v>3.25</v>
      </c>
      <c r="F48" s="62">
        <v>2.88</v>
      </c>
      <c r="G48" s="62">
        <v>28.99</v>
      </c>
      <c r="H48" s="62">
        <v>189.56</v>
      </c>
      <c r="I48" s="62">
        <v>25.95</v>
      </c>
      <c r="J48" s="62">
        <v>145.59</v>
      </c>
      <c r="K48" s="81">
        <v>32.99</v>
      </c>
      <c r="L48" s="66">
        <v>1.22</v>
      </c>
    </row>
    <row r="49" ht="28.5" customHeight="1" spans="2:12">
      <c r="B49" s="17" t="s">
        <v>17</v>
      </c>
      <c r="C49" s="20" t="s">
        <v>18</v>
      </c>
      <c r="D49" s="31">
        <v>20</v>
      </c>
      <c r="E49" s="67">
        <v>1.52</v>
      </c>
      <c r="F49" s="67">
        <v>0.16</v>
      </c>
      <c r="G49" s="67">
        <v>9.84</v>
      </c>
      <c r="H49" s="61">
        <v>47</v>
      </c>
      <c r="I49" s="66">
        <v>0</v>
      </c>
      <c r="J49" s="83">
        <v>4.6</v>
      </c>
      <c r="K49" s="84">
        <v>6.6</v>
      </c>
      <c r="L49" s="66">
        <v>0.38</v>
      </c>
    </row>
    <row r="50" ht="30" customHeight="1" spans="2:12">
      <c r="B50" s="17" t="s">
        <v>35</v>
      </c>
      <c r="C50" s="20" t="s">
        <v>36</v>
      </c>
      <c r="D50" s="16">
        <v>30</v>
      </c>
      <c r="E50" s="61">
        <v>1.98</v>
      </c>
      <c r="F50" s="61">
        <v>0.36</v>
      </c>
      <c r="G50" s="61">
        <v>10.02</v>
      </c>
      <c r="H50" s="61">
        <v>52.2</v>
      </c>
      <c r="I50" s="66">
        <v>0</v>
      </c>
      <c r="J50" s="83">
        <v>9.9</v>
      </c>
      <c r="K50" s="81">
        <v>17.1</v>
      </c>
      <c r="L50" s="66">
        <v>1.35</v>
      </c>
    </row>
    <row r="51" ht="27" customHeight="1" spans="2:12">
      <c r="B51" s="17" t="s">
        <v>52</v>
      </c>
      <c r="C51" s="41" t="s">
        <v>53</v>
      </c>
      <c r="D51" s="19">
        <v>200</v>
      </c>
      <c r="E51" s="62">
        <v>1.16</v>
      </c>
      <c r="F51" s="62">
        <v>0.3</v>
      </c>
      <c r="G51" s="62">
        <v>47.26</v>
      </c>
      <c r="H51" s="62">
        <v>196.38</v>
      </c>
      <c r="I51" s="62">
        <v>0.8</v>
      </c>
      <c r="J51" s="62">
        <v>5.84</v>
      </c>
      <c r="K51" s="81">
        <v>33</v>
      </c>
      <c r="L51" s="66">
        <v>0.96</v>
      </c>
    </row>
    <row r="52" ht="31.5" customHeight="1" spans="2:12">
      <c r="B52" s="48"/>
      <c r="C52" s="49" t="s">
        <v>23</v>
      </c>
      <c r="D52" s="50">
        <f t="shared" ref="D52:L52" si="6">SUM(D46:D51)</f>
        <v>560</v>
      </c>
      <c r="E52" s="64">
        <f t="shared" si="6"/>
        <v>17.08</v>
      </c>
      <c r="F52" s="64">
        <f t="shared" si="6"/>
        <v>17.27</v>
      </c>
      <c r="G52" s="64">
        <f t="shared" si="6"/>
        <v>107.395</v>
      </c>
      <c r="H52" s="64">
        <f t="shared" si="6"/>
        <v>684.03</v>
      </c>
      <c r="I52" s="64">
        <f t="shared" si="6"/>
        <v>66.83</v>
      </c>
      <c r="J52" s="64">
        <f t="shared" si="6"/>
        <v>192.78</v>
      </c>
      <c r="K52" s="64">
        <f t="shared" si="6"/>
        <v>125.425</v>
      </c>
      <c r="L52" s="64">
        <f t="shared" si="6"/>
        <v>5.66</v>
      </c>
    </row>
    <row r="53" ht="26.25" customHeight="1" spans="2:12">
      <c r="B53" s="24" t="s">
        <v>24</v>
      </c>
      <c r="C53" s="25"/>
      <c r="D53" s="26"/>
      <c r="E53" s="25"/>
      <c r="F53" s="25"/>
      <c r="G53" s="25"/>
      <c r="H53" s="25"/>
      <c r="I53" s="25"/>
      <c r="J53" s="25"/>
      <c r="K53" s="25"/>
      <c r="L53" s="82"/>
    </row>
    <row r="54" ht="29.25" customHeight="1" spans="2:12">
      <c r="B54" s="14" t="s">
        <v>59</v>
      </c>
      <c r="C54" s="15" t="s">
        <v>60</v>
      </c>
      <c r="D54" s="16">
        <v>250</v>
      </c>
      <c r="E54" s="61">
        <v>5.47</v>
      </c>
      <c r="F54" s="61">
        <v>0.31</v>
      </c>
      <c r="G54" s="61">
        <v>17.95</v>
      </c>
      <c r="H54" s="61">
        <v>150</v>
      </c>
      <c r="I54" s="67">
        <v>0.82</v>
      </c>
      <c r="J54" s="86">
        <v>163</v>
      </c>
      <c r="K54" s="84">
        <v>26.67</v>
      </c>
      <c r="L54" s="66">
        <v>0.65</v>
      </c>
    </row>
    <row r="55" ht="28.5" customHeight="1" spans="2:12">
      <c r="B55" s="51" t="s">
        <v>61</v>
      </c>
      <c r="C55" s="52" t="s">
        <v>62</v>
      </c>
      <c r="D55" s="53">
        <v>200</v>
      </c>
      <c r="E55" s="71">
        <v>16.94</v>
      </c>
      <c r="F55" s="71">
        <v>10.46</v>
      </c>
      <c r="G55" s="71">
        <v>25.73</v>
      </c>
      <c r="H55" s="72">
        <v>305.33</v>
      </c>
      <c r="I55" s="72">
        <v>6.02</v>
      </c>
      <c r="J55" s="94">
        <v>46.34</v>
      </c>
      <c r="K55" s="95">
        <v>54.04</v>
      </c>
      <c r="L55" s="72">
        <v>1.97</v>
      </c>
    </row>
    <row r="56" ht="28.5" customHeight="1" spans="2:12">
      <c r="B56" s="32" t="s">
        <v>17</v>
      </c>
      <c r="C56" s="52" t="s">
        <v>18</v>
      </c>
      <c r="D56" s="53">
        <v>45</v>
      </c>
      <c r="E56" s="71">
        <v>3.42</v>
      </c>
      <c r="F56" s="71">
        <v>0.36</v>
      </c>
      <c r="G56" s="71">
        <v>22.10625</v>
      </c>
      <c r="H56" s="73">
        <v>105.75</v>
      </c>
      <c r="I56" s="72">
        <v>0</v>
      </c>
      <c r="J56" s="94">
        <v>10.35</v>
      </c>
      <c r="K56" s="95">
        <v>14.85</v>
      </c>
      <c r="L56" s="72">
        <v>0.855</v>
      </c>
    </row>
    <row r="57" ht="27.75" customHeight="1" spans="2:12">
      <c r="B57" s="32" t="s">
        <v>35</v>
      </c>
      <c r="C57" s="52" t="s">
        <v>36</v>
      </c>
      <c r="D57" s="53">
        <v>25</v>
      </c>
      <c r="E57" s="71">
        <v>1.65</v>
      </c>
      <c r="F57" s="71">
        <v>3</v>
      </c>
      <c r="G57" s="71">
        <v>8.35</v>
      </c>
      <c r="H57" s="73">
        <v>43.5</v>
      </c>
      <c r="I57" s="72">
        <v>0</v>
      </c>
      <c r="J57" s="94">
        <v>8.25</v>
      </c>
      <c r="K57" s="95">
        <v>14.25</v>
      </c>
      <c r="L57" s="72">
        <v>1.125</v>
      </c>
    </row>
    <row r="58" ht="30" customHeight="1" spans="2:12">
      <c r="B58" s="32" t="s">
        <v>63</v>
      </c>
      <c r="C58" s="52" t="s">
        <v>64</v>
      </c>
      <c r="D58" s="53">
        <v>200</v>
      </c>
      <c r="E58" s="71">
        <f>0.11*200/180</f>
        <v>0.122222222222222</v>
      </c>
      <c r="F58" s="71">
        <v>0.12</v>
      </c>
      <c r="G58" s="71">
        <f>20.61*200/180</f>
        <v>22.9</v>
      </c>
      <c r="H58" s="73">
        <f>91.52*200/180</f>
        <v>101.688888888889</v>
      </c>
      <c r="I58" s="72">
        <f>2.7*200/180</f>
        <v>3</v>
      </c>
      <c r="J58" s="94">
        <f>4.86*200/180</f>
        <v>5.4</v>
      </c>
      <c r="K58" s="95">
        <f>2.43*200/180</f>
        <v>2.7</v>
      </c>
      <c r="L58" s="72">
        <f>0.65*200/180</f>
        <v>0.722222222222222</v>
      </c>
    </row>
    <row r="59" ht="30.75" customHeight="1" spans="2:12">
      <c r="B59" s="54"/>
      <c r="C59" s="55" t="s">
        <v>37</v>
      </c>
      <c r="D59" s="56">
        <f t="shared" ref="D59:L59" si="7">SUM(D54:D58)</f>
        <v>720</v>
      </c>
      <c r="E59" s="68">
        <f t="shared" si="7"/>
        <v>27.6022222222222</v>
      </c>
      <c r="F59" s="68">
        <f t="shared" si="7"/>
        <v>14.25</v>
      </c>
      <c r="G59" s="68">
        <f t="shared" si="7"/>
        <v>97.03625</v>
      </c>
      <c r="H59" s="68">
        <f t="shared" si="7"/>
        <v>706.268888888889</v>
      </c>
      <c r="I59" s="64">
        <f t="shared" si="7"/>
        <v>9.84</v>
      </c>
      <c r="J59" s="89">
        <f t="shared" si="7"/>
        <v>233.34</v>
      </c>
      <c r="K59" s="64">
        <f t="shared" si="7"/>
        <v>112.51</v>
      </c>
      <c r="L59" s="64">
        <f t="shared" si="7"/>
        <v>5.32222222222222</v>
      </c>
    </row>
    <row r="60" ht="32.25" customHeight="1" spans="2:12">
      <c r="B60" s="32"/>
      <c r="C60" s="22" t="s">
        <v>38</v>
      </c>
      <c r="D60" s="33">
        <f t="shared" ref="D60:L60" si="8">D59+D52</f>
        <v>1280</v>
      </c>
      <c r="E60" s="68">
        <f t="shared" si="8"/>
        <v>44.6822222222222</v>
      </c>
      <c r="F60" s="68">
        <f t="shared" si="8"/>
        <v>31.52</v>
      </c>
      <c r="G60" s="68">
        <f t="shared" si="8"/>
        <v>204.43125</v>
      </c>
      <c r="H60" s="68">
        <f t="shared" si="8"/>
        <v>1390.29888888889</v>
      </c>
      <c r="I60" s="68">
        <f t="shared" si="8"/>
        <v>76.67</v>
      </c>
      <c r="J60" s="68">
        <f t="shared" si="8"/>
        <v>426.12</v>
      </c>
      <c r="K60" s="68">
        <f t="shared" si="8"/>
        <v>237.935</v>
      </c>
      <c r="L60" s="64">
        <f t="shared" si="8"/>
        <v>10.9822222222222</v>
      </c>
    </row>
    <row r="61" ht="38.25" customHeight="1" spans="2:12">
      <c r="B61" s="37" t="s">
        <v>65</v>
      </c>
      <c r="C61" s="38"/>
      <c r="D61" s="38"/>
      <c r="E61" s="38"/>
      <c r="F61" s="38"/>
      <c r="G61" s="38"/>
      <c r="H61" s="38"/>
      <c r="I61" s="38"/>
      <c r="J61" s="38"/>
      <c r="K61" s="38"/>
      <c r="L61" s="91"/>
    </row>
    <row r="62" ht="22.5" customHeight="1" spans="2:12">
      <c r="B62" s="39" t="s">
        <v>2</v>
      </c>
      <c r="C62" s="9" t="s">
        <v>3</v>
      </c>
      <c r="D62" s="9" t="s">
        <v>4</v>
      </c>
      <c r="E62" s="57" t="s">
        <v>5</v>
      </c>
      <c r="F62" s="58"/>
      <c r="G62" s="58"/>
      <c r="H62" s="59"/>
      <c r="I62" s="76" t="s">
        <v>6</v>
      </c>
      <c r="J62" s="77" t="s">
        <v>7</v>
      </c>
      <c r="K62" s="77" t="s">
        <v>8</v>
      </c>
      <c r="L62" s="77" t="s">
        <v>9</v>
      </c>
    </row>
    <row r="63" ht="59.25" customHeight="1" spans="2:12">
      <c r="B63" s="40"/>
      <c r="C63" s="10"/>
      <c r="D63" s="10"/>
      <c r="E63" s="60" t="s">
        <v>10</v>
      </c>
      <c r="F63" s="60" t="s">
        <v>11</v>
      </c>
      <c r="G63" s="60" t="s">
        <v>12</v>
      </c>
      <c r="H63" s="60" t="s">
        <v>13</v>
      </c>
      <c r="I63" s="78"/>
      <c r="J63" s="79"/>
      <c r="K63" s="79"/>
      <c r="L63" s="79"/>
    </row>
    <row r="64" ht="26.25" customHeight="1" spans="2:12">
      <c r="B64" s="24" t="s">
        <v>14</v>
      </c>
      <c r="C64" s="25"/>
      <c r="D64" s="25"/>
      <c r="E64" s="25"/>
      <c r="F64" s="25"/>
      <c r="G64" s="25"/>
      <c r="H64" s="25"/>
      <c r="I64" s="25"/>
      <c r="J64" s="25"/>
      <c r="K64" s="96"/>
      <c r="L64" s="97"/>
    </row>
    <row r="65" ht="28.5" customHeight="1" spans="2:12">
      <c r="B65" s="27" t="s">
        <v>40</v>
      </c>
      <c r="C65" s="28" t="s">
        <v>41</v>
      </c>
      <c r="D65" s="29">
        <v>60</v>
      </c>
      <c r="E65" s="61">
        <v>0.66</v>
      </c>
      <c r="F65" s="61">
        <v>0.12</v>
      </c>
      <c r="G65" s="61">
        <v>2.28</v>
      </c>
      <c r="H65" s="61">
        <v>13.2</v>
      </c>
      <c r="I65" s="61">
        <v>10.5</v>
      </c>
      <c r="J65" s="66">
        <v>8.4</v>
      </c>
      <c r="K65" s="98">
        <v>12</v>
      </c>
      <c r="L65" s="66">
        <v>0.54</v>
      </c>
    </row>
    <row r="66" ht="26.25" customHeight="1" spans="2:12">
      <c r="B66" s="17" t="s">
        <v>66</v>
      </c>
      <c r="C66" s="15" t="s">
        <v>67</v>
      </c>
      <c r="D66" s="16">
        <v>150</v>
      </c>
      <c r="E66" s="62">
        <v>18.8470588235294</v>
      </c>
      <c r="F66" s="62">
        <v>21.4411764705882</v>
      </c>
      <c r="G66" s="62">
        <v>6.93</v>
      </c>
      <c r="H66" s="62">
        <v>280.588235294118</v>
      </c>
      <c r="I66" s="62">
        <v>0.635294117647059</v>
      </c>
      <c r="J66" s="62">
        <v>110.117647058824</v>
      </c>
      <c r="K66" s="81">
        <v>28.5882352941176</v>
      </c>
      <c r="L66" s="66">
        <v>3.01764705882353</v>
      </c>
    </row>
    <row r="67" ht="29.25" customHeight="1" spans="2:12">
      <c r="B67" s="17" t="s">
        <v>17</v>
      </c>
      <c r="C67" s="18" t="s">
        <v>18</v>
      </c>
      <c r="D67" s="16">
        <v>50</v>
      </c>
      <c r="E67" s="61">
        <v>3.8</v>
      </c>
      <c r="F67" s="61">
        <v>0.4</v>
      </c>
      <c r="G67" s="66">
        <v>24.6</v>
      </c>
      <c r="H67" s="61">
        <v>117.5</v>
      </c>
      <c r="I67" s="66">
        <v>0</v>
      </c>
      <c r="J67" s="83">
        <v>11.5</v>
      </c>
      <c r="K67" s="84">
        <v>16.5</v>
      </c>
      <c r="L67" s="66">
        <v>0.95</v>
      </c>
    </row>
    <row r="68" ht="27" customHeight="1" spans="2:12">
      <c r="B68" s="17" t="s">
        <v>35</v>
      </c>
      <c r="C68" s="15" t="s">
        <v>36</v>
      </c>
      <c r="D68" s="16">
        <v>40</v>
      </c>
      <c r="E68" s="66">
        <v>2.64</v>
      </c>
      <c r="F68" s="66">
        <v>0.48</v>
      </c>
      <c r="G68" s="112">
        <v>13.36</v>
      </c>
      <c r="H68" s="66">
        <v>69.6</v>
      </c>
      <c r="I68" s="112">
        <v>0</v>
      </c>
      <c r="J68" s="119">
        <v>13.2</v>
      </c>
      <c r="K68" s="120">
        <v>22.8</v>
      </c>
      <c r="L68" s="120">
        <v>1.8</v>
      </c>
    </row>
    <row r="69" ht="27" customHeight="1" spans="2:12">
      <c r="B69" s="17" t="s">
        <v>33</v>
      </c>
      <c r="C69" s="15" t="s">
        <v>34</v>
      </c>
      <c r="D69" s="16">
        <v>200</v>
      </c>
      <c r="E69" s="62">
        <v>1</v>
      </c>
      <c r="F69" s="62">
        <v>0.2</v>
      </c>
      <c r="G69" s="62">
        <v>20.2</v>
      </c>
      <c r="H69" s="62">
        <v>92</v>
      </c>
      <c r="I69" s="62">
        <v>4</v>
      </c>
      <c r="J69" s="62">
        <v>14</v>
      </c>
      <c r="K69" s="66">
        <v>8</v>
      </c>
      <c r="L69" s="66">
        <v>2.8</v>
      </c>
    </row>
    <row r="70" ht="32.25" customHeight="1" spans="2:12">
      <c r="B70" s="24"/>
      <c r="C70" s="100" t="s">
        <v>23</v>
      </c>
      <c r="D70" s="23">
        <f t="shared" ref="D70:L70" si="9">SUM(D65:D69)</f>
        <v>500</v>
      </c>
      <c r="E70" s="63">
        <f t="shared" si="9"/>
        <v>26.9470588235294</v>
      </c>
      <c r="F70" s="63">
        <f t="shared" si="9"/>
        <v>22.6411764705882</v>
      </c>
      <c r="G70" s="63">
        <f t="shared" si="9"/>
        <v>67.37</v>
      </c>
      <c r="H70" s="63">
        <f t="shared" si="9"/>
        <v>572.888235294118</v>
      </c>
      <c r="I70" s="63">
        <f t="shared" si="9"/>
        <v>15.1352941176471</v>
      </c>
      <c r="J70" s="63">
        <f t="shared" si="9"/>
        <v>157.217647058824</v>
      </c>
      <c r="K70" s="63">
        <f t="shared" si="9"/>
        <v>87.8882352941176</v>
      </c>
      <c r="L70" s="63">
        <f t="shared" si="9"/>
        <v>9.10764705882353</v>
      </c>
    </row>
    <row r="71" ht="25.5" customHeight="1" spans="2:12">
      <c r="B71" s="101" t="s">
        <v>24</v>
      </c>
      <c r="C71" s="25"/>
      <c r="D71" s="102"/>
      <c r="E71" s="113"/>
      <c r="F71" s="113"/>
      <c r="G71" s="113"/>
      <c r="H71" s="113"/>
      <c r="I71" s="113"/>
      <c r="J71" s="113"/>
      <c r="K71" s="121"/>
      <c r="L71" s="122"/>
    </row>
    <row r="72" ht="27" customHeight="1" spans="2:12">
      <c r="B72" s="27" t="s">
        <v>40</v>
      </c>
      <c r="C72" s="28" t="s">
        <v>41</v>
      </c>
      <c r="D72" s="29">
        <v>60</v>
      </c>
      <c r="E72" s="61">
        <v>0.66</v>
      </c>
      <c r="F72" s="61">
        <v>0.12</v>
      </c>
      <c r="G72" s="61">
        <v>2.28</v>
      </c>
      <c r="H72" s="61">
        <v>13.2</v>
      </c>
      <c r="I72" s="61">
        <v>10.5</v>
      </c>
      <c r="J72" s="66">
        <v>8.4</v>
      </c>
      <c r="K72" s="98">
        <v>12</v>
      </c>
      <c r="L72" s="66">
        <v>0.54</v>
      </c>
    </row>
    <row r="73" ht="27" customHeight="1" spans="2:12">
      <c r="B73" s="103" t="s">
        <v>68</v>
      </c>
      <c r="C73" s="15" t="s">
        <v>69</v>
      </c>
      <c r="D73" s="16">
        <v>200</v>
      </c>
      <c r="E73" s="61">
        <v>2.45</v>
      </c>
      <c r="F73" s="61">
        <v>2.8</v>
      </c>
      <c r="G73" s="61">
        <v>28.81</v>
      </c>
      <c r="H73" s="61">
        <v>143.75</v>
      </c>
      <c r="I73" s="67">
        <v>80</v>
      </c>
      <c r="J73" s="86">
        <v>128.79</v>
      </c>
      <c r="K73" s="81">
        <v>51.6</v>
      </c>
      <c r="L73" s="66">
        <v>1.24</v>
      </c>
    </row>
    <row r="74" ht="27.75" customHeight="1" spans="2:12">
      <c r="B74" s="30" t="s">
        <v>70</v>
      </c>
      <c r="C74" s="20" t="s">
        <v>71</v>
      </c>
      <c r="D74" s="31">
        <v>100</v>
      </c>
      <c r="E74" s="67">
        <v>17.3</v>
      </c>
      <c r="F74" s="67">
        <v>13.58</v>
      </c>
      <c r="G74" s="67">
        <v>11.8</v>
      </c>
      <c r="H74" s="67">
        <v>222</v>
      </c>
      <c r="I74" s="67">
        <v>8.1</v>
      </c>
      <c r="J74" s="92">
        <v>14</v>
      </c>
      <c r="K74" s="81">
        <v>20</v>
      </c>
      <c r="L74" s="66">
        <v>5.7</v>
      </c>
    </row>
    <row r="75" ht="27.75" customHeight="1" spans="2:12">
      <c r="B75" s="14" t="s">
        <v>57</v>
      </c>
      <c r="C75" s="15" t="s">
        <v>58</v>
      </c>
      <c r="D75" s="16">
        <v>150</v>
      </c>
      <c r="E75" s="61">
        <v>3.25</v>
      </c>
      <c r="F75" s="61">
        <v>2.88</v>
      </c>
      <c r="G75" s="61">
        <v>28.99</v>
      </c>
      <c r="H75" s="61">
        <v>189.56</v>
      </c>
      <c r="I75" s="67">
        <v>25.95</v>
      </c>
      <c r="J75" s="86">
        <v>145.59</v>
      </c>
      <c r="K75" s="126">
        <v>32.99</v>
      </c>
      <c r="L75" s="67">
        <v>1.22</v>
      </c>
    </row>
    <row r="76" ht="27.75" customHeight="1" spans="2:12">
      <c r="B76" s="14" t="s">
        <v>17</v>
      </c>
      <c r="C76" s="15" t="s">
        <v>18</v>
      </c>
      <c r="D76" s="16">
        <v>45</v>
      </c>
      <c r="E76" s="61">
        <v>3.42</v>
      </c>
      <c r="F76" s="61">
        <v>0.36</v>
      </c>
      <c r="G76" s="61">
        <v>22.10625</v>
      </c>
      <c r="H76" s="61">
        <v>105.75</v>
      </c>
      <c r="I76" s="67">
        <v>0</v>
      </c>
      <c r="J76" s="86">
        <v>10.35</v>
      </c>
      <c r="K76" s="87">
        <v>14.85</v>
      </c>
      <c r="L76" s="67">
        <v>0.855</v>
      </c>
    </row>
    <row r="77" ht="27.75" customHeight="1" spans="2:12">
      <c r="B77" s="17" t="s">
        <v>35</v>
      </c>
      <c r="C77" s="20" t="s">
        <v>36</v>
      </c>
      <c r="D77" s="31">
        <v>25</v>
      </c>
      <c r="E77" s="67">
        <v>1.65</v>
      </c>
      <c r="F77" s="67">
        <v>3</v>
      </c>
      <c r="G77" s="67">
        <v>8.35</v>
      </c>
      <c r="H77" s="61">
        <v>43.5</v>
      </c>
      <c r="I77" s="66">
        <v>0</v>
      </c>
      <c r="J77" s="83">
        <v>8.25</v>
      </c>
      <c r="K77" s="84">
        <v>14.25</v>
      </c>
      <c r="L77" s="66">
        <v>1.125</v>
      </c>
    </row>
    <row r="78" ht="28.5" customHeight="1" spans="2:12">
      <c r="B78" s="14" t="s">
        <v>52</v>
      </c>
      <c r="C78" s="15" t="s">
        <v>53</v>
      </c>
      <c r="D78" s="16">
        <v>180</v>
      </c>
      <c r="E78" s="61">
        <v>1.04</v>
      </c>
      <c r="F78" s="61">
        <v>0.27</v>
      </c>
      <c r="G78" s="61">
        <v>42.53</v>
      </c>
      <c r="H78" s="61">
        <v>176.74</v>
      </c>
      <c r="I78" s="84">
        <v>0.72</v>
      </c>
      <c r="J78" s="13">
        <v>5.26</v>
      </c>
      <c r="K78" s="84">
        <v>30.03</v>
      </c>
      <c r="L78" s="84">
        <v>0.86</v>
      </c>
    </row>
    <row r="79" ht="28.5" customHeight="1" spans="2:12">
      <c r="B79" s="14" t="s">
        <v>21</v>
      </c>
      <c r="C79" s="15" t="s">
        <v>22</v>
      </c>
      <c r="D79" s="16">
        <v>100</v>
      </c>
      <c r="E79" s="61">
        <v>0.4</v>
      </c>
      <c r="F79" s="61">
        <v>0.4</v>
      </c>
      <c r="G79" s="61">
        <v>9.8</v>
      </c>
      <c r="H79" s="61">
        <v>47</v>
      </c>
      <c r="I79" s="84">
        <v>10</v>
      </c>
      <c r="J79" s="98">
        <v>16</v>
      </c>
      <c r="K79" s="87">
        <v>9</v>
      </c>
      <c r="L79" s="85">
        <v>2.2</v>
      </c>
    </row>
    <row r="80" ht="28.5" customHeight="1" spans="2:12">
      <c r="B80" s="30"/>
      <c r="C80" s="46" t="s">
        <v>37</v>
      </c>
      <c r="D80" s="47">
        <f t="shared" ref="D80:L80" si="10">SUM(D72:D79)</f>
        <v>860</v>
      </c>
      <c r="E80" s="116">
        <f t="shared" si="10"/>
        <v>30.17</v>
      </c>
      <c r="F80" s="70">
        <f t="shared" si="10"/>
        <v>23.41</v>
      </c>
      <c r="G80" s="70">
        <f t="shared" si="10"/>
        <v>154.66625</v>
      </c>
      <c r="H80" s="70">
        <f t="shared" si="10"/>
        <v>941.5</v>
      </c>
      <c r="I80" s="70">
        <f t="shared" si="10"/>
        <v>135.27</v>
      </c>
      <c r="J80" s="70">
        <f t="shared" si="10"/>
        <v>336.64</v>
      </c>
      <c r="K80" s="70">
        <f t="shared" si="10"/>
        <v>184.72</v>
      </c>
      <c r="L80" s="70">
        <f t="shared" si="10"/>
        <v>13.74</v>
      </c>
    </row>
    <row r="81" ht="29.25" customHeight="1" spans="2:12">
      <c r="B81" s="17"/>
      <c r="C81" s="22" t="s">
        <v>38</v>
      </c>
      <c r="D81" s="33">
        <f t="shared" ref="D81:L81" si="11">D80+D70</f>
        <v>1360</v>
      </c>
      <c r="E81" s="68">
        <f t="shared" si="11"/>
        <v>57.1170588235294</v>
      </c>
      <c r="F81" s="68">
        <f t="shared" si="11"/>
        <v>46.0511764705882</v>
      </c>
      <c r="G81" s="68">
        <f t="shared" si="11"/>
        <v>222.03625</v>
      </c>
      <c r="H81" s="68">
        <f t="shared" si="11"/>
        <v>1514.38823529412</v>
      </c>
      <c r="I81" s="68">
        <f t="shared" si="11"/>
        <v>150.405294117647</v>
      </c>
      <c r="J81" s="68">
        <f t="shared" si="11"/>
        <v>493.857647058824</v>
      </c>
      <c r="K81" s="68">
        <f t="shared" si="11"/>
        <v>272.608235294118</v>
      </c>
      <c r="L81" s="64">
        <f t="shared" si="11"/>
        <v>22.8476470588235</v>
      </c>
    </row>
    <row r="82" ht="37.9" customHeight="1" spans="2:12">
      <c r="B82" s="37" t="s">
        <v>72</v>
      </c>
      <c r="C82" s="38"/>
      <c r="D82" s="38"/>
      <c r="E82" s="38"/>
      <c r="F82" s="38"/>
      <c r="G82" s="38"/>
      <c r="H82" s="38"/>
      <c r="I82" s="38"/>
      <c r="J82" s="38"/>
      <c r="K82" s="38"/>
      <c r="L82" s="91"/>
    </row>
    <row r="83" ht="24.75" customHeight="1" spans="2:12">
      <c r="B83" s="39" t="s">
        <v>2</v>
      </c>
      <c r="C83" s="9" t="s">
        <v>3</v>
      </c>
      <c r="D83" s="9" t="s">
        <v>4</v>
      </c>
      <c r="E83" s="57" t="s">
        <v>5</v>
      </c>
      <c r="F83" s="58"/>
      <c r="G83" s="58"/>
      <c r="H83" s="59"/>
      <c r="I83" s="76" t="s">
        <v>6</v>
      </c>
      <c r="J83" s="77" t="s">
        <v>7</v>
      </c>
      <c r="K83" s="77" t="s">
        <v>8</v>
      </c>
      <c r="L83" s="77" t="s">
        <v>9</v>
      </c>
    </row>
    <row r="84" ht="59.25" customHeight="1" spans="2:12">
      <c r="B84" s="40"/>
      <c r="C84" s="10"/>
      <c r="D84" s="10"/>
      <c r="E84" s="60" t="s">
        <v>10</v>
      </c>
      <c r="F84" s="60" t="s">
        <v>11</v>
      </c>
      <c r="G84" s="60" t="s">
        <v>12</v>
      </c>
      <c r="H84" s="60" t="s">
        <v>13</v>
      </c>
      <c r="I84" s="78"/>
      <c r="J84" s="79"/>
      <c r="K84" s="79"/>
      <c r="L84" s="79"/>
    </row>
    <row r="85" ht="25.5" customHeight="1" spans="2:12">
      <c r="B85" s="24" t="s">
        <v>14</v>
      </c>
      <c r="C85" s="25"/>
      <c r="D85" s="25"/>
      <c r="E85" s="25"/>
      <c r="F85" s="25"/>
      <c r="G85" s="25"/>
      <c r="H85" s="25"/>
      <c r="I85" s="25"/>
      <c r="J85" s="25"/>
      <c r="K85" s="25"/>
      <c r="L85" s="82"/>
    </row>
    <row r="86" ht="30.75" customHeight="1" spans="2:12">
      <c r="B86" s="14" t="s">
        <v>73</v>
      </c>
      <c r="C86" s="28" t="s">
        <v>74</v>
      </c>
      <c r="D86" s="29">
        <v>250</v>
      </c>
      <c r="E86" s="61">
        <v>15.8</v>
      </c>
      <c r="F86" s="61">
        <v>11.8</v>
      </c>
      <c r="G86" s="61">
        <v>43.56</v>
      </c>
      <c r="H86" s="61">
        <v>315.29</v>
      </c>
      <c r="I86" s="61">
        <v>1.62</v>
      </c>
      <c r="J86" s="61">
        <v>158.62</v>
      </c>
      <c r="K86" s="87">
        <v>45.44</v>
      </c>
      <c r="L86" s="67">
        <v>0.73</v>
      </c>
    </row>
    <row r="87" ht="28.5" customHeight="1" spans="2:12">
      <c r="B87" s="17" t="s">
        <v>75</v>
      </c>
      <c r="C87" s="18" t="s">
        <v>76</v>
      </c>
      <c r="D87" s="19">
        <v>10</v>
      </c>
      <c r="E87" s="62">
        <v>0.05</v>
      </c>
      <c r="F87" s="62">
        <v>8.25</v>
      </c>
      <c r="G87" s="62">
        <v>0.08</v>
      </c>
      <c r="H87" s="62">
        <v>74.8</v>
      </c>
      <c r="I87" s="62">
        <v>0</v>
      </c>
      <c r="J87" s="62">
        <v>2.4</v>
      </c>
      <c r="K87" s="81">
        <v>0.05</v>
      </c>
      <c r="L87" s="66">
        <v>0.02</v>
      </c>
    </row>
    <row r="88" ht="30" customHeight="1" spans="2:12">
      <c r="B88" s="17" t="s">
        <v>77</v>
      </c>
      <c r="C88" s="15" t="s">
        <v>78</v>
      </c>
      <c r="D88" s="19">
        <v>40</v>
      </c>
      <c r="E88" s="61">
        <f>7.7*40/100</f>
        <v>3.08</v>
      </c>
      <c r="F88" s="61">
        <f>3*40/100</f>
        <v>1.2</v>
      </c>
      <c r="G88" s="61">
        <f>50.1*40/100</f>
        <v>20.04</v>
      </c>
      <c r="H88" s="61">
        <f>259*40/100</f>
        <v>103.6</v>
      </c>
      <c r="I88" s="61">
        <v>0</v>
      </c>
      <c r="J88" s="61">
        <f>22*40/100</f>
        <v>8.8</v>
      </c>
      <c r="K88" s="84">
        <f>33*40/100</f>
        <v>13.2</v>
      </c>
      <c r="L88" s="66">
        <f>2*40/100</f>
        <v>0.8</v>
      </c>
    </row>
    <row r="89" ht="30" customHeight="1" spans="2:12">
      <c r="B89" s="17" t="s">
        <v>79</v>
      </c>
      <c r="C89" s="41" t="s">
        <v>80</v>
      </c>
      <c r="D89" s="19">
        <v>200</v>
      </c>
      <c r="E89" s="62">
        <v>0</v>
      </c>
      <c r="F89" s="62">
        <v>0</v>
      </c>
      <c r="G89" s="62">
        <v>6.986</v>
      </c>
      <c r="H89" s="62">
        <v>27.93</v>
      </c>
      <c r="I89" s="62">
        <v>0.05</v>
      </c>
      <c r="J89" s="62">
        <v>2.69</v>
      </c>
      <c r="K89" s="84">
        <v>2.2</v>
      </c>
      <c r="L89" s="66">
        <v>0.43</v>
      </c>
    </row>
    <row r="90" ht="33" customHeight="1" spans="2:12">
      <c r="B90" s="107"/>
      <c r="C90" s="171" t="s">
        <v>23</v>
      </c>
      <c r="D90" s="172">
        <f t="shared" ref="D90:L90" si="12">SUM(D86:D89)</f>
        <v>500</v>
      </c>
      <c r="E90" s="88">
        <f t="shared" si="12"/>
        <v>18.93</v>
      </c>
      <c r="F90" s="88">
        <f t="shared" si="12"/>
        <v>21.25</v>
      </c>
      <c r="G90" s="88">
        <f t="shared" si="12"/>
        <v>70.666</v>
      </c>
      <c r="H90" s="64">
        <f t="shared" si="12"/>
        <v>521.62</v>
      </c>
      <c r="I90" s="64">
        <f t="shared" si="12"/>
        <v>1.67</v>
      </c>
      <c r="J90" s="64">
        <f t="shared" si="12"/>
        <v>172.51</v>
      </c>
      <c r="K90" s="64">
        <f t="shared" si="12"/>
        <v>60.89</v>
      </c>
      <c r="L90" s="64">
        <f t="shared" si="12"/>
        <v>1.98</v>
      </c>
    </row>
    <row r="91" ht="25.5" customHeight="1" spans="2:12">
      <c r="B91" s="24" t="s">
        <v>24</v>
      </c>
      <c r="C91" s="25"/>
      <c r="D91" s="26"/>
      <c r="E91" s="25"/>
      <c r="F91" s="25"/>
      <c r="G91" s="25"/>
      <c r="H91" s="25"/>
      <c r="I91" s="25"/>
      <c r="J91" s="25"/>
      <c r="K91" s="25"/>
      <c r="L91" s="82"/>
    </row>
    <row r="92" ht="30.75" customHeight="1" spans="2:12">
      <c r="B92" s="103" t="s">
        <v>81</v>
      </c>
      <c r="C92" s="108" t="s">
        <v>82</v>
      </c>
      <c r="D92" s="173">
        <v>60</v>
      </c>
      <c r="E92" s="67">
        <v>0.96</v>
      </c>
      <c r="F92" s="67">
        <v>3.78</v>
      </c>
      <c r="G92" s="67">
        <v>4.44</v>
      </c>
      <c r="H92" s="67">
        <v>54.48</v>
      </c>
      <c r="I92" s="67">
        <v>10.2</v>
      </c>
      <c r="J92" s="92">
        <v>12.6</v>
      </c>
      <c r="K92" s="81">
        <v>3.12</v>
      </c>
      <c r="L92" s="66">
        <v>0.06</v>
      </c>
    </row>
    <row r="93" ht="30" customHeight="1" spans="2:12">
      <c r="B93" s="14" t="s">
        <v>83</v>
      </c>
      <c r="C93" s="15" t="s">
        <v>84</v>
      </c>
      <c r="D93" s="16">
        <v>200</v>
      </c>
      <c r="E93" s="61">
        <v>1.98</v>
      </c>
      <c r="F93" s="61">
        <v>3.51</v>
      </c>
      <c r="G93" s="61">
        <v>13.74</v>
      </c>
      <c r="H93" s="61">
        <v>95.14</v>
      </c>
      <c r="I93" s="87">
        <v>13.42</v>
      </c>
      <c r="J93" s="85">
        <v>20.31</v>
      </c>
      <c r="K93" s="87">
        <v>21.25</v>
      </c>
      <c r="L93" s="87">
        <v>0.8</v>
      </c>
    </row>
    <row r="94" ht="30.75" customHeight="1" spans="2:12">
      <c r="B94" s="14" t="s">
        <v>85</v>
      </c>
      <c r="C94" s="15" t="s">
        <v>86</v>
      </c>
      <c r="D94" s="16">
        <v>200</v>
      </c>
      <c r="E94" s="61">
        <v>17.07</v>
      </c>
      <c r="F94" s="61">
        <v>19.82</v>
      </c>
      <c r="G94" s="61">
        <v>31.43</v>
      </c>
      <c r="H94" s="61">
        <v>372.22</v>
      </c>
      <c r="I94" s="67">
        <v>17.13</v>
      </c>
      <c r="J94" s="86">
        <v>141.36</v>
      </c>
      <c r="K94" s="81">
        <v>51.09</v>
      </c>
      <c r="L94" s="66">
        <v>1.48</v>
      </c>
    </row>
    <row r="95" ht="31.5" customHeight="1" spans="2:12">
      <c r="B95" s="14" t="s">
        <v>17</v>
      </c>
      <c r="C95" s="15" t="s">
        <v>18</v>
      </c>
      <c r="D95" s="16">
        <v>45</v>
      </c>
      <c r="E95" s="61">
        <v>3.42</v>
      </c>
      <c r="F95" s="61">
        <v>0.36</v>
      </c>
      <c r="G95" s="61">
        <v>22.10625</v>
      </c>
      <c r="H95" s="61">
        <v>105.75</v>
      </c>
      <c r="I95" s="67">
        <v>0</v>
      </c>
      <c r="J95" s="86">
        <v>10.35</v>
      </c>
      <c r="K95" s="84">
        <v>14.85</v>
      </c>
      <c r="L95" s="66">
        <v>0.855</v>
      </c>
    </row>
    <row r="96" ht="31.5" customHeight="1" spans="2:12">
      <c r="B96" s="17" t="s">
        <v>35</v>
      </c>
      <c r="C96" s="41" t="s">
        <v>36</v>
      </c>
      <c r="D96" s="19">
        <v>25</v>
      </c>
      <c r="E96" s="62">
        <v>1.65</v>
      </c>
      <c r="F96" s="62">
        <v>3</v>
      </c>
      <c r="G96" s="62">
        <v>8.35</v>
      </c>
      <c r="H96" s="62">
        <v>43.5</v>
      </c>
      <c r="I96" s="66">
        <v>0</v>
      </c>
      <c r="J96" s="83">
        <v>8.25</v>
      </c>
      <c r="K96" s="84">
        <v>14.25</v>
      </c>
      <c r="L96" s="66">
        <v>1.125</v>
      </c>
    </row>
    <row r="97" ht="30.75" customHeight="1" spans="2:12">
      <c r="B97" s="17" t="s">
        <v>33</v>
      </c>
      <c r="C97" s="20" t="s">
        <v>34</v>
      </c>
      <c r="D97" s="31">
        <v>180</v>
      </c>
      <c r="E97" s="67">
        <v>0.9</v>
      </c>
      <c r="F97" s="67">
        <v>0.18</v>
      </c>
      <c r="G97" s="67">
        <v>18.18</v>
      </c>
      <c r="H97" s="61">
        <v>82.8</v>
      </c>
      <c r="I97" s="66">
        <v>3.6</v>
      </c>
      <c r="J97" s="83">
        <v>12.6</v>
      </c>
      <c r="K97" s="84">
        <v>7.2</v>
      </c>
      <c r="L97" s="66">
        <v>2.52</v>
      </c>
    </row>
    <row r="98" ht="31.15" customHeight="1" spans="2:12">
      <c r="B98" s="109"/>
      <c r="C98" s="55" t="s">
        <v>37</v>
      </c>
      <c r="D98" s="56">
        <f t="shared" ref="D98:L98" si="13">SUM(D92:D97)</f>
        <v>710</v>
      </c>
      <c r="E98" s="118">
        <f t="shared" si="13"/>
        <v>25.98</v>
      </c>
      <c r="F98" s="118">
        <f t="shared" si="13"/>
        <v>30.65</v>
      </c>
      <c r="G98" s="118">
        <f t="shared" si="13"/>
        <v>98.24625</v>
      </c>
      <c r="H98" s="118">
        <f t="shared" si="13"/>
        <v>753.89</v>
      </c>
      <c r="I98" s="118">
        <f t="shared" si="13"/>
        <v>44.35</v>
      </c>
      <c r="J98" s="118">
        <f t="shared" si="13"/>
        <v>205.47</v>
      </c>
      <c r="K98" s="118">
        <f t="shared" si="13"/>
        <v>111.76</v>
      </c>
      <c r="L98" s="116">
        <f t="shared" si="13"/>
        <v>6.84</v>
      </c>
    </row>
    <row r="99" ht="31.9" customHeight="1" spans="2:12">
      <c r="B99" s="109"/>
      <c r="C99" s="55" t="s">
        <v>38</v>
      </c>
      <c r="D99" s="56">
        <f t="shared" ref="D99:L99" si="14">D98+D90</f>
        <v>1210</v>
      </c>
      <c r="E99" s="118">
        <f t="shared" si="14"/>
        <v>44.91</v>
      </c>
      <c r="F99" s="118">
        <f t="shared" si="14"/>
        <v>51.9</v>
      </c>
      <c r="G99" s="118">
        <f t="shared" si="14"/>
        <v>168.91225</v>
      </c>
      <c r="H99" s="118">
        <f t="shared" si="14"/>
        <v>1275.51</v>
      </c>
      <c r="I99" s="118">
        <f t="shared" si="14"/>
        <v>46.02</v>
      </c>
      <c r="J99" s="118">
        <f t="shared" si="14"/>
        <v>377.98</v>
      </c>
      <c r="K99" s="118">
        <f t="shared" si="14"/>
        <v>172.65</v>
      </c>
      <c r="L99" s="64">
        <f t="shared" si="14"/>
        <v>8.82</v>
      </c>
    </row>
    <row r="100" ht="34.5" customHeight="1" spans="2:12">
      <c r="B100" s="37" t="s">
        <v>87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91"/>
    </row>
    <row r="101" ht="21.75" customHeight="1" spans="2:12">
      <c r="B101" s="39" t="s">
        <v>2</v>
      </c>
      <c r="C101" s="9" t="s">
        <v>3</v>
      </c>
      <c r="D101" s="9" t="s">
        <v>4</v>
      </c>
      <c r="E101" s="57" t="s">
        <v>5</v>
      </c>
      <c r="F101" s="58"/>
      <c r="G101" s="58"/>
      <c r="H101" s="59"/>
      <c r="I101" s="76" t="s">
        <v>6</v>
      </c>
      <c r="J101" s="77" t="s">
        <v>7</v>
      </c>
      <c r="K101" s="77" t="s">
        <v>8</v>
      </c>
      <c r="L101" s="77" t="s">
        <v>9</v>
      </c>
    </row>
    <row r="102" ht="56.25" customHeight="1" spans="2:12">
      <c r="B102" s="40"/>
      <c r="C102" s="10"/>
      <c r="D102" s="10"/>
      <c r="E102" s="60" t="s">
        <v>10</v>
      </c>
      <c r="F102" s="60" t="s">
        <v>11</v>
      </c>
      <c r="G102" s="60" t="s">
        <v>12</v>
      </c>
      <c r="H102" s="60" t="s">
        <v>13</v>
      </c>
      <c r="I102" s="78"/>
      <c r="J102" s="79"/>
      <c r="K102" s="79"/>
      <c r="L102" s="79"/>
    </row>
    <row r="103" ht="28.5" customHeight="1" spans="2:12">
      <c r="B103" s="24" t="s">
        <v>14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82"/>
    </row>
    <row r="104" ht="27" customHeight="1" spans="2:12">
      <c r="B104" s="17" t="s">
        <v>88</v>
      </c>
      <c r="C104" s="18" t="s">
        <v>89</v>
      </c>
      <c r="D104" s="19">
        <v>40</v>
      </c>
      <c r="E104" s="62">
        <v>1.24</v>
      </c>
      <c r="F104" s="62">
        <v>0.08</v>
      </c>
      <c r="G104" s="62">
        <v>2.6</v>
      </c>
      <c r="H104" s="62">
        <v>16</v>
      </c>
      <c r="I104" s="62">
        <v>3.12</v>
      </c>
      <c r="J104" s="66">
        <v>8</v>
      </c>
      <c r="K104" s="13">
        <v>5.71</v>
      </c>
      <c r="L104" s="66">
        <v>0.27</v>
      </c>
    </row>
    <row r="105" ht="27" customHeight="1" spans="2:12">
      <c r="B105" s="17" t="s">
        <v>90</v>
      </c>
      <c r="C105" s="28" t="s">
        <v>91</v>
      </c>
      <c r="D105" s="19">
        <v>150</v>
      </c>
      <c r="E105" s="62">
        <v>10.21</v>
      </c>
      <c r="F105" s="62">
        <v>11.9</v>
      </c>
      <c r="G105" s="62">
        <v>1.92</v>
      </c>
      <c r="H105" s="62">
        <v>161.88</v>
      </c>
      <c r="I105" s="62">
        <v>0.43</v>
      </c>
      <c r="J105" s="62">
        <v>86.51</v>
      </c>
      <c r="K105" s="81">
        <v>14.59</v>
      </c>
      <c r="L105" s="66">
        <v>2.1</v>
      </c>
    </row>
    <row r="106" ht="26.25" customHeight="1" spans="2:12">
      <c r="B106" s="17" t="s">
        <v>75</v>
      </c>
      <c r="C106" s="18" t="s">
        <v>76</v>
      </c>
      <c r="D106" s="19">
        <v>10</v>
      </c>
      <c r="E106" s="62">
        <v>0.05</v>
      </c>
      <c r="F106" s="62">
        <v>8.25</v>
      </c>
      <c r="G106" s="62">
        <v>0.08</v>
      </c>
      <c r="H106" s="62">
        <v>74.8</v>
      </c>
      <c r="I106" s="62">
        <v>0</v>
      </c>
      <c r="J106" s="62">
        <v>2.4</v>
      </c>
      <c r="K106" s="81">
        <v>0.05</v>
      </c>
      <c r="L106" s="66">
        <v>0.02</v>
      </c>
    </row>
    <row r="107" ht="27.75" customHeight="1" spans="2:12">
      <c r="B107" s="17" t="s">
        <v>77</v>
      </c>
      <c r="C107" s="41" t="s">
        <v>78</v>
      </c>
      <c r="D107" s="19">
        <v>50</v>
      </c>
      <c r="E107" s="62">
        <f>3.08*50/40</f>
        <v>3.85</v>
      </c>
      <c r="F107" s="62">
        <f>1.2*50/40</f>
        <v>1.5</v>
      </c>
      <c r="G107" s="62">
        <f>20.04*50/40</f>
        <v>25.05</v>
      </c>
      <c r="H107" s="62">
        <f>103.6*50/40</f>
        <v>129.5</v>
      </c>
      <c r="I107" s="62">
        <v>0</v>
      </c>
      <c r="J107" s="62">
        <f>8.8*50/40</f>
        <v>11</v>
      </c>
      <c r="K107" s="81">
        <f>13.2*50/40</f>
        <v>16.5</v>
      </c>
      <c r="L107" s="66">
        <f>0.8*50/40</f>
        <v>1</v>
      </c>
    </row>
    <row r="108" ht="27" customHeight="1" spans="2:12">
      <c r="B108" s="14" t="s">
        <v>35</v>
      </c>
      <c r="C108" s="15" t="s">
        <v>36</v>
      </c>
      <c r="D108" s="16">
        <v>50</v>
      </c>
      <c r="E108" s="61">
        <v>3.3</v>
      </c>
      <c r="F108" s="61">
        <v>0.6</v>
      </c>
      <c r="G108" s="61">
        <v>16.7</v>
      </c>
      <c r="H108" s="61">
        <v>87</v>
      </c>
      <c r="I108" s="67">
        <v>0</v>
      </c>
      <c r="J108" s="86">
        <v>16.5</v>
      </c>
      <c r="K108" s="87">
        <v>28.5</v>
      </c>
      <c r="L108" s="67">
        <v>2.25</v>
      </c>
    </row>
    <row r="109" ht="26.45" customHeight="1" spans="2:12">
      <c r="B109" s="17" t="s">
        <v>52</v>
      </c>
      <c r="C109" s="41" t="s">
        <v>53</v>
      </c>
      <c r="D109" s="19">
        <v>200</v>
      </c>
      <c r="E109" s="62">
        <f>1.04*200/180</f>
        <v>1.15555555555556</v>
      </c>
      <c r="F109" s="62">
        <f>0.27*200/180</f>
        <v>0.3</v>
      </c>
      <c r="G109" s="62">
        <f>42.53*200/180</f>
        <v>47.2555555555556</v>
      </c>
      <c r="H109" s="62">
        <f>176.74*200/180</f>
        <v>196.377777777778</v>
      </c>
      <c r="I109" s="62">
        <f>0.72*200/180</f>
        <v>0.8</v>
      </c>
      <c r="J109" s="62">
        <f>5.26*200/180</f>
        <v>5.84444444444444</v>
      </c>
      <c r="K109" s="84">
        <f>30.03*200/180</f>
        <v>33.3666666666667</v>
      </c>
      <c r="L109" s="66">
        <f>0.86*200/180</f>
        <v>0.955555555555556</v>
      </c>
    </row>
    <row r="110" ht="31.5" customHeight="1" spans="2:12">
      <c r="B110" s="110"/>
      <c r="C110" s="111" t="s">
        <v>23</v>
      </c>
      <c r="D110" s="23">
        <f t="shared" ref="D110:L110" si="15">SUM(D104:D109)</f>
        <v>500</v>
      </c>
      <c r="E110" s="64">
        <f t="shared" si="15"/>
        <v>19.8055555555556</v>
      </c>
      <c r="F110" s="64">
        <f t="shared" si="15"/>
        <v>22.63</v>
      </c>
      <c r="G110" s="64">
        <f t="shared" si="15"/>
        <v>93.6055555555556</v>
      </c>
      <c r="H110" s="64">
        <f t="shared" si="15"/>
        <v>665.557777777778</v>
      </c>
      <c r="I110" s="64">
        <f t="shared" si="15"/>
        <v>4.35</v>
      </c>
      <c r="J110" s="64">
        <f t="shared" si="15"/>
        <v>130.254444444444</v>
      </c>
      <c r="K110" s="64">
        <f t="shared" si="15"/>
        <v>98.7166666666667</v>
      </c>
      <c r="L110" s="64">
        <f t="shared" si="15"/>
        <v>6.59555555555556</v>
      </c>
    </row>
    <row r="111" ht="28.5" customHeight="1" spans="2:12">
      <c r="B111" s="24" t="s">
        <v>24</v>
      </c>
      <c r="C111" s="25"/>
      <c r="D111" s="26"/>
      <c r="E111" s="25"/>
      <c r="F111" s="25"/>
      <c r="G111" s="25"/>
      <c r="H111" s="25"/>
      <c r="I111" s="25"/>
      <c r="J111" s="25"/>
      <c r="K111" s="25"/>
      <c r="L111" s="82"/>
    </row>
    <row r="112" ht="27" customHeight="1" spans="2:12">
      <c r="B112" s="43" t="s">
        <v>40</v>
      </c>
      <c r="C112" s="44" t="s">
        <v>41</v>
      </c>
      <c r="D112" s="16">
        <v>60</v>
      </c>
      <c r="E112" s="65">
        <v>0.66</v>
      </c>
      <c r="F112" s="65">
        <v>0.12</v>
      </c>
      <c r="G112" s="65">
        <v>2.28</v>
      </c>
      <c r="H112" s="65">
        <v>13.2</v>
      </c>
      <c r="I112" s="67">
        <v>10.5</v>
      </c>
      <c r="J112" s="92">
        <v>8.4</v>
      </c>
      <c r="K112" s="87">
        <v>12</v>
      </c>
      <c r="L112" s="67">
        <v>0.54</v>
      </c>
    </row>
    <row r="113" ht="27.75" customHeight="1" spans="2:12">
      <c r="B113" s="14" t="s">
        <v>92</v>
      </c>
      <c r="C113" s="15" t="s">
        <v>93</v>
      </c>
      <c r="D113" s="16">
        <v>200</v>
      </c>
      <c r="E113" s="61">
        <v>1.53</v>
      </c>
      <c r="F113" s="61">
        <v>3.9</v>
      </c>
      <c r="G113" s="61">
        <v>6.67</v>
      </c>
      <c r="H113" s="62">
        <v>118.96</v>
      </c>
      <c r="I113" s="84">
        <v>23.64</v>
      </c>
      <c r="J113" s="13">
        <v>42.83</v>
      </c>
      <c r="K113" s="84">
        <v>16.77</v>
      </c>
      <c r="L113" s="84">
        <v>0.59</v>
      </c>
    </row>
    <row r="114" ht="26.25" customHeight="1" spans="2:12">
      <c r="B114" s="14" t="s">
        <v>29</v>
      </c>
      <c r="C114" s="15" t="s">
        <v>30</v>
      </c>
      <c r="D114" s="16">
        <v>100</v>
      </c>
      <c r="E114" s="61">
        <v>10.63</v>
      </c>
      <c r="F114" s="61">
        <v>12.64</v>
      </c>
      <c r="G114" s="61">
        <v>13.07</v>
      </c>
      <c r="H114" s="61">
        <v>209.45</v>
      </c>
      <c r="I114" s="67">
        <v>0.54</v>
      </c>
      <c r="J114" s="86">
        <v>60.77</v>
      </c>
      <c r="K114" s="84">
        <v>33.95</v>
      </c>
      <c r="L114" s="66">
        <v>1.2</v>
      </c>
    </row>
    <row r="115" ht="25.5" customHeight="1" spans="2:12">
      <c r="B115" s="14" t="s">
        <v>31</v>
      </c>
      <c r="C115" s="15" t="s">
        <v>94</v>
      </c>
      <c r="D115" s="16">
        <v>150</v>
      </c>
      <c r="E115" s="61">
        <v>6.6</v>
      </c>
      <c r="F115" s="61">
        <v>5.4</v>
      </c>
      <c r="G115" s="61">
        <v>38.55</v>
      </c>
      <c r="H115" s="61">
        <v>229</v>
      </c>
      <c r="I115" s="67">
        <v>0</v>
      </c>
      <c r="J115" s="86">
        <v>16.5</v>
      </c>
      <c r="K115" s="84">
        <v>18</v>
      </c>
      <c r="L115" s="66">
        <v>1.27</v>
      </c>
    </row>
    <row r="116" ht="27" customHeight="1" spans="2:12">
      <c r="B116" s="14" t="s">
        <v>17</v>
      </c>
      <c r="C116" s="15" t="s">
        <v>18</v>
      </c>
      <c r="D116" s="16">
        <v>45</v>
      </c>
      <c r="E116" s="61">
        <v>3.42</v>
      </c>
      <c r="F116" s="61">
        <v>0.36</v>
      </c>
      <c r="G116" s="61">
        <v>22.10625</v>
      </c>
      <c r="H116" s="61">
        <v>105.75</v>
      </c>
      <c r="I116" s="67">
        <v>0</v>
      </c>
      <c r="J116" s="86">
        <v>10.35</v>
      </c>
      <c r="K116" s="84">
        <v>14.85</v>
      </c>
      <c r="L116" s="66">
        <v>0.855</v>
      </c>
    </row>
    <row r="117" ht="26.25" customHeight="1" spans="2:12">
      <c r="B117" s="14" t="s">
        <v>35</v>
      </c>
      <c r="C117" s="15" t="s">
        <v>36</v>
      </c>
      <c r="D117" s="16">
        <v>25</v>
      </c>
      <c r="E117" s="61">
        <f>1.98*25/30</f>
        <v>1.65</v>
      </c>
      <c r="F117" s="61">
        <f>0.36*250/30</f>
        <v>3</v>
      </c>
      <c r="G117" s="61">
        <f>10.02*25/30</f>
        <v>8.35</v>
      </c>
      <c r="H117" s="61">
        <f>52.2*25/30</f>
        <v>43.5</v>
      </c>
      <c r="I117" s="67">
        <v>0</v>
      </c>
      <c r="J117" s="86">
        <f>9.9*25/30</f>
        <v>8.25</v>
      </c>
      <c r="K117" s="87">
        <f>17.1*25/30</f>
        <v>14.25</v>
      </c>
      <c r="L117" s="67">
        <f>1.35*25/30</f>
        <v>1.125</v>
      </c>
    </row>
    <row r="118" ht="27" customHeight="1" spans="2:12">
      <c r="B118" s="17" t="s">
        <v>79</v>
      </c>
      <c r="C118" s="20" t="s">
        <v>80</v>
      </c>
      <c r="D118" s="31">
        <v>180</v>
      </c>
      <c r="E118" s="67">
        <v>0</v>
      </c>
      <c r="F118" s="67">
        <v>0</v>
      </c>
      <c r="G118" s="67">
        <v>6.29</v>
      </c>
      <c r="H118" s="61">
        <v>25.14</v>
      </c>
      <c r="I118" s="66">
        <v>0.05</v>
      </c>
      <c r="J118" s="83">
        <v>2.42</v>
      </c>
      <c r="K118" s="84">
        <v>1.98</v>
      </c>
      <c r="L118" s="66">
        <v>0.39</v>
      </c>
    </row>
    <row r="119" ht="32.25" customHeight="1" spans="2:12">
      <c r="B119" s="14"/>
      <c r="C119" s="55" t="s">
        <v>37</v>
      </c>
      <c r="D119" s="56">
        <f t="shared" ref="D119:L119" si="16">SUM(D112:D118)</f>
        <v>760</v>
      </c>
      <c r="E119" s="118">
        <f t="shared" si="16"/>
        <v>24.49</v>
      </c>
      <c r="F119" s="118">
        <f t="shared" si="16"/>
        <v>25.42</v>
      </c>
      <c r="G119" s="118">
        <f t="shared" si="16"/>
        <v>97.31625</v>
      </c>
      <c r="H119" s="118">
        <f t="shared" si="16"/>
        <v>745</v>
      </c>
      <c r="I119" s="64">
        <f t="shared" si="16"/>
        <v>34.73</v>
      </c>
      <c r="J119" s="128">
        <f t="shared" si="16"/>
        <v>149.52</v>
      </c>
      <c r="K119" s="116">
        <f t="shared" si="16"/>
        <v>111.8</v>
      </c>
      <c r="L119" s="116">
        <f t="shared" si="16"/>
        <v>5.97</v>
      </c>
    </row>
    <row r="120" ht="33" customHeight="1" spans="2:12">
      <c r="B120" s="17"/>
      <c r="C120" s="22" t="s">
        <v>38</v>
      </c>
      <c r="D120" s="33">
        <f t="shared" ref="D120:L120" si="17">D119+D110</f>
        <v>1260</v>
      </c>
      <c r="E120" s="68">
        <f t="shared" si="17"/>
        <v>44.2955555555556</v>
      </c>
      <c r="F120" s="68">
        <f t="shared" si="17"/>
        <v>48.05</v>
      </c>
      <c r="G120" s="68">
        <f t="shared" si="17"/>
        <v>190.921805555556</v>
      </c>
      <c r="H120" s="68">
        <f t="shared" si="17"/>
        <v>1410.55777777778</v>
      </c>
      <c r="I120" s="68">
        <f t="shared" si="17"/>
        <v>39.08</v>
      </c>
      <c r="J120" s="68">
        <f t="shared" si="17"/>
        <v>279.774444444444</v>
      </c>
      <c r="K120" s="68">
        <f t="shared" si="17"/>
        <v>210.516666666667</v>
      </c>
      <c r="L120" s="64">
        <f t="shared" si="17"/>
        <v>12.5655555555556</v>
      </c>
    </row>
    <row r="121" ht="35.25" customHeight="1" spans="2:12">
      <c r="B121" s="37" t="s">
        <v>95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91"/>
    </row>
    <row r="122" ht="21.75" customHeight="1" spans="2:12">
      <c r="B122" s="39" t="s">
        <v>2</v>
      </c>
      <c r="C122" s="9" t="s">
        <v>3</v>
      </c>
      <c r="D122" s="9" t="s">
        <v>4</v>
      </c>
      <c r="E122" s="57" t="s">
        <v>5</v>
      </c>
      <c r="F122" s="58"/>
      <c r="G122" s="58"/>
      <c r="H122" s="59"/>
      <c r="I122" s="76" t="s">
        <v>6</v>
      </c>
      <c r="J122" s="77" t="s">
        <v>7</v>
      </c>
      <c r="K122" s="77" t="s">
        <v>8</v>
      </c>
      <c r="L122" s="77" t="s">
        <v>9</v>
      </c>
    </row>
    <row r="123" ht="56.25" customHeight="1" spans="2:12">
      <c r="B123" s="40"/>
      <c r="C123" s="10"/>
      <c r="D123" s="10"/>
      <c r="E123" s="60" t="s">
        <v>10</v>
      </c>
      <c r="F123" s="60" t="s">
        <v>11</v>
      </c>
      <c r="G123" s="60" t="s">
        <v>12</v>
      </c>
      <c r="H123" s="60" t="s">
        <v>13</v>
      </c>
      <c r="I123" s="78"/>
      <c r="J123" s="79"/>
      <c r="K123" s="79"/>
      <c r="L123" s="79"/>
    </row>
    <row r="124" ht="27" customHeight="1" spans="2:12">
      <c r="B124" s="24" t="s">
        <v>14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82"/>
    </row>
    <row r="125" ht="27" customHeight="1" spans="2:12">
      <c r="B125" s="103" t="s">
        <v>40</v>
      </c>
      <c r="C125" s="15" t="s">
        <v>41</v>
      </c>
      <c r="D125" s="16">
        <v>60</v>
      </c>
      <c r="E125" s="65">
        <v>0.66</v>
      </c>
      <c r="F125" s="65">
        <v>0.12</v>
      </c>
      <c r="G125" s="65">
        <v>2.28</v>
      </c>
      <c r="H125" s="65">
        <v>13.2</v>
      </c>
      <c r="I125" s="67">
        <v>10.5</v>
      </c>
      <c r="J125" s="92">
        <v>8.4</v>
      </c>
      <c r="K125" s="84">
        <v>12</v>
      </c>
      <c r="L125" s="66">
        <v>0.54</v>
      </c>
    </row>
    <row r="126" ht="27" customHeight="1" spans="2:12">
      <c r="B126" s="14" t="s">
        <v>70</v>
      </c>
      <c r="C126" s="15" t="s">
        <v>71</v>
      </c>
      <c r="D126" s="16">
        <v>100</v>
      </c>
      <c r="E126" s="61">
        <v>17.3</v>
      </c>
      <c r="F126" s="61">
        <v>13.58</v>
      </c>
      <c r="G126" s="61">
        <v>11.8</v>
      </c>
      <c r="H126" s="61">
        <v>222</v>
      </c>
      <c r="I126" s="61">
        <v>8.1</v>
      </c>
      <c r="J126" s="61">
        <v>14</v>
      </c>
      <c r="K126" s="84">
        <v>20</v>
      </c>
      <c r="L126" s="66">
        <v>5.7</v>
      </c>
    </row>
    <row r="127" ht="28.5" customHeight="1" spans="2:12">
      <c r="B127" s="14" t="s">
        <v>57</v>
      </c>
      <c r="C127" s="15" t="s">
        <v>58</v>
      </c>
      <c r="D127" s="16">
        <v>150</v>
      </c>
      <c r="E127" s="61">
        <v>3.25</v>
      </c>
      <c r="F127" s="61">
        <v>2.88</v>
      </c>
      <c r="G127" s="61">
        <v>28.99</v>
      </c>
      <c r="H127" s="61">
        <v>189.56</v>
      </c>
      <c r="I127" s="66">
        <v>25.95</v>
      </c>
      <c r="J127" s="86">
        <v>145.59</v>
      </c>
      <c r="K127" s="84">
        <v>32.99</v>
      </c>
      <c r="L127" s="66">
        <v>1.22</v>
      </c>
    </row>
    <row r="128" ht="27.75" customHeight="1" spans="2:12">
      <c r="B128" s="17" t="s">
        <v>17</v>
      </c>
      <c r="C128" s="20" t="s">
        <v>18</v>
      </c>
      <c r="D128" s="16">
        <v>20</v>
      </c>
      <c r="E128" s="61">
        <v>1.52</v>
      </c>
      <c r="F128" s="61">
        <v>0.16</v>
      </c>
      <c r="G128" s="61">
        <v>9.84</v>
      </c>
      <c r="H128" s="61">
        <v>47</v>
      </c>
      <c r="I128" s="61">
        <v>0</v>
      </c>
      <c r="J128" s="61">
        <v>4.6</v>
      </c>
      <c r="K128" s="84">
        <v>6.6</v>
      </c>
      <c r="L128" s="66">
        <v>0.38</v>
      </c>
    </row>
    <row r="129" ht="27" customHeight="1" spans="2:12">
      <c r="B129" s="14" t="s">
        <v>35</v>
      </c>
      <c r="C129" s="15" t="s">
        <v>36</v>
      </c>
      <c r="D129" s="16">
        <v>40</v>
      </c>
      <c r="E129" s="61">
        <v>1.32</v>
      </c>
      <c r="F129" s="61">
        <v>0.24</v>
      </c>
      <c r="G129" s="61">
        <f>13.36/2</f>
        <v>6.68</v>
      </c>
      <c r="H129" s="61">
        <f>69.6/2</f>
        <v>34.8</v>
      </c>
      <c r="I129" s="66">
        <v>0</v>
      </c>
      <c r="J129" s="86">
        <f>13.2/2</f>
        <v>6.6</v>
      </c>
      <c r="K129" s="84">
        <v>11.4</v>
      </c>
      <c r="L129" s="66">
        <f>1.8/2</f>
        <v>0.9</v>
      </c>
    </row>
    <row r="130" ht="30" customHeight="1" spans="2:12">
      <c r="B130" s="17" t="s">
        <v>33</v>
      </c>
      <c r="C130" s="18" t="s">
        <v>34</v>
      </c>
      <c r="D130" s="19">
        <v>180</v>
      </c>
      <c r="E130" s="62">
        <v>0.9</v>
      </c>
      <c r="F130" s="62">
        <v>0.18</v>
      </c>
      <c r="G130" s="62">
        <v>18.18</v>
      </c>
      <c r="H130" s="62">
        <v>82.8</v>
      </c>
      <c r="I130" s="62">
        <v>3.6</v>
      </c>
      <c r="J130" s="62">
        <v>12.6</v>
      </c>
      <c r="K130" s="81">
        <v>7.2</v>
      </c>
      <c r="L130" s="66">
        <v>2.52</v>
      </c>
    </row>
    <row r="131" ht="33" customHeight="1" spans="2:12">
      <c r="B131" s="107"/>
      <c r="C131" s="100" t="s">
        <v>23</v>
      </c>
      <c r="D131" s="23">
        <f t="shared" ref="D131:L131" si="18">SUM(D125:D130)</f>
        <v>550</v>
      </c>
      <c r="E131" s="64">
        <f t="shared" si="18"/>
        <v>24.95</v>
      </c>
      <c r="F131" s="64">
        <f t="shared" si="18"/>
        <v>17.16</v>
      </c>
      <c r="G131" s="64">
        <f t="shared" si="18"/>
        <v>77.77</v>
      </c>
      <c r="H131" s="64">
        <f t="shared" si="18"/>
        <v>589.36</v>
      </c>
      <c r="I131" s="64">
        <f t="shared" si="18"/>
        <v>48.15</v>
      </c>
      <c r="J131" s="64">
        <f t="shared" si="18"/>
        <v>191.79</v>
      </c>
      <c r="K131" s="144">
        <f t="shared" si="18"/>
        <v>90.19</v>
      </c>
      <c r="L131" s="64">
        <f t="shared" si="18"/>
        <v>11.26</v>
      </c>
    </row>
    <row r="132" ht="27.75" customHeight="1" spans="2:12">
      <c r="B132" s="24" t="s">
        <v>24</v>
      </c>
      <c r="C132" s="25"/>
      <c r="D132" s="26"/>
      <c r="E132" s="25"/>
      <c r="F132" s="25"/>
      <c r="G132" s="25"/>
      <c r="H132" s="25"/>
      <c r="I132" s="25"/>
      <c r="J132" s="25"/>
      <c r="K132" s="25"/>
      <c r="L132" s="82"/>
    </row>
    <row r="133" ht="25.5" customHeight="1" spans="2:12">
      <c r="B133" s="103" t="s">
        <v>59</v>
      </c>
      <c r="C133" s="15" t="s">
        <v>60</v>
      </c>
      <c r="D133" s="16">
        <v>250</v>
      </c>
      <c r="E133" s="65">
        <v>5.47</v>
      </c>
      <c r="F133" s="65">
        <v>0.31</v>
      </c>
      <c r="G133" s="65">
        <v>17.95</v>
      </c>
      <c r="H133" s="65">
        <v>150</v>
      </c>
      <c r="I133" s="67">
        <v>0.82</v>
      </c>
      <c r="J133" s="92">
        <v>163</v>
      </c>
      <c r="K133" s="84">
        <v>26.67</v>
      </c>
      <c r="L133" s="66">
        <v>0.65</v>
      </c>
    </row>
    <row r="134" ht="26.25" customHeight="1" spans="2:12">
      <c r="B134" s="45" t="s">
        <v>61</v>
      </c>
      <c r="C134" s="15" t="s">
        <v>62</v>
      </c>
      <c r="D134" s="16">
        <v>200</v>
      </c>
      <c r="E134" s="61">
        <v>16.94</v>
      </c>
      <c r="F134" s="61">
        <v>10.46</v>
      </c>
      <c r="G134" s="61">
        <v>25.73</v>
      </c>
      <c r="H134" s="61">
        <v>305.33</v>
      </c>
      <c r="I134" s="67">
        <v>6.02</v>
      </c>
      <c r="J134" s="86">
        <v>46.34</v>
      </c>
      <c r="K134" s="126">
        <v>54.04</v>
      </c>
      <c r="L134" s="67">
        <v>1.97</v>
      </c>
    </row>
    <row r="135" ht="26.25" customHeight="1" spans="2:12">
      <c r="B135" s="14" t="s">
        <v>17</v>
      </c>
      <c r="C135" s="15" t="s">
        <v>18</v>
      </c>
      <c r="D135" s="16">
        <v>45</v>
      </c>
      <c r="E135" s="61">
        <v>3.42</v>
      </c>
      <c r="F135" s="61">
        <v>0.36</v>
      </c>
      <c r="G135" s="61">
        <v>22.10625</v>
      </c>
      <c r="H135" s="61">
        <v>105.75</v>
      </c>
      <c r="I135" s="67">
        <v>0</v>
      </c>
      <c r="J135" s="86">
        <v>10.35</v>
      </c>
      <c r="K135" s="84">
        <v>14.85</v>
      </c>
      <c r="L135" s="66">
        <v>0.855</v>
      </c>
    </row>
    <row r="136" ht="27" customHeight="1" spans="2:12">
      <c r="B136" s="14" t="s">
        <v>35</v>
      </c>
      <c r="C136" s="15" t="s">
        <v>36</v>
      </c>
      <c r="D136" s="16">
        <v>25</v>
      </c>
      <c r="E136" s="61">
        <v>1.65</v>
      </c>
      <c r="F136" s="61">
        <v>3</v>
      </c>
      <c r="G136" s="61">
        <v>8.35</v>
      </c>
      <c r="H136" s="61">
        <v>43.5</v>
      </c>
      <c r="I136" s="67">
        <v>0</v>
      </c>
      <c r="J136" s="86">
        <v>8.25</v>
      </c>
      <c r="K136" s="84">
        <v>14.25</v>
      </c>
      <c r="L136" s="66">
        <v>1.125</v>
      </c>
    </row>
    <row r="137" ht="27" customHeight="1" spans="2:12">
      <c r="B137" s="14" t="s">
        <v>96</v>
      </c>
      <c r="C137" s="15" t="s">
        <v>97</v>
      </c>
      <c r="D137" s="16">
        <v>200</v>
      </c>
      <c r="E137" s="61">
        <f>0.11*200/180</f>
        <v>0.122222222222222</v>
      </c>
      <c r="F137" s="61">
        <f>0.12*200/180</f>
        <v>0.133333333333333</v>
      </c>
      <c r="G137" s="61">
        <f>25.09*200/180</f>
        <v>27.8777777777778</v>
      </c>
      <c r="H137" s="61">
        <f>119.2*200/180</f>
        <v>132.444444444444</v>
      </c>
      <c r="I137" s="67">
        <f>1.83*200/180</f>
        <v>2.03333333333333</v>
      </c>
      <c r="J137" s="86">
        <f>11.46*200/180</f>
        <v>12.7333333333333</v>
      </c>
      <c r="K137" s="84">
        <f>3.64*200/180</f>
        <v>4.04444444444444</v>
      </c>
      <c r="L137" s="66">
        <f>0.54*200/180</f>
        <v>0.6</v>
      </c>
    </row>
    <row r="138" ht="26.25" customHeight="1" spans="2:12">
      <c r="B138" s="17" t="s">
        <v>77</v>
      </c>
      <c r="C138" s="15" t="s">
        <v>98</v>
      </c>
      <c r="D138" s="129">
        <v>30</v>
      </c>
      <c r="E138" s="84">
        <f>1*30/20</f>
        <v>1.5</v>
      </c>
      <c r="F138" s="84">
        <f>1.96*30/20</f>
        <v>2.94</v>
      </c>
      <c r="G138" s="84">
        <f>14.88*30/20</f>
        <v>22.32</v>
      </c>
      <c r="H138" s="84">
        <f>82.8*30/20</f>
        <v>124.2</v>
      </c>
      <c r="I138" s="67">
        <v>0</v>
      </c>
      <c r="J138" s="86">
        <f>5.8*30/20</f>
        <v>8.7</v>
      </c>
      <c r="K138" s="84">
        <f>4*30/20</f>
        <v>6</v>
      </c>
      <c r="L138" s="66">
        <f>0.42*30/20</f>
        <v>0.63</v>
      </c>
    </row>
    <row r="139" ht="29.25" customHeight="1" spans="2:13">
      <c r="B139" s="14"/>
      <c r="C139" s="55" t="s">
        <v>37</v>
      </c>
      <c r="D139" s="56">
        <f t="shared" ref="D139:L139" si="19">SUM(D133:D138)</f>
        <v>750</v>
      </c>
      <c r="E139" s="118">
        <f t="shared" si="19"/>
        <v>29.1022222222222</v>
      </c>
      <c r="F139" s="118">
        <f t="shared" si="19"/>
        <v>17.2033333333333</v>
      </c>
      <c r="G139" s="118">
        <f t="shared" si="19"/>
        <v>124.334027777778</v>
      </c>
      <c r="H139" s="118">
        <f t="shared" si="19"/>
        <v>861.224444444444</v>
      </c>
      <c r="I139" s="118">
        <f t="shared" si="19"/>
        <v>8.87333333333333</v>
      </c>
      <c r="J139" s="118">
        <f t="shared" si="19"/>
        <v>249.373333333333</v>
      </c>
      <c r="K139" s="118">
        <f t="shared" si="19"/>
        <v>119.854444444444</v>
      </c>
      <c r="L139" s="116">
        <f t="shared" si="19"/>
        <v>5.83</v>
      </c>
      <c r="M139" s="150"/>
    </row>
    <row r="140" ht="30" customHeight="1" spans="2:13">
      <c r="B140" s="17"/>
      <c r="C140" s="22" t="s">
        <v>38</v>
      </c>
      <c r="D140" s="33">
        <f t="shared" ref="D140:L140" si="20">D139+D131</f>
        <v>1300</v>
      </c>
      <c r="E140" s="68">
        <f t="shared" si="20"/>
        <v>54.0522222222222</v>
      </c>
      <c r="F140" s="68">
        <f t="shared" si="20"/>
        <v>34.3633333333333</v>
      </c>
      <c r="G140" s="68">
        <f t="shared" si="20"/>
        <v>202.104027777778</v>
      </c>
      <c r="H140" s="68">
        <f t="shared" si="20"/>
        <v>1450.58444444444</v>
      </c>
      <c r="I140" s="68">
        <f t="shared" si="20"/>
        <v>57.0233333333333</v>
      </c>
      <c r="J140" s="68">
        <f t="shared" si="20"/>
        <v>441.163333333333</v>
      </c>
      <c r="K140" s="68">
        <f t="shared" si="20"/>
        <v>210.044444444444</v>
      </c>
      <c r="L140" s="64">
        <f t="shared" si="20"/>
        <v>17.09</v>
      </c>
      <c r="M140" s="150"/>
    </row>
    <row r="141" ht="32.25" customHeight="1" spans="2:12">
      <c r="B141" s="37" t="s">
        <v>99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91"/>
    </row>
    <row r="142" ht="23.25" customHeight="1" spans="2:12">
      <c r="B142" s="39" t="s">
        <v>2</v>
      </c>
      <c r="C142" s="9" t="s">
        <v>3</v>
      </c>
      <c r="D142" s="9" t="s">
        <v>4</v>
      </c>
      <c r="E142" s="57" t="s">
        <v>5</v>
      </c>
      <c r="F142" s="58"/>
      <c r="G142" s="58"/>
      <c r="H142" s="59"/>
      <c r="I142" s="76" t="s">
        <v>6</v>
      </c>
      <c r="J142" s="77" t="s">
        <v>7</v>
      </c>
      <c r="K142" s="77" t="s">
        <v>8</v>
      </c>
      <c r="L142" s="77" t="s">
        <v>9</v>
      </c>
    </row>
    <row r="143" ht="54.75" customHeight="1" spans="2:12">
      <c r="B143" s="40"/>
      <c r="C143" s="10"/>
      <c r="D143" s="10"/>
      <c r="E143" s="60" t="s">
        <v>10</v>
      </c>
      <c r="F143" s="60" t="s">
        <v>11</v>
      </c>
      <c r="G143" s="60" t="s">
        <v>12</v>
      </c>
      <c r="H143" s="60" t="s">
        <v>13</v>
      </c>
      <c r="I143" s="78"/>
      <c r="J143" s="79"/>
      <c r="K143" s="79"/>
      <c r="L143" s="79"/>
    </row>
    <row r="144" ht="26.25" customHeight="1" spans="2:12">
      <c r="B144" s="24" t="s">
        <v>14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82"/>
    </row>
    <row r="145" ht="27" customHeight="1" spans="2:12">
      <c r="B145" s="17" t="s">
        <v>100</v>
      </c>
      <c r="C145" s="28" t="s">
        <v>101</v>
      </c>
      <c r="D145" s="29">
        <v>200</v>
      </c>
      <c r="E145" s="61">
        <v>5.02</v>
      </c>
      <c r="F145" s="61">
        <v>13.6</v>
      </c>
      <c r="G145" s="61">
        <v>55.76</v>
      </c>
      <c r="H145" s="61">
        <v>368</v>
      </c>
      <c r="I145" s="61">
        <v>1.08</v>
      </c>
      <c r="J145" s="61">
        <v>55.36</v>
      </c>
      <c r="K145" s="87">
        <v>53.22</v>
      </c>
      <c r="L145" s="67">
        <v>1.66</v>
      </c>
    </row>
    <row r="146" ht="26.25" customHeight="1" spans="2:12">
      <c r="B146" s="17" t="s">
        <v>102</v>
      </c>
      <c r="C146" s="18" t="s">
        <v>103</v>
      </c>
      <c r="D146" s="19">
        <v>10</v>
      </c>
      <c r="E146" s="62">
        <v>2.05</v>
      </c>
      <c r="F146" s="62">
        <v>2.3</v>
      </c>
      <c r="G146" s="62">
        <v>0.23</v>
      </c>
      <c r="H146" s="62">
        <v>29.67</v>
      </c>
      <c r="I146" s="62">
        <v>0.06</v>
      </c>
      <c r="J146" s="62">
        <v>70</v>
      </c>
      <c r="K146" s="81">
        <v>3.3</v>
      </c>
      <c r="L146" s="66">
        <v>0.08</v>
      </c>
    </row>
    <row r="147" ht="25.5" customHeight="1" spans="2:12">
      <c r="B147" s="17" t="s">
        <v>17</v>
      </c>
      <c r="C147" s="15" t="s">
        <v>18</v>
      </c>
      <c r="D147" s="16">
        <v>30</v>
      </c>
      <c r="E147" s="61">
        <v>2.28</v>
      </c>
      <c r="F147" s="61">
        <v>0.24</v>
      </c>
      <c r="G147" s="61">
        <v>14.76</v>
      </c>
      <c r="H147" s="61">
        <v>70.5</v>
      </c>
      <c r="I147" s="61">
        <v>0</v>
      </c>
      <c r="J147" s="61">
        <v>6.9</v>
      </c>
      <c r="K147" s="81">
        <v>9.9</v>
      </c>
      <c r="L147" s="66">
        <v>0.57</v>
      </c>
    </row>
    <row r="148" ht="26.25" customHeight="1" spans="2:12">
      <c r="B148" s="17" t="s">
        <v>104</v>
      </c>
      <c r="C148" s="20" t="s">
        <v>105</v>
      </c>
      <c r="D148" s="31">
        <v>180</v>
      </c>
      <c r="E148" s="67">
        <v>5.8</v>
      </c>
      <c r="F148" s="67">
        <v>5</v>
      </c>
      <c r="G148" s="67">
        <v>8</v>
      </c>
      <c r="H148" s="67">
        <v>106</v>
      </c>
      <c r="I148" s="67">
        <v>1.4</v>
      </c>
      <c r="J148" s="67">
        <v>240</v>
      </c>
      <c r="K148" s="84">
        <v>28</v>
      </c>
      <c r="L148" s="66">
        <v>0.2</v>
      </c>
    </row>
    <row r="149" ht="24.75" customHeight="1" spans="2:12">
      <c r="B149" s="17" t="s">
        <v>21</v>
      </c>
      <c r="C149" s="20" t="s">
        <v>22</v>
      </c>
      <c r="D149" s="16">
        <v>100</v>
      </c>
      <c r="E149" s="61">
        <v>0.4</v>
      </c>
      <c r="F149" s="61">
        <v>0.4</v>
      </c>
      <c r="G149" s="61">
        <v>9.8</v>
      </c>
      <c r="H149" s="61">
        <v>47</v>
      </c>
      <c r="I149" s="61">
        <v>10</v>
      </c>
      <c r="J149" s="61">
        <v>16</v>
      </c>
      <c r="K149" s="84">
        <v>9</v>
      </c>
      <c r="L149" s="66">
        <v>2.2</v>
      </c>
    </row>
    <row r="150" ht="31.5" customHeight="1" spans="2:12">
      <c r="B150" s="130"/>
      <c r="C150" s="131" t="s">
        <v>23</v>
      </c>
      <c r="D150" s="132">
        <f t="shared" ref="D150:L150" si="21">SUM(D145:D149)</f>
        <v>520</v>
      </c>
      <c r="E150" s="141">
        <f t="shared" si="21"/>
        <v>15.55</v>
      </c>
      <c r="F150" s="142">
        <f t="shared" si="21"/>
        <v>21.54</v>
      </c>
      <c r="G150" s="141">
        <f t="shared" si="21"/>
        <v>88.55</v>
      </c>
      <c r="H150" s="141">
        <f t="shared" si="21"/>
        <v>621.17</v>
      </c>
      <c r="I150" s="142">
        <f t="shared" si="21"/>
        <v>12.54</v>
      </c>
      <c r="J150" s="141">
        <f t="shared" si="21"/>
        <v>388.26</v>
      </c>
      <c r="K150" s="142">
        <f t="shared" si="21"/>
        <v>103.42</v>
      </c>
      <c r="L150" s="141">
        <f t="shared" si="21"/>
        <v>4.71</v>
      </c>
    </row>
    <row r="151" ht="25.5" customHeight="1" spans="2:12">
      <c r="B151" s="24" t="s">
        <v>24</v>
      </c>
      <c r="C151" s="25"/>
      <c r="D151" s="26"/>
      <c r="E151" s="25"/>
      <c r="F151" s="25"/>
      <c r="G151" s="25"/>
      <c r="H151" s="25"/>
      <c r="I151" s="25"/>
      <c r="J151" s="25"/>
      <c r="K151" s="25"/>
      <c r="L151" s="82"/>
    </row>
    <row r="152" ht="27.75" customHeight="1" spans="2:12">
      <c r="B152" s="103" t="s">
        <v>81</v>
      </c>
      <c r="C152" s="108" t="s">
        <v>82</v>
      </c>
      <c r="D152" s="173">
        <v>60</v>
      </c>
      <c r="E152" s="67">
        <v>0.96</v>
      </c>
      <c r="F152" s="67">
        <v>3.78</v>
      </c>
      <c r="G152" s="67">
        <v>4.44</v>
      </c>
      <c r="H152" s="67">
        <v>54.48</v>
      </c>
      <c r="I152" s="67">
        <v>10.2</v>
      </c>
      <c r="J152" s="92">
        <v>12.6</v>
      </c>
      <c r="K152" s="81">
        <v>3.12</v>
      </c>
      <c r="L152" s="66">
        <v>0.06</v>
      </c>
    </row>
    <row r="153" ht="27.75" customHeight="1" spans="2:12">
      <c r="B153" s="14" t="s">
        <v>83</v>
      </c>
      <c r="C153" s="15" t="s">
        <v>84</v>
      </c>
      <c r="D153" s="16">
        <v>200</v>
      </c>
      <c r="E153" s="61">
        <v>1.98</v>
      </c>
      <c r="F153" s="61">
        <v>3.51</v>
      </c>
      <c r="G153" s="61">
        <v>13.74</v>
      </c>
      <c r="H153" s="66">
        <v>95.14</v>
      </c>
      <c r="I153" s="84">
        <v>13.42</v>
      </c>
      <c r="J153" s="13">
        <v>20.31</v>
      </c>
      <c r="K153" s="84">
        <v>21.25</v>
      </c>
      <c r="L153" s="80">
        <v>0.8</v>
      </c>
    </row>
    <row r="154" ht="27.75" customHeight="1" spans="2:12">
      <c r="B154" s="14" t="s">
        <v>55</v>
      </c>
      <c r="C154" s="15" t="s">
        <v>56</v>
      </c>
      <c r="D154" s="16">
        <v>100</v>
      </c>
      <c r="E154" s="61">
        <v>8.51</v>
      </c>
      <c r="F154" s="61">
        <v>9.31</v>
      </c>
      <c r="G154" s="61">
        <v>9.005</v>
      </c>
      <c r="H154" s="61">
        <v>210.36</v>
      </c>
      <c r="I154" s="67">
        <v>29.58</v>
      </c>
      <c r="J154" s="86">
        <v>18.45</v>
      </c>
      <c r="K154" s="84">
        <v>23.735</v>
      </c>
      <c r="L154" s="66">
        <v>1.24</v>
      </c>
    </row>
    <row r="155" ht="27.75" customHeight="1" spans="2:12">
      <c r="B155" s="17" t="s">
        <v>57</v>
      </c>
      <c r="C155" s="20" t="s">
        <v>58</v>
      </c>
      <c r="D155" s="31">
        <v>150</v>
      </c>
      <c r="E155" s="67">
        <v>3.25</v>
      </c>
      <c r="F155" s="67">
        <v>2.88</v>
      </c>
      <c r="G155" s="67">
        <v>28.99</v>
      </c>
      <c r="H155" s="61">
        <v>189.56</v>
      </c>
      <c r="I155" s="66">
        <v>25.95</v>
      </c>
      <c r="J155" s="83">
        <v>145.59</v>
      </c>
      <c r="K155" s="84">
        <v>32.99</v>
      </c>
      <c r="L155" s="66">
        <v>1.22</v>
      </c>
    </row>
    <row r="156" ht="27.75" customHeight="1" spans="2:12">
      <c r="B156" s="17" t="s">
        <v>17</v>
      </c>
      <c r="C156" s="20" t="s">
        <v>18</v>
      </c>
      <c r="D156" s="31">
        <v>45</v>
      </c>
      <c r="E156" s="67">
        <v>3.42</v>
      </c>
      <c r="F156" s="67">
        <v>0.36</v>
      </c>
      <c r="G156" s="67">
        <v>22.10625</v>
      </c>
      <c r="H156" s="61">
        <v>105.75</v>
      </c>
      <c r="I156" s="66">
        <v>0</v>
      </c>
      <c r="J156" s="83">
        <v>10.35</v>
      </c>
      <c r="K156" s="84">
        <v>14.85</v>
      </c>
      <c r="L156" s="66">
        <v>0.855</v>
      </c>
    </row>
    <row r="157" ht="27.75" customHeight="1" spans="2:12">
      <c r="B157" s="14" t="s">
        <v>35</v>
      </c>
      <c r="C157" s="15" t="s">
        <v>36</v>
      </c>
      <c r="D157" s="16">
        <v>25</v>
      </c>
      <c r="E157" s="61">
        <v>1.65</v>
      </c>
      <c r="F157" s="61">
        <v>3</v>
      </c>
      <c r="G157" s="61">
        <v>8.35</v>
      </c>
      <c r="H157" s="61">
        <v>43.5</v>
      </c>
      <c r="I157" s="66">
        <v>0</v>
      </c>
      <c r="J157" s="86">
        <v>8.25</v>
      </c>
      <c r="K157" s="87">
        <v>14.25</v>
      </c>
      <c r="L157" s="66">
        <v>1.125</v>
      </c>
    </row>
    <row r="158" ht="27.75" customHeight="1" spans="2:12">
      <c r="B158" s="14" t="s">
        <v>52</v>
      </c>
      <c r="C158" s="15" t="s">
        <v>53</v>
      </c>
      <c r="D158" s="16">
        <v>180</v>
      </c>
      <c r="E158" s="61">
        <v>1.04</v>
      </c>
      <c r="F158" s="61">
        <v>0.27</v>
      </c>
      <c r="G158" s="61">
        <v>42.53</v>
      </c>
      <c r="H158" s="61">
        <v>176.74</v>
      </c>
      <c r="I158" s="61">
        <v>0.72</v>
      </c>
      <c r="J158" s="86">
        <v>5.26</v>
      </c>
      <c r="K158" s="126">
        <v>30.03</v>
      </c>
      <c r="L158" s="66">
        <v>0.86</v>
      </c>
    </row>
    <row r="159" ht="27.75" customHeight="1" spans="2:12">
      <c r="B159" s="14" t="s">
        <v>21</v>
      </c>
      <c r="C159" s="15" t="s">
        <v>22</v>
      </c>
      <c r="D159" s="16">
        <v>100</v>
      </c>
      <c r="E159" s="61">
        <v>0.4</v>
      </c>
      <c r="F159" s="61">
        <v>0.4</v>
      </c>
      <c r="G159" s="61">
        <v>9.8</v>
      </c>
      <c r="H159" s="61">
        <v>47</v>
      </c>
      <c r="I159" s="61">
        <v>10</v>
      </c>
      <c r="J159" s="86">
        <v>16</v>
      </c>
      <c r="K159" s="126">
        <v>9</v>
      </c>
      <c r="L159" s="66">
        <v>2.2</v>
      </c>
    </row>
    <row r="160" ht="32.25" customHeight="1" spans="2:12">
      <c r="B160" s="54"/>
      <c r="C160" s="55" t="s">
        <v>37</v>
      </c>
      <c r="D160" s="56">
        <f t="shared" ref="D160:L160" si="22">SUM(D152:D159)</f>
        <v>860</v>
      </c>
      <c r="E160" s="118">
        <f t="shared" si="22"/>
        <v>21.21</v>
      </c>
      <c r="F160" s="118">
        <f t="shared" si="22"/>
        <v>23.51</v>
      </c>
      <c r="G160" s="118">
        <f t="shared" si="22"/>
        <v>138.96125</v>
      </c>
      <c r="H160" s="118">
        <f t="shared" si="22"/>
        <v>922.53</v>
      </c>
      <c r="I160" s="118">
        <f t="shared" si="22"/>
        <v>89.87</v>
      </c>
      <c r="J160" s="118">
        <f t="shared" si="22"/>
        <v>236.81</v>
      </c>
      <c r="K160" s="118">
        <f t="shared" si="22"/>
        <v>149.225</v>
      </c>
      <c r="L160" s="118">
        <f t="shared" si="22"/>
        <v>8.36</v>
      </c>
    </row>
    <row r="161" ht="33.75" customHeight="1" spans="2:12">
      <c r="B161" s="32"/>
      <c r="C161" s="22" t="s">
        <v>38</v>
      </c>
      <c r="D161" s="33">
        <f t="shared" ref="D161:L161" si="23">D160+D150</f>
        <v>1380</v>
      </c>
      <c r="E161" s="68">
        <f t="shared" si="23"/>
        <v>36.76</v>
      </c>
      <c r="F161" s="68">
        <f t="shared" si="23"/>
        <v>45.05</v>
      </c>
      <c r="G161" s="68">
        <f t="shared" si="23"/>
        <v>227.51125</v>
      </c>
      <c r="H161" s="68">
        <f t="shared" si="23"/>
        <v>1543.7</v>
      </c>
      <c r="I161" s="68">
        <f t="shared" si="23"/>
        <v>102.41</v>
      </c>
      <c r="J161" s="68">
        <f t="shared" si="23"/>
        <v>625.07</v>
      </c>
      <c r="K161" s="68">
        <f t="shared" si="23"/>
        <v>252.645</v>
      </c>
      <c r="L161" s="64">
        <f t="shared" si="23"/>
        <v>13.07</v>
      </c>
    </row>
    <row r="162" ht="34.5" customHeight="1" spans="2:12">
      <c r="B162" s="37" t="s">
        <v>106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91"/>
    </row>
    <row r="163" ht="21" customHeight="1" spans="2:12">
      <c r="B163" s="39" t="s">
        <v>2</v>
      </c>
      <c r="C163" s="9" t="s">
        <v>3</v>
      </c>
      <c r="D163" s="9" t="s">
        <v>4</v>
      </c>
      <c r="E163" s="57" t="s">
        <v>5</v>
      </c>
      <c r="F163" s="58"/>
      <c r="G163" s="58"/>
      <c r="H163" s="59"/>
      <c r="I163" s="76" t="s">
        <v>6</v>
      </c>
      <c r="J163" s="77" t="s">
        <v>7</v>
      </c>
      <c r="K163" s="77" t="s">
        <v>8</v>
      </c>
      <c r="L163" s="77" t="s">
        <v>9</v>
      </c>
    </row>
    <row r="164" ht="46.5" customHeight="1" spans="2:12">
      <c r="B164" s="40"/>
      <c r="C164" s="10"/>
      <c r="D164" s="10"/>
      <c r="E164" s="60" t="s">
        <v>10</v>
      </c>
      <c r="F164" s="60" t="s">
        <v>11</v>
      </c>
      <c r="G164" s="60" t="s">
        <v>12</v>
      </c>
      <c r="H164" s="60" t="s">
        <v>13</v>
      </c>
      <c r="I164" s="78"/>
      <c r="J164" s="79"/>
      <c r="K164" s="79"/>
      <c r="L164" s="79"/>
    </row>
    <row r="165" ht="25.5" customHeight="1" spans="2:12">
      <c r="B165" s="24" t="s">
        <v>14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82"/>
    </row>
    <row r="166" ht="28.5" customHeight="1" spans="2:12">
      <c r="B166" s="14" t="s">
        <v>107</v>
      </c>
      <c r="C166" s="15" t="s">
        <v>108</v>
      </c>
      <c r="D166" s="16">
        <v>250</v>
      </c>
      <c r="E166" s="61">
        <v>11.5</v>
      </c>
      <c r="F166" s="61">
        <v>12.575</v>
      </c>
      <c r="G166" s="61">
        <v>39.2875</v>
      </c>
      <c r="H166" s="61">
        <v>324.95</v>
      </c>
      <c r="I166" s="62">
        <v>4.2</v>
      </c>
      <c r="J166" s="62">
        <v>173.7875</v>
      </c>
      <c r="K166" s="62">
        <v>67.325</v>
      </c>
      <c r="L166" s="66">
        <v>1.5625</v>
      </c>
    </row>
    <row r="167" ht="27" customHeight="1" spans="2:12">
      <c r="B167" s="17" t="s">
        <v>75</v>
      </c>
      <c r="C167" s="18" t="s">
        <v>76</v>
      </c>
      <c r="D167" s="19">
        <v>10</v>
      </c>
      <c r="E167" s="62">
        <v>0.05</v>
      </c>
      <c r="F167" s="62">
        <v>8.25</v>
      </c>
      <c r="G167" s="62">
        <v>0.08</v>
      </c>
      <c r="H167" s="62">
        <v>74.8</v>
      </c>
      <c r="I167" s="62">
        <v>0</v>
      </c>
      <c r="J167" s="62">
        <v>2.4</v>
      </c>
      <c r="K167" s="81">
        <v>0.05</v>
      </c>
      <c r="L167" s="66">
        <v>0.02</v>
      </c>
    </row>
    <row r="168" ht="29.25" customHeight="1" spans="2:12">
      <c r="B168" s="17" t="s">
        <v>77</v>
      </c>
      <c r="C168" s="15" t="s">
        <v>78</v>
      </c>
      <c r="D168" s="19">
        <v>20</v>
      </c>
      <c r="E168" s="61">
        <f>2.31*20/30</f>
        <v>1.54</v>
      </c>
      <c r="F168" s="61">
        <f>0.6</f>
        <v>0.6</v>
      </c>
      <c r="G168" s="61">
        <v>10.02</v>
      </c>
      <c r="H168" s="61">
        <f>103.6/2</f>
        <v>51.8</v>
      </c>
      <c r="I168" s="61">
        <v>0</v>
      </c>
      <c r="J168" s="61">
        <v>4.4</v>
      </c>
      <c r="K168" s="84">
        <f>13.2/2</f>
        <v>6.6</v>
      </c>
      <c r="L168" s="66">
        <v>0.4</v>
      </c>
    </row>
    <row r="169" ht="29.25" customHeight="1" spans="2:12">
      <c r="B169" s="17" t="s">
        <v>109</v>
      </c>
      <c r="C169" s="20" t="s">
        <v>110</v>
      </c>
      <c r="D169" s="31">
        <v>200</v>
      </c>
      <c r="E169" s="67">
        <v>3.58</v>
      </c>
      <c r="F169" s="67">
        <v>2.58</v>
      </c>
      <c r="G169" s="67">
        <v>14.71</v>
      </c>
      <c r="H169" s="61">
        <v>100.06</v>
      </c>
      <c r="I169" s="66">
        <v>1.17</v>
      </c>
      <c r="J169" s="83">
        <v>123.42</v>
      </c>
      <c r="K169" s="84">
        <v>29.6</v>
      </c>
      <c r="L169" s="80">
        <v>1</v>
      </c>
    </row>
    <row r="170" ht="27" customHeight="1" spans="2:12">
      <c r="B170" s="17" t="s">
        <v>77</v>
      </c>
      <c r="C170" s="20" t="s">
        <v>98</v>
      </c>
      <c r="D170" s="16">
        <v>20</v>
      </c>
      <c r="E170" s="61">
        <v>1.5</v>
      </c>
      <c r="F170" s="61">
        <v>1.96</v>
      </c>
      <c r="G170" s="61">
        <v>14.88</v>
      </c>
      <c r="H170" s="61">
        <v>82.8</v>
      </c>
      <c r="I170" s="61">
        <v>0</v>
      </c>
      <c r="J170" s="61">
        <v>5.8</v>
      </c>
      <c r="K170" s="81">
        <v>4</v>
      </c>
      <c r="L170" s="66">
        <v>0.42</v>
      </c>
    </row>
    <row r="171" ht="28.5" customHeight="1" spans="2:12">
      <c r="B171" s="130"/>
      <c r="C171" s="133" t="s">
        <v>23</v>
      </c>
      <c r="D171" s="23">
        <f t="shared" ref="D171:L171" si="24">SUM(D166:D170)</f>
        <v>500</v>
      </c>
      <c r="E171" s="64">
        <f t="shared" si="24"/>
        <v>18.17</v>
      </c>
      <c r="F171" s="64">
        <f t="shared" si="24"/>
        <v>25.965</v>
      </c>
      <c r="G171" s="64">
        <f t="shared" si="24"/>
        <v>78.9775</v>
      </c>
      <c r="H171" s="64">
        <f t="shared" si="24"/>
        <v>634.41</v>
      </c>
      <c r="I171" s="64">
        <f t="shared" si="24"/>
        <v>5.37</v>
      </c>
      <c r="J171" s="64">
        <f t="shared" si="24"/>
        <v>309.8075</v>
      </c>
      <c r="K171" s="64">
        <f t="shared" si="24"/>
        <v>107.575</v>
      </c>
      <c r="L171" s="64">
        <f t="shared" si="24"/>
        <v>3.4025</v>
      </c>
    </row>
    <row r="172" ht="27.75" customHeight="1" spans="2:12">
      <c r="B172" s="24" t="s">
        <v>24</v>
      </c>
      <c r="C172" s="25"/>
      <c r="D172" s="26"/>
      <c r="E172" s="25"/>
      <c r="F172" s="25"/>
      <c r="G172" s="25"/>
      <c r="H172" s="25"/>
      <c r="I172" s="25"/>
      <c r="J172" s="25"/>
      <c r="K172" s="25"/>
      <c r="L172" s="82"/>
    </row>
    <row r="173" ht="27" customHeight="1" spans="2:12">
      <c r="B173" s="14" t="s">
        <v>111</v>
      </c>
      <c r="C173" s="15" t="s">
        <v>112</v>
      </c>
      <c r="D173" s="16">
        <v>60</v>
      </c>
      <c r="E173" s="61">
        <v>0.8</v>
      </c>
      <c r="F173" s="61">
        <v>0.1</v>
      </c>
      <c r="G173" s="61">
        <v>4.1</v>
      </c>
      <c r="H173" s="61">
        <v>20.3</v>
      </c>
      <c r="I173" s="67">
        <v>3</v>
      </c>
      <c r="J173" s="86">
        <v>16</v>
      </c>
      <c r="K173" s="61">
        <v>23</v>
      </c>
      <c r="L173" s="67">
        <v>0.42</v>
      </c>
    </row>
    <row r="174" ht="25.5" customHeight="1" spans="2:12">
      <c r="B174" s="103" t="s">
        <v>48</v>
      </c>
      <c r="C174" s="15" t="s">
        <v>113</v>
      </c>
      <c r="D174" s="16">
        <v>200</v>
      </c>
      <c r="E174" s="61">
        <v>4.1</v>
      </c>
      <c r="F174" s="61">
        <v>8.9</v>
      </c>
      <c r="G174" s="61">
        <v>22.84</v>
      </c>
      <c r="H174" s="61">
        <v>158</v>
      </c>
      <c r="I174" s="67">
        <v>3.75</v>
      </c>
      <c r="J174" s="86">
        <v>24.37</v>
      </c>
      <c r="K174" s="81">
        <v>22.94</v>
      </c>
      <c r="L174" s="66">
        <v>1.72</v>
      </c>
    </row>
    <row r="175" ht="26.25" customHeight="1" spans="2:12">
      <c r="B175" s="30" t="s">
        <v>114</v>
      </c>
      <c r="C175" s="20" t="s">
        <v>115</v>
      </c>
      <c r="D175" s="31">
        <v>200</v>
      </c>
      <c r="E175" s="67">
        <v>22.27</v>
      </c>
      <c r="F175" s="67">
        <v>15.17</v>
      </c>
      <c r="G175" s="67">
        <v>70.22</v>
      </c>
      <c r="H175" s="66">
        <v>358.23</v>
      </c>
      <c r="I175" s="66">
        <v>2.62</v>
      </c>
      <c r="J175" s="83">
        <v>204.7</v>
      </c>
      <c r="K175" s="84">
        <v>39.4</v>
      </c>
      <c r="L175" s="66">
        <v>1.35</v>
      </c>
    </row>
    <row r="176" ht="26.25" customHeight="1" spans="2:12">
      <c r="B176" s="17" t="s">
        <v>17</v>
      </c>
      <c r="C176" s="20" t="s">
        <v>18</v>
      </c>
      <c r="D176" s="31">
        <v>45</v>
      </c>
      <c r="E176" s="67">
        <v>3.42</v>
      </c>
      <c r="F176" s="67">
        <v>0.36</v>
      </c>
      <c r="G176" s="67">
        <v>22.10625</v>
      </c>
      <c r="H176" s="61">
        <v>105.75</v>
      </c>
      <c r="I176" s="66">
        <v>0</v>
      </c>
      <c r="J176" s="83">
        <v>10.35</v>
      </c>
      <c r="K176" s="84">
        <v>14.85</v>
      </c>
      <c r="L176" s="66">
        <v>0.855</v>
      </c>
    </row>
    <row r="177" ht="26.25" customHeight="1" spans="2:12">
      <c r="B177" s="17" t="s">
        <v>35</v>
      </c>
      <c r="C177" s="20" t="s">
        <v>36</v>
      </c>
      <c r="D177" s="31">
        <v>25</v>
      </c>
      <c r="E177" s="67">
        <v>1.65</v>
      </c>
      <c r="F177" s="67">
        <v>3</v>
      </c>
      <c r="G177" s="67">
        <v>8.35</v>
      </c>
      <c r="H177" s="61">
        <v>43.5</v>
      </c>
      <c r="I177" s="66">
        <v>0</v>
      </c>
      <c r="J177" s="83">
        <v>8.25</v>
      </c>
      <c r="K177" s="84">
        <v>14.25</v>
      </c>
      <c r="L177" s="66">
        <v>1.125</v>
      </c>
    </row>
    <row r="178" ht="26.25" customHeight="1" spans="2:12">
      <c r="B178" s="14" t="s">
        <v>33</v>
      </c>
      <c r="C178" s="15" t="s">
        <v>34</v>
      </c>
      <c r="D178" s="16">
        <v>180</v>
      </c>
      <c r="E178" s="61">
        <v>0.9</v>
      </c>
      <c r="F178" s="61">
        <v>0.18</v>
      </c>
      <c r="G178" s="61">
        <v>18.18</v>
      </c>
      <c r="H178" s="61">
        <v>82.8</v>
      </c>
      <c r="I178" s="66">
        <v>3.6</v>
      </c>
      <c r="J178" s="86">
        <v>12.6</v>
      </c>
      <c r="K178" s="87">
        <v>7.2</v>
      </c>
      <c r="L178" s="66">
        <v>2.52</v>
      </c>
    </row>
    <row r="179" ht="30" customHeight="1" spans="2:12">
      <c r="B179" s="134"/>
      <c r="C179" s="133" t="s">
        <v>37</v>
      </c>
      <c r="D179" s="23">
        <f t="shared" ref="D179:L179" si="25">SUM(D173:D178)</f>
        <v>710</v>
      </c>
      <c r="E179" s="89">
        <f t="shared" si="25"/>
        <v>33.14</v>
      </c>
      <c r="F179" s="64">
        <f t="shared" si="25"/>
        <v>27.71</v>
      </c>
      <c r="G179" s="89">
        <f t="shared" si="25"/>
        <v>145.79625</v>
      </c>
      <c r="H179" s="64">
        <f t="shared" si="25"/>
        <v>768.58</v>
      </c>
      <c r="I179" s="89">
        <f t="shared" si="25"/>
        <v>12.97</v>
      </c>
      <c r="J179" s="64">
        <f t="shared" si="25"/>
        <v>276.27</v>
      </c>
      <c r="K179" s="64">
        <f t="shared" si="25"/>
        <v>121.64</v>
      </c>
      <c r="L179" s="145">
        <f t="shared" si="25"/>
        <v>7.99</v>
      </c>
    </row>
    <row r="180" ht="30.75" customHeight="1" spans="2:12">
      <c r="B180" s="17"/>
      <c r="C180" s="22" t="s">
        <v>38</v>
      </c>
      <c r="D180" s="33">
        <f t="shared" ref="D180:L180" si="26">D179+D171</f>
        <v>1210</v>
      </c>
      <c r="E180" s="68">
        <f t="shared" si="26"/>
        <v>51.31</v>
      </c>
      <c r="F180" s="68">
        <f t="shared" si="26"/>
        <v>53.675</v>
      </c>
      <c r="G180" s="68">
        <f t="shared" si="26"/>
        <v>224.77375</v>
      </c>
      <c r="H180" s="68">
        <f t="shared" si="26"/>
        <v>1402.99</v>
      </c>
      <c r="I180" s="68">
        <f t="shared" si="26"/>
        <v>18.34</v>
      </c>
      <c r="J180" s="68">
        <f t="shared" si="26"/>
        <v>586.0775</v>
      </c>
      <c r="K180" s="68">
        <f t="shared" si="26"/>
        <v>229.215</v>
      </c>
      <c r="L180" s="64">
        <f t="shared" si="26"/>
        <v>11.3925</v>
      </c>
    </row>
    <row r="181" ht="32.25" customHeight="1" spans="2:12">
      <c r="B181" s="37" t="s">
        <v>116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91"/>
    </row>
    <row r="182" ht="24" customHeight="1" spans="2:12">
      <c r="B182" s="39" t="s">
        <v>2</v>
      </c>
      <c r="C182" s="9" t="s">
        <v>3</v>
      </c>
      <c r="D182" s="9" t="s">
        <v>4</v>
      </c>
      <c r="E182" s="57" t="s">
        <v>5</v>
      </c>
      <c r="F182" s="58"/>
      <c r="G182" s="58"/>
      <c r="H182" s="59"/>
      <c r="I182" s="76" t="s">
        <v>6</v>
      </c>
      <c r="J182" s="77" t="s">
        <v>7</v>
      </c>
      <c r="K182" s="77" t="s">
        <v>8</v>
      </c>
      <c r="L182" s="77" t="s">
        <v>9</v>
      </c>
    </row>
    <row r="183" ht="46.5" customHeight="1" spans="2:12">
      <c r="B183" s="40"/>
      <c r="C183" s="10"/>
      <c r="D183" s="10"/>
      <c r="E183" s="60" t="s">
        <v>10</v>
      </c>
      <c r="F183" s="60" t="s">
        <v>11</v>
      </c>
      <c r="G183" s="60" t="s">
        <v>12</v>
      </c>
      <c r="H183" s="60" t="s">
        <v>13</v>
      </c>
      <c r="I183" s="78"/>
      <c r="J183" s="79"/>
      <c r="K183" s="79"/>
      <c r="L183" s="79"/>
    </row>
    <row r="184" ht="27" customHeight="1" spans="2:12">
      <c r="B184" s="135" t="s">
        <v>14</v>
      </c>
      <c r="C184" s="96"/>
      <c r="D184" s="96"/>
      <c r="E184" s="96"/>
      <c r="F184" s="96"/>
      <c r="G184" s="96"/>
      <c r="H184" s="96"/>
      <c r="I184" s="96"/>
      <c r="J184" s="96"/>
      <c r="K184" s="146"/>
      <c r="L184" s="147"/>
    </row>
    <row r="185" ht="27" customHeight="1" spans="2:12">
      <c r="B185" s="103" t="s">
        <v>40</v>
      </c>
      <c r="C185" s="15" t="s">
        <v>41</v>
      </c>
      <c r="D185" s="16">
        <v>60</v>
      </c>
      <c r="E185" s="62">
        <v>0.66</v>
      </c>
      <c r="F185" s="62">
        <v>0.12</v>
      </c>
      <c r="G185" s="62">
        <v>2.28</v>
      </c>
      <c r="H185" s="66">
        <v>13.2</v>
      </c>
      <c r="I185" s="67">
        <v>10.5</v>
      </c>
      <c r="J185" s="92">
        <v>8.4</v>
      </c>
      <c r="K185" s="84">
        <v>12</v>
      </c>
      <c r="L185" s="66">
        <v>0.54</v>
      </c>
    </row>
    <row r="186" ht="29.25" customHeight="1" spans="2:12">
      <c r="B186" s="17" t="s">
        <v>29</v>
      </c>
      <c r="C186" s="18" t="s">
        <v>30</v>
      </c>
      <c r="D186" s="19">
        <v>100</v>
      </c>
      <c r="E186" s="62">
        <v>10.63</v>
      </c>
      <c r="F186" s="62">
        <v>12.64</v>
      </c>
      <c r="G186" s="62">
        <v>19.02</v>
      </c>
      <c r="H186" s="62">
        <v>209.45</v>
      </c>
      <c r="I186" s="62">
        <v>0.54</v>
      </c>
      <c r="J186" s="62">
        <v>60.77</v>
      </c>
      <c r="K186" s="81">
        <v>33.95</v>
      </c>
      <c r="L186" s="66">
        <v>1.2</v>
      </c>
    </row>
    <row r="187" ht="29.25" customHeight="1" spans="2:12">
      <c r="B187" s="17" t="s">
        <v>57</v>
      </c>
      <c r="C187" s="18" t="s">
        <v>58</v>
      </c>
      <c r="D187" s="19">
        <v>150</v>
      </c>
      <c r="E187" s="62">
        <v>3.25</v>
      </c>
      <c r="F187" s="62">
        <v>2.88</v>
      </c>
      <c r="G187" s="62">
        <v>28.99</v>
      </c>
      <c r="H187" s="62">
        <v>189.56</v>
      </c>
      <c r="I187" s="62">
        <v>25.95</v>
      </c>
      <c r="J187" s="62">
        <v>145.59</v>
      </c>
      <c r="K187" s="81">
        <v>32.99</v>
      </c>
      <c r="L187" s="66">
        <v>1.22</v>
      </c>
    </row>
    <row r="188" ht="28.5" customHeight="1" spans="2:12">
      <c r="B188" s="17" t="s">
        <v>17</v>
      </c>
      <c r="C188" s="20" t="s">
        <v>18</v>
      </c>
      <c r="D188" s="31">
        <v>20</v>
      </c>
      <c r="E188" s="67">
        <v>1.52</v>
      </c>
      <c r="F188" s="67">
        <v>0.16</v>
      </c>
      <c r="G188" s="67">
        <v>9.84</v>
      </c>
      <c r="H188" s="67">
        <v>47</v>
      </c>
      <c r="I188" s="67">
        <v>0</v>
      </c>
      <c r="J188" s="67">
        <v>4.6</v>
      </c>
      <c r="K188" s="84">
        <v>6.6</v>
      </c>
      <c r="L188" s="66">
        <v>0.38</v>
      </c>
    </row>
    <row r="189" ht="27.75" customHeight="1" spans="2:12">
      <c r="B189" s="17" t="s">
        <v>96</v>
      </c>
      <c r="C189" s="20" t="s">
        <v>97</v>
      </c>
      <c r="D189" s="136">
        <v>180</v>
      </c>
      <c r="E189" s="61">
        <v>0.11</v>
      </c>
      <c r="F189" s="66">
        <v>0.12</v>
      </c>
      <c r="G189" s="61">
        <v>25.09</v>
      </c>
      <c r="H189" s="61">
        <v>119.2</v>
      </c>
      <c r="I189" s="66">
        <v>1.83</v>
      </c>
      <c r="J189" s="61">
        <v>11.46</v>
      </c>
      <c r="K189" s="81">
        <v>3.64</v>
      </c>
      <c r="L189" s="66">
        <v>0.57</v>
      </c>
    </row>
    <row r="190" ht="30.75" customHeight="1" spans="2:13">
      <c r="B190" s="137"/>
      <c r="C190" s="100" t="s">
        <v>23</v>
      </c>
      <c r="D190" s="138">
        <f t="shared" ref="D190:L190" si="27">SUM(D185:D189)</f>
        <v>510</v>
      </c>
      <c r="E190" s="63">
        <f t="shared" si="27"/>
        <v>16.17</v>
      </c>
      <c r="F190" s="143">
        <f t="shared" si="27"/>
        <v>15.92</v>
      </c>
      <c r="G190" s="63">
        <f t="shared" si="27"/>
        <v>85.22</v>
      </c>
      <c r="H190" s="143">
        <f t="shared" si="27"/>
        <v>578.41</v>
      </c>
      <c r="I190" s="63">
        <f t="shared" si="27"/>
        <v>38.82</v>
      </c>
      <c r="J190" s="143">
        <f t="shared" si="27"/>
        <v>230.82</v>
      </c>
      <c r="K190" s="63">
        <f t="shared" si="27"/>
        <v>89.18</v>
      </c>
      <c r="L190" s="63">
        <f t="shared" si="27"/>
        <v>3.91</v>
      </c>
      <c r="M190" s="150"/>
    </row>
    <row r="191" ht="23.25" customHeight="1" spans="2:12">
      <c r="B191" s="139" t="s">
        <v>117</v>
      </c>
      <c r="C191" s="96"/>
      <c r="D191" s="140"/>
      <c r="E191" s="121"/>
      <c r="F191" s="121"/>
      <c r="G191" s="121"/>
      <c r="H191" s="121"/>
      <c r="I191" s="121"/>
      <c r="J191" s="121"/>
      <c r="K191" s="148"/>
      <c r="L191" s="149"/>
    </row>
    <row r="192" ht="27.75" customHeight="1" spans="2:12">
      <c r="B192" s="14" t="s">
        <v>40</v>
      </c>
      <c r="C192" s="15" t="s">
        <v>41</v>
      </c>
      <c r="D192" s="16">
        <v>60</v>
      </c>
      <c r="E192" s="61">
        <v>0.66</v>
      </c>
      <c r="F192" s="61">
        <v>0.12</v>
      </c>
      <c r="G192" s="61">
        <v>2.28</v>
      </c>
      <c r="H192" s="61">
        <v>13.2</v>
      </c>
      <c r="I192" s="67">
        <v>10.5</v>
      </c>
      <c r="J192" s="86">
        <v>8.4</v>
      </c>
      <c r="K192" s="67">
        <v>12</v>
      </c>
      <c r="L192" s="67">
        <v>0.54</v>
      </c>
    </row>
    <row r="193" ht="27.75" customHeight="1" spans="2:12">
      <c r="B193" s="14" t="s">
        <v>118</v>
      </c>
      <c r="C193" s="15" t="s">
        <v>119</v>
      </c>
      <c r="D193" s="16">
        <v>200</v>
      </c>
      <c r="E193" s="61">
        <v>1.31</v>
      </c>
      <c r="F193" s="61">
        <v>4.86</v>
      </c>
      <c r="G193" s="61">
        <v>8.67</v>
      </c>
      <c r="H193" s="61">
        <v>106.06</v>
      </c>
      <c r="I193" s="67">
        <v>14.48</v>
      </c>
      <c r="J193" s="86">
        <v>27.49</v>
      </c>
      <c r="K193" s="84">
        <v>15.19</v>
      </c>
      <c r="L193" s="66">
        <v>0.72</v>
      </c>
    </row>
    <row r="194" ht="26.25" customHeight="1" spans="2:12">
      <c r="B194" s="14" t="s">
        <v>120</v>
      </c>
      <c r="C194" s="15" t="s">
        <v>121</v>
      </c>
      <c r="D194" s="16">
        <v>200</v>
      </c>
      <c r="E194" s="61">
        <f>13.48*200/280</f>
        <v>9.62857142857143</v>
      </c>
      <c r="F194" s="61">
        <f>21.99*200/280</f>
        <v>15.7071428571429</v>
      </c>
      <c r="G194" s="61">
        <f>51.12*200/280</f>
        <v>36.5142857142857</v>
      </c>
      <c r="H194" s="61">
        <f>400.02*200/280</f>
        <v>285.728571428571</v>
      </c>
      <c r="I194" s="67">
        <f>3.47*200/280</f>
        <v>2.47857142857143</v>
      </c>
      <c r="J194" s="86">
        <f>36.05*200/280</f>
        <v>25.75</v>
      </c>
      <c r="K194" s="84">
        <f>126.69*200/280</f>
        <v>90.4928571428571</v>
      </c>
      <c r="L194" s="66">
        <f>5.14*200/280</f>
        <v>3.67142857142857</v>
      </c>
    </row>
    <row r="195" ht="27.75" customHeight="1" spans="2:12">
      <c r="B195" s="14" t="s">
        <v>17</v>
      </c>
      <c r="C195" s="15" t="s">
        <v>18</v>
      </c>
      <c r="D195" s="16">
        <v>45</v>
      </c>
      <c r="E195" s="61">
        <v>3.42</v>
      </c>
      <c r="F195" s="61">
        <v>0.36</v>
      </c>
      <c r="G195" s="61">
        <v>22.10625</v>
      </c>
      <c r="H195" s="61">
        <v>105.75</v>
      </c>
      <c r="I195" s="84">
        <v>0</v>
      </c>
      <c r="J195" s="13">
        <v>10.35</v>
      </c>
      <c r="K195" s="84">
        <v>14.85</v>
      </c>
      <c r="L195" s="84">
        <v>0.855</v>
      </c>
    </row>
    <row r="196" ht="26.25" customHeight="1" spans="2:12">
      <c r="B196" s="14" t="s">
        <v>35</v>
      </c>
      <c r="C196" s="15" t="s">
        <v>36</v>
      </c>
      <c r="D196" s="16">
        <v>25</v>
      </c>
      <c r="E196" s="61">
        <v>1.65</v>
      </c>
      <c r="F196" s="61">
        <v>3</v>
      </c>
      <c r="G196" s="61">
        <v>8.35</v>
      </c>
      <c r="H196" s="61">
        <v>43.5</v>
      </c>
      <c r="I196" s="84">
        <v>0</v>
      </c>
      <c r="J196" s="13">
        <v>8.25</v>
      </c>
      <c r="K196" s="84">
        <v>14.25</v>
      </c>
      <c r="L196" s="84">
        <v>1.125</v>
      </c>
    </row>
    <row r="197" ht="26.25" customHeight="1" spans="2:12">
      <c r="B197" s="14" t="s">
        <v>52</v>
      </c>
      <c r="C197" s="15" t="s">
        <v>53</v>
      </c>
      <c r="D197" s="16">
        <v>200</v>
      </c>
      <c r="E197" s="61">
        <f>1.04*200/180</f>
        <v>1.15555555555556</v>
      </c>
      <c r="F197" s="61">
        <f>0.27*200/180</f>
        <v>0.3</v>
      </c>
      <c r="G197" s="61">
        <f>42.53*200/180</f>
        <v>47.2555555555556</v>
      </c>
      <c r="H197" s="61">
        <f>176.74*200/180</f>
        <v>196.377777777778</v>
      </c>
      <c r="I197" s="84">
        <f>0.72*200/180</f>
        <v>0.8</v>
      </c>
      <c r="J197" s="98">
        <f>5.26*200/180</f>
        <v>5.84444444444444</v>
      </c>
      <c r="K197" s="126">
        <f>30.03*200/180</f>
        <v>33.3666666666667</v>
      </c>
      <c r="L197" s="87">
        <f>0.86*200/180</f>
        <v>0.955555555555556</v>
      </c>
    </row>
    <row r="198" ht="27.75" customHeight="1" spans="2:12">
      <c r="B198" s="14" t="s">
        <v>21</v>
      </c>
      <c r="C198" s="15" t="s">
        <v>22</v>
      </c>
      <c r="D198" s="16">
        <v>100</v>
      </c>
      <c r="E198" s="61">
        <v>0.4</v>
      </c>
      <c r="F198" s="61">
        <v>0.4</v>
      </c>
      <c r="G198" s="61">
        <v>9.8</v>
      </c>
      <c r="H198" s="61">
        <v>47</v>
      </c>
      <c r="I198" s="84">
        <v>10</v>
      </c>
      <c r="J198" s="98">
        <v>16</v>
      </c>
      <c r="K198" s="126">
        <v>9</v>
      </c>
      <c r="L198" s="87">
        <v>2.2</v>
      </c>
    </row>
    <row r="199" ht="33" customHeight="1" spans="2:12">
      <c r="B199" s="151"/>
      <c r="C199" s="152" t="s">
        <v>37</v>
      </c>
      <c r="D199" s="56">
        <f>SUM(D192:D198)</f>
        <v>830</v>
      </c>
      <c r="E199" s="162">
        <f t="shared" ref="E199:L199" si="28">SUM(E192:E197)</f>
        <v>17.824126984127</v>
      </c>
      <c r="F199" s="162">
        <f t="shared" si="28"/>
        <v>24.3471428571429</v>
      </c>
      <c r="G199" s="162">
        <f t="shared" si="28"/>
        <v>125.176091269841</v>
      </c>
      <c r="H199" s="162">
        <f t="shared" si="28"/>
        <v>750.616349206349</v>
      </c>
      <c r="I199" s="162">
        <f t="shared" si="28"/>
        <v>28.2585714285714</v>
      </c>
      <c r="J199" s="162">
        <f t="shared" si="28"/>
        <v>86.0844444444444</v>
      </c>
      <c r="K199" s="162">
        <f t="shared" si="28"/>
        <v>180.149523809524</v>
      </c>
      <c r="L199" s="174">
        <f t="shared" si="28"/>
        <v>7.86698412698413</v>
      </c>
    </row>
    <row r="200" ht="30" customHeight="1" spans="2:12">
      <c r="B200" s="153"/>
      <c r="C200" s="46" t="s">
        <v>38</v>
      </c>
      <c r="D200" s="47">
        <f t="shared" ref="D200:L200" si="29">D199+D190</f>
        <v>1340</v>
      </c>
      <c r="E200" s="116">
        <f t="shared" si="29"/>
        <v>33.994126984127</v>
      </c>
      <c r="F200" s="116">
        <f t="shared" si="29"/>
        <v>40.2671428571429</v>
      </c>
      <c r="G200" s="116">
        <f t="shared" si="29"/>
        <v>210.396091269841</v>
      </c>
      <c r="H200" s="116">
        <f t="shared" si="29"/>
        <v>1329.02634920635</v>
      </c>
      <c r="I200" s="116">
        <f t="shared" si="29"/>
        <v>67.0785714285714</v>
      </c>
      <c r="J200" s="116">
        <f t="shared" si="29"/>
        <v>316.904444444444</v>
      </c>
      <c r="K200" s="116">
        <f t="shared" si="29"/>
        <v>269.329523809524</v>
      </c>
      <c r="L200" s="116">
        <f t="shared" si="29"/>
        <v>11.7769841269841</v>
      </c>
    </row>
    <row r="201" ht="33.75" customHeight="1" spans="2:12">
      <c r="B201" s="154"/>
      <c r="C201" s="155" t="s">
        <v>122</v>
      </c>
      <c r="D201" s="156">
        <f t="shared" ref="D201:L201" si="30">D200+D180+D161+D140+D120+D99+D81+D60+D41+D21</f>
        <v>12980</v>
      </c>
      <c r="E201" s="163">
        <f t="shared" si="30"/>
        <v>450.101185807656</v>
      </c>
      <c r="F201" s="163">
        <f t="shared" si="30"/>
        <v>433.526652661064</v>
      </c>
      <c r="G201" s="163">
        <f t="shared" si="30"/>
        <v>2035.32250793651</v>
      </c>
      <c r="H201" s="163">
        <f t="shared" si="30"/>
        <v>14035.5756956116</v>
      </c>
      <c r="I201" s="163">
        <f t="shared" si="30"/>
        <v>661.807198879552</v>
      </c>
      <c r="J201" s="167">
        <f t="shared" si="30"/>
        <v>4720.27736928105</v>
      </c>
      <c r="K201" s="167">
        <f t="shared" si="30"/>
        <v>2322.63387021475</v>
      </c>
      <c r="L201" s="168">
        <f t="shared" si="30"/>
        <v>137.278242296919</v>
      </c>
    </row>
    <row r="202" ht="38.25" customHeight="1" spans="2:12">
      <c r="B202" s="157"/>
      <c r="C202" s="158" t="s">
        <v>123</v>
      </c>
      <c r="D202" s="159">
        <f t="shared" ref="D202:L202" si="31">D201/10</f>
        <v>1298</v>
      </c>
      <c r="E202" s="164">
        <f t="shared" si="31"/>
        <v>45.0101185807656</v>
      </c>
      <c r="F202" s="165">
        <f t="shared" si="31"/>
        <v>43.3526652661064</v>
      </c>
      <c r="G202" s="166">
        <f t="shared" si="31"/>
        <v>203.532250793651</v>
      </c>
      <c r="H202" s="166">
        <f t="shared" si="31"/>
        <v>1403.55756956116</v>
      </c>
      <c r="I202" s="164">
        <f t="shared" si="31"/>
        <v>66.1807198879552</v>
      </c>
      <c r="J202" s="169">
        <f t="shared" si="31"/>
        <v>472.027736928105</v>
      </c>
      <c r="K202" s="168">
        <f t="shared" si="31"/>
        <v>232.263387021475</v>
      </c>
      <c r="L202" s="168">
        <f t="shared" si="31"/>
        <v>13.7278242296919</v>
      </c>
    </row>
    <row r="203" ht="31.5" customHeight="1" spans="1:12">
      <c r="A203" s="160" t="s">
        <v>124</v>
      </c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</row>
    <row r="204" ht="23.2" spans="2:2">
      <c r="B204" s="3"/>
    </row>
    <row r="205" ht="23.2" spans="2:14">
      <c r="B205" s="3"/>
      <c r="M205" s="170"/>
      <c r="N205" s="170"/>
    </row>
    <row r="206" ht="23.2" spans="2:14">
      <c r="B206" s="3"/>
      <c r="M206" s="170"/>
      <c r="N206" s="170"/>
    </row>
    <row r="207" ht="23.2" spans="2:14">
      <c r="B207" s="3"/>
      <c r="M207" s="170"/>
      <c r="N207" s="170"/>
    </row>
    <row r="208" ht="33" customHeight="1" spans="2:14">
      <c r="B208" s="3"/>
      <c r="M208" s="170"/>
      <c r="N208" s="170"/>
    </row>
    <row r="209" customHeight="1" spans="2:14">
      <c r="B209" s="3"/>
      <c r="M209" s="170"/>
      <c r="N209" s="170"/>
    </row>
    <row r="210" customHeight="1" spans="2:15">
      <c r="B210" s="3"/>
      <c r="M210" s="170"/>
      <c r="N210" s="170"/>
      <c r="O210" s="170"/>
    </row>
    <row r="211" customHeight="1" spans="2:15">
      <c r="B211" s="3"/>
      <c r="M211" s="170"/>
      <c r="N211" s="170"/>
      <c r="O211" s="170"/>
    </row>
    <row r="212" customHeight="1" spans="2:15">
      <c r="B212" s="3"/>
      <c r="M212" s="170"/>
      <c r="N212" s="170"/>
      <c r="O212" s="170"/>
    </row>
    <row r="213" customHeight="1" spans="2:15">
      <c r="B213" s="3"/>
      <c r="M213" s="170"/>
      <c r="N213" s="170"/>
      <c r="O213" s="170"/>
    </row>
    <row r="214" customHeight="1" spans="2:15">
      <c r="B214" s="3"/>
      <c r="M214" s="170"/>
      <c r="N214" s="170"/>
      <c r="O214" s="170"/>
    </row>
    <row r="215" customHeight="1" spans="2:15">
      <c r="B215" s="3"/>
      <c r="M215" s="170"/>
      <c r="N215" s="170"/>
      <c r="O215" s="170"/>
    </row>
    <row r="216" customHeight="1" spans="2:15">
      <c r="B216" s="3"/>
      <c r="M216" s="170"/>
      <c r="N216" s="170"/>
      <c r="O216" s="170"/>
    </row>
    <row r="217" customHeight="1" spans="2:15">
      <c r="B217" s="3"/>
      <c r="M217" s="170"/>
      <c r="N217" s="170"/>
      <c r="O217" s="170"/>
    </row>
    <row r="218" customHeight="1" spans="2:15">
      <c r="B218" s="3"/>
      <c r="M218" s="170"/>
      <c r="N218" s="170"/>
      <c r="O218" s="170"/>
    </row>
    <row r="219" customHeight="1" spans="2:15">
      <c r="B219" s="3"/>
      <c r="M219" s="170"/>
      <c r="N219" s="170"/>
      <c r="O219" s="170"/>
    </row>
    <row r="220" customHeight="1" spans="2:15">
      <c r="B220" s="3"/>
      <c r="M220" s="170"/>
      <c r="N220" s="170"/>
      <c r="O220" s="170"/>
    </row>
    <row r="221" customHeight="1" spans="2:15">
      <c r="B221" s="3"/>
      <c r="M221" s="170"/>
      <c r="N221" s="170"/>
      <c r="O221" s="170"/>
    </row>
  </sheetData>
  <autoFilter xmlns:etc="http://www.wps.cn/officeDocument/2017/etCustomData" ref="C4:C212" etc:filterBottomFollowUsedRange="0">
    <extLst/>
  </autoFilter>
  <mergeCells count="82">
    <mergeCell ref="B2:L2"/>
    <mergeCell ref="E4:H4"/>
    <mergeCell ref="E23:H23"/>
    <mergeCell ref="E43:H43"/>
    <mergeCell ref="E62:H62"/>
    <mergeCell ref="E83:H83"/>
    <mergeCell ref="E101:H101"/>
    <mergeCell ref="E122:H122"/>
    <mergeCell ref="E142:H142"/>
    <mergeCell ref="E163:H163"/>
    <mergeCell ref="E182:H182"/>
    <mergeCell ref="B203:L203"/>
    <mergeCell ref="B4:B5"/>
    <mergeCell ref="B23:B24"/>
    <mergeCell ref="B43:B44"/>
    <mergeCell ref="B62:B63"/>
    <mergeCell ref="B83:B84"/>
    <mergeCell ref="B101:B102"/>
    <mergeCell ref="B122:B123"/>
    <mergeCell ref="B142:B143"/>
    <mergeCell ref="B163:B164"/>
    <mergeCell ref="B182:B183"/>
    <mergeCell ref="C4:C5"/>
    <mergeCell ref="C23:C24"/>
    <mergeCell ref="C43:C44"/>
    <mergeCell ref="C62:C63"/>
    <mergeCell ref="C83:C84"/>
    <mergeCell ref="C101:C102"/>
    <mergeCell ref="C122:C123"/>
    <mergeCell ref="C142:C143"/>
    <mergeCell ref="C163:C164"/>
    <mergeCell ref="C182:C183"/>
    <mergeCell ref="D4:D5"/>
    <mergeCell ref="D23:D24"/>
    <mergeCell ref="D43:D44"/>
    <mergeCell ref="D62:D63"/>
    <mergeCell ref="D83:D84"/>
    <mergeCell ref="D101:D102"/>
    <mergeCell ref="D122:D123"/>
    <mergeCell ref="D142:D143"/>
    <mergeCell ref="D163:D164"/>
    <mergeCell ref="D182:D183"/>
    <mergeCell ref="I4:I5"/>
    <mergeCell ref="I23:I24"/>
    <mergeCell ref="I43:I44"/>
    <mergeCell ref="I62:I63"/>
    <mergeCell ref="I83:I84"/>
    <mergeCell ref="I101:I102"/>
    <mergeCell ref="I122:I123"/>
    <mergeCell ref="I142:I143"/>
    <mergeCell ref="I163:I164"/>
    <mergeCell ref="I182:I183"/>
    <mergeCell ref="J4:J5"/>
    <mergeCell ref="J23:J24"/>
    <mergeCell ref="J43:J44"/>
    <mergeCell ref="J62:J63"/>
    <mergeCell ref="J83:J84"/>
    <mergeCell ref="J101:J102"/>
    <mergeCell ref="J122:J123"/>
    <mergeCell ref="J142:J143"/>
    <mergeCell ref="J163:J164"/>
    <mergeCell ref="J182:J183"/>
    <mergeCell ref="K4:K5"/>
    <mergeCell ref="K23:K24"/>
    <mergeCell ref="K43:K44"/>
    <mergeCell ref="K62:K63"/>
    <mergeCell ref="K83:K84"/>
    <mergeCell ref="K101:K102"/>
    <mergeCell ref="K122:K123"/>
    <mergeCell ref="K142:K143"/>
    <mergeCell ref="K163:K164"/>
    <mergeCell ref="K182:K183"/>
    <mergeCell ref="L4:L5"/>
    <mergeCell ref="L23:L24"/>
    <mergeCell ref="L43:L44"/>
    <mergeCell ref="L62:L63"/>
    <mergeCell ref="L83:L84"/>
    <mergeCell ref="L101:L102"/>
    <mergeCell ref="L122:L123"/>
    <mergeCell ref="L142:L143"/>
    <mergeCell ref="L163:L164"/>
    <mergeCell ref="L182:L183"/>
  </mergeCells>
  <pageMargins left="0" right="0" top="0.354330708661417" bottom="0.15748031496063" header="0.196850393700787" footer="0"/>
  <pageSetup paperSize="9" scale="47" orientation="landscape"/>
  <headerFooter/>
  <rowBreaks count="7" manualBreakCount="7">
    <brk id="41" max="11" man="1"/>
    <brk id="81" max="11" man="1"/>
    <brk id="120" max="11" man="1"/>
    <brk id="161" max="11" man="1"/>
    <brk id="202" max="11" man="1"/>
    <brk id="208" max="12" man="1"/>
    <brk id="243" max="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2"/>
  <sheetViews>
    <sheetView tabSelected="1" view="pageBreakPreview" zoomScale="73" zoomScaleNormal="78" topLeftCell="A177" workbookViewId="0">
      <selection activeCell="B193" sqref="B193:B199"/>
    </sheetView>
  </sheetViews>
  <sheetFormatPr defaultColWidth="9.140625" defaultRowHeight="39.75" customHeight="1"/>
  <cols>
    <col min="1" max="1" width="4" style="1" customWidth="1"/>
    <col min="2" max="2" width="26.7109375" style="2" customWidth="1"/>
    <col min="3" max="3" width="65.2890625" style="3" customWidth="1"/>
    <col min="4" max="5" width="20.7109375" style="2" customWidth="1"/>
    <col min="6" max="6" width="21.5703125" style="2" customWidth="1"/>
    <col min="7" max="7" width="20.859375" style="2" customWidth="1"/>
    <col min="8" max="8" width="17.7109375" style="2" customWidth="1"/>
    <col min="9" max="9" width="20.7109375" style="2" customWidth="1"/>
    <col min="10" max="10" width="21.140625" style="2" customWidth="1"/>
    <col min="11" max="11" width="21.2890625" style="4" customWidth="1"/>
    <col min="12" max="12" width="20.4296875" style="2" customWidth="1"/>
    <col min="13" max="13" width="8" style="1" customWidth="1"/>
    <col min="14" max="16384" width="9.140625" style="1"/>
  </cols>
  <sheetData>
    <row r="1" ht="32.25" customHeight="1"/>
    <row r="2" ht="31.5" customHeight="1" spans="2:12">
      <c r="B2" s="5" t="s">
        <v>125</v>
      </c>
      <c r="C2" s="6"/>
      <c r="D2" s="6"/>
      <c r="E2" s="6"/>
      <c r="F2" s="6"/>
      <c r="G2" s="6"/>
      <c r="H2" s="6"/>
      <c r="I2" s="6"/>
      <c r="J2" s="6"/>
      <c r="K2" s="6"/>
      <c r="L2" s="74"/>
    </row>
    <row r="3" ht="28.5" customHeight="1" spans="2:12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75"/>
    </row>
    <row r="4" ht="21.75" customHeight="1" spans="2:12">
      <c r="B4" s="9" t="s">
        <v>2</v>
      </c>
      <c r="C4" s="9" t="s">
        <v>3</v>
      </c>
      <c r="D4" s="9" t="s">
        <v>4</v>
      </c>
      <c r="E4" s="57" t="s">
        <v>5</v>
      </c>
      <c r="F4" s="58"/>
      <c r="G4" s="58"/>
      <c r="H4" s="59"/>
      <c r="I4" s="76" t="s">
        <v>6</v>
      </c>
      <c r="J4" s="77" t="s">
        <v>7</v>
      </c>
      <c r="K4" s="77" t="s">
        <v>8</v>
      </c>
      <c r="L4" s="77" t="s">
        <v>9</v>
      </c>
    </row>
    <row r="5" ht="42" customHeight="1" spans="2:12">
      <c r="B5" s="10"/>
      <c r="C5" s="10"/>
      <c r="D5" s="10"/>
      <c r="E5" s="60" t="s">
        <v>10</v>
      </c>
      <c r="F5" s="60" t="s">
        <v>11</v>
      </c>
      <c r="G5" s="60" t="s">
        <v>12</v>
      </c>
      <c r="H5" s="60" t="s">
        <v>13</v>
      </c>
      <c r="I5" s="78"/>
      <c r="J5" s="79"/>
      <c r="K5" s="79"/>
      <c r="L5" s="79"/>
    </row>
    <row r="6" ht="27.75" customHeight="1" spans="2:12">
      <c r="B6" s="11" t="s">
        <v>14</v>
      </c>
      <c r="C6" s="12"/>
      <c r="D6" s="13"/>
      <c r="E6" s="13"/>
      <c r="F6" s="13"/>
      <c r="G6" s="13"/>
      <c r="H6" s="13"/>
      <c r="I6" s="13"/>
      <c r="J6" s="13"/>
      <c r="K6" s="13"/>
      <c r="L6" s="80"/>
    </row>
    <row r="7" ht="30" customHeight="1" spans="2:12">
      <c r="B7" s="14" t="s">
        <v>15</v>
      </c>
      <c r="C7" s="15" t="s">
        <v>16</v>
      </c>
      <c r="D7" s="16">
        <v>220</v>
      </c>
      <c r="E7" s="61">
        <f>17.7*200/170</f>
        <v>20.8235294117647</v>
      </c>
      <c r="F7" s="61">
        <f>16.78*200/170</f>
        <v>19.7411764705882</v>
      </c>
      <c r="G7" s="61">
        <f>42*200/170</f>
        <v>49.4117647058824</v>
      </c>
      <c r="H7" s="61">
        <f>444.43*200/170</f>
        <v>522.858823529412</v>
      </c>
      <c r="I7" s="62">
        <f>1.36*200/170</f>
        <v>1.6</v>
      </c>
      <c r="J7" s="62">
        <f>291.57*200/170</f>
        <v>343.023529411765</v>
      </c>
      <c r="K7" s="62">
        <f>45.82*200/170</f>
        <v>53.9058823529412</v>
      </c>
      <c r="L7" s="66">
        <f>1.14*200/170</f>
        <v>1.34117647058824</v>
      </c>
    </row>
    <row r="8" ht="28.5" customHeight="1" spans="2:12">
      <c r="B8" s="14" t="s">
        <v>17</v>
      </c>
      <c r="C8" s="15" t="s">
        <v>18</v>
      </c>
      <c r="D8" s="16">
        <v>40</v>
      </c>
      <c r="E8" s="61">
        <f>2.28*40/30</f>
        <v>3.04</v>
      </c>
      <c r="F8" s="61">
        <f>0.24*40/30</f>
        <v>0.32</v>
      </c>
      <c r="G8" s="61">
        <f>14.76*40/30</f>
        <v>19.68</v>
      </c>
      <c r="H8" s="61">
        <f>70.5*40/30</f>
        <v>94</v>
      </c>
      <c r="I8" s="62">
        <v>0</v>
      </c>
      <c r="J8" s="62">
        <f>6.9*40/30</f>
        <v>9.2</v>
      </c>
      <c r="K8" s="62">
        <f>9.9*40/30</f>
        <v>13.2</v>
      </c>
      <c r="L8" s="66">
        <f>0.57*40/30</f>
        <v>0.76</v>
      </c>
    </row>
    <row r="9" ht="30" customHeight="1" spans="2:12">
      <c r="B9" s="17" t="s">
        <v>19</v>
      </c>
      <c r="C9" s="18" t="s">
        <v>20</v>
      </c>
      <c r="D9" s="19">
        <v>200</v>
      </c>
      <c r="E9" s="62">
        <v>0.06</v>
      </c>
      <c r="F9" s="62">
        <v>0.01</v>
      </c>
      <c r="G9" s="62">
        <v>7.2</v>
      </c>
      <c r="H9" s="62">
        <v>30.31</v>
      </c>
      <c r="I9" s="62">
        <v>2.85</v>
      </c>
      <c r="J9" s="62">
        <v>5.49</v>
      </c>
      <c r="K9" s="81">
        <v>3.04</v>
      </c>
      <c r="L9" s="66">
        <v>0.47</v>
      </c>
    </row>
    <row r="10" ht="28.5" customHeight="1" spans="2:12">
      <c r="B10" s="17" t="s">
        <v>21</v>
      </c>
      <c r="C10" s="20" t="s">
        <v>22</v>
      </c>
      <c r="D10" s="16">
        <v>100</v>
      </c>
      <c r="E10" s="61">
        <v>0.4</v>
      </c>
      <c r="F10" s="61">
        <v>0.4</v>
      </c>
      <c r="G10" s="61">
        <v>9.8</v>
      </c>
      <c r="H10" s="61">
        <v>47</v>
      </c>
      <c r="I10" s="61">
        <v>10</v>
      </c>
      <c r="J10" s="61">
        <v>16</v>
      </c>
      <c r="K10" s="81">
        <v>9</v>
      </c>
      <c r="L10" s="66">
        <v>2.2</v>
      </c>
    </row>
    <row r="11" ht="32.25" customHeight="1" spans="2:12">
      <c r="B11" s="21"/>
      <c r="C11" s="22" t="s">
        <v>23</v>
      </c>
      <c r="D11" s="23">
        <f t="shared" ref="D11:L11" si="0">SUM(D7:D10)</f>
        <v>560</v>
      </c>
      <c r="E11" s="63">
        <f>SUM(E7:E10)</f>
        <v>24.3235294117647</v>
      </c>
      <c r="F11" s="64">
        <f t="shared" si="0"/>
        <v>20.4711764705882</v>
      </c>
      <c r="G11" s="64">
        <f t="shared" si="0"/>
        <v>86.0917647058824</v>
      </c>
      <c r="H11" s="64">
        <f t="shared" si="0"/>
        <v>694.168823529412</v>
      </c>
      <c r="I11" s="64">
        <f t="shared" si="0"/>
        <v>14.45</v>
      </c>
      <c r="J11" s="64">
        <f t="shared" si="0"/>
        <v>373.713529411765</v>
      </c>
      <c r="K11" s="64">
        <f t="shared" si="0"/>
        <v>79.1458823529412</v>
      </c>
      <c r="L11" s="64">
        <f t="shared" si="0"/>
        <v>4.77117647058824</v>
      </c>
    </row>
    <row r="12" ht="28.9" customHeight="1" spans="2:12">
      <c r="B12" s="24" t="s">
        <v>24</v>
      </c>
      <c r="C12" s="25"/>
      <c r="D12" s="26"/>
      <c r="E12" s="25"/>
      <c r="F12" s="25"/>
      <c r="G12" s="25"/>
      <c r="H12" s="25"/>
      <c r="I12" s="25"/>
      <c r="J12" s="25"/>
      <c r="K12" s="25"/>
      <c r="L12" s="82"/>
    </row>
    <row r="13" ht="27" customHeight="1" spans="2:12">
      <c r="B13" s="27" t="s">
        <v>25</v>
      </c>
      <c r="C13" s="28" t="s">
        <v>26</v>
      </c>
      <c r="D13" s="29">
        <v>100</v>
      </c>
      <c r="E13" s="65">
        <f>0.96*100/60</f>
        <v>1.6</v>
      </c>
      <c r="F13" s="65">
        <f>3.06*100/60</f>
        <v>5.1</v>
      </c>
      <c r="G13" s="65">
        <f>1.95*100/60</f>
        <v>3.25</v>
      </c>
      <c r="H13" s="65">
        <f>40.61*100/60</f>
        <v>67.6833333333333</v>
      </c>
      <c r="I13" s="67">
        <f>11.89*100/60</f>
        <v>19.8166666666667</v>
      </c>
      <c r="J13" s="83">
        <f>31.34*100/60</f>
        <v>52.2333333333333</v>
      </c>
      <c r="K13" s="84">
        <f>9.61*100/60</f>
        <v>16.0166666666667</v>
      </c>
      <c r="L13" s="85">
        <f>0.4*100/60</f>
        <v>0.666666666666667</v>
      </c>
    </row>
    <row r="14" ht="29.25" customHeight="1" spans="2:12">
      <c r="B14" s="14" t="s">
        <v>27</v>
      </c>
      <c r="C14" s="15" t="s">
        <v>28</v>
      </c>
      <c r="D14" s="16">
        <v>250</v>
      </c>
      <c r="E14" s="61">
        <f>1.87*250/200</f>
        <v>2.3375</v>
      </c>
      <c r="F14" s="61">
        <f>4.2*250/200</f>
        <v>5.25</v>
      </c>
      <c r="G14" s="61">
        <f>13.78*250/200</f>
        <v>17.225</v>
      </c>
      <c r="H14" s="66">
        <f>91.07*250/200</f>
        <v>113.8375</v>
      </c>
      <c r="I14" s="84">
        <f>13.59*250/200</f>
        <v>16.9875</v>
      </c>
      <c r="J14" s="13">
        <f>35.24*250/200</f>
        <v>44.05</v>
      </c>
      <c r="K14" s="84">
        <f>24.39*250/200</f>
        <v>30.4875</v>
      </c>
      <c r="L14" s="80">
        <f>1.21*250/200</f>
        <v>1.5125</v>
      </c>
    </row>
    <row r="15" ht="28.5" customHeight="1" spans="2:12">
      <c r="B15" s="30" t="s">
        <v>29</v>
      </c>
      <c r="C15" s="20" t="s">
        <v>30</v>
      </c>
      <c r="D15" s="31">
        <v>100</v>
      </c>
      <c r="E15" s="67">
        <v>10.63</v>
      </c>
      <c r="F15" s="67">
        <v>12.64</v>
      </c>
      <c r="G15" s="67">
        <v>13.07</v>
      </c>
      <c r="H15" s="66">
        <v>209.45</v>
      </c>
      <c r="I15" s="66">
        <v>0.54</v>
      </c>
      <c r="J15" s="83">
        <v>60.77</v>
      </c>
      <c r="K15" s="84">
        <v>33.95</v>
      </c>
      <c r="L15" s="80">
        <v>1.2</v>
      </c>
    </row>
    <row r="16" ht="27.75" customHeight="1" spans="2:12">
      <c r="B16" s="14" t="s">
        <v>31</v>
      </c>
      <c r="C16" s="15" t="s">
        <v>32</v>
      </c>
      <c r="D16" s="16">
        <v>180</v>
      </c>
      <c r="E16" s="61">
        <f>4*180/150</f>
        <v>4.8</v>
      </c>
      <c r="F16" s="61">
        <f>4.24*180/150</f>
        <v>5.088</v>
      </c>
      <c r="G16" s="61">
        <f>24.55*180/150</f>
        <v>29.46</v>
      </c>
      <c r="H16" s="65">
        <f>152.4*180/150</f>
        <v>182.88</v>
      </c>
      <c r="I16" s="67">
        <v>0</v>
      </c>
      <c r="J16" s="86">
        <f>10.53*180/150</f>
        <v>12.636</v>
      </c>
      <c r="K16" s="87">
        <f>99.9*180/150</f>
        <v>119.88</v>
      </c>
      <c r="L16" s="85">
        <f>3.36*180/150</f>
        <v>4.032</v>
      </c>
    </row>
    <row r="17" ht="27.75" customHeight="1" spans="2:12">
      <c r="B17" s="14" t="s">
        <v>33</v>
      </c>
      <c r="C17" s="15" t="s">
        <v>34</v>
      </c>
      <c r="D17" s="16">
        <v>180</v>
      </c>
      <c r="E17" s="61">
        <v>0.9</v>
      </c>
      <c r="F17" s="61">
        <v>0.18</v>
      </c>
      <c r="G17" s="61">
        <v>18.18</v>
      </c>
      <c r="H17" s="61">
        <v>82.8</v>
      </c>
      <c r="I17" s="67">
        <v>3.6</v>
      </c>
      <c r="J17" s="86">
        <v>12.6</v>
      </c>
      <c r="K17" s="87">
        <v>7.2</v>
      </c>
      <c r="L17" s="85">
        <v>2.52</v>
      </c>
    </row>
    <row r="18" ht="28.5" customHeight="1" spans="2:12">
      <c r="B18" s="17" t="s">
        <v>17</v>
      </c>
      <c r="C18" s="18" t="s">
        <v>18</v>
      </c>
      <c r="D18" s="19">
        <v>60</v>
      </c>
      <c r="E18" s="62">
        <f>3.42*60/45</f>
        <v>4.56</v>
      </c>
      <c r="F18" s="62">
        <f>0.36*60/45</f>
        <v>0.48</v>
      </c>
      <c r="G18" s="62">
        <f>22.11*60/45</f>
        <v>29.48</v>
      </c>
      <c r="H18" s="62">
        <f>105.75*60/45</f>
        <v>141</v>
      </c>
      <c r="I18" s="62">
        <v>0</v>
      </c>
      <c r="J18" s="62">
        <f>10.35*60/45</f>
        <v>13.8</v>
      </c>
      <c r="K18" s="81">
        <f>14.85*60/45</f>
        <v>19.8</v>
      </c>
      <c r="L18" s="66">
        <f>0.86*60/45</f>
        <v>1.14666666666667</v>
      </c>
    </row>
    <row r="19" ht="30" customHeight="1" spans="2:16">
      <c r="B19" s="17" t="s">
        <v>35</v>
      </c>
      <c r="C19" s="20" t="s">
        <v>36</v>
      </c>
      <c r="D19" s="31">
        <v>40</v>
      </c>
      <c r="E19" s="67">
        <f>1.65*40/25</f>
        <v>2.64</v>
      </c>
      <c r="F19" s="67">
        <f>3*40/25</f>
        <v>4.8</v>
      </c>
      <c r="G19" s="67">
        <f>8.35*40/25</f>
        <v>13.36</v>
      </c>
      <c r="H19" s="67">
        <f>43.5*40/25</f>
        <v>69.6</v>
      </c>
      <c r="I19" s="66">
        <v>0</v>
      </c>
      <c r="J19" s="67">
        <f>8.25*40/25</f>
        <v>13.2</v>
      </c>
      <c r="K19" s="84">
        <f>14.25*40/25</f>
        <v>22.8</v>
      </c>
      <c r="L19" s="66">
        <f>1.13*40/25</f>
        <v>1.808</v>
      </c>
      <c r="P19" s="99"/>
    </row>
    <row r="20" ht="35.25" customHeight="1" spans="2:12">
      <c r="B20" s="32"/>
      <c r="C20" s="22" t="s">
        <v>37</v>
      </c>
      <c r="D20" s="33">
        <f t="shared" ref="D20:L20" si="1">SUM(D13:D19)</f>
        <v>910</v>
      </c>
      <c r="E20" s="68">
        <f t="shared" si="1"/>
        <v>27.4675</v>
      </c>
      <c r="F20" s="68">
        <f t="shared" si="1"/>
        <v>33.538</v>
      </c>
      <c r="G20" s="68">
        <f t="shared" si="1"/>
        <v>124.025</v>
      </c>
      <c r="H20" s="68">
        <f t="shared" si="1"/>
        <v>867.250833333333</v>
      </c>
      <c r="I20" s="88">
        <f t="shared" si="1"/>
        <v>40.9441666666667</v>
      </c>
      <c r="J20" s="89">
        <f t="shared" si="1"/>
        <v>209.289333333333</v>
      </c>
      <c r="K20" s="64">
        <f t="shared" si="1"/>
        <v>250.134166666667</v>
      </c>
      <c r="L20" s="90">
        <f t="shared" si="1"/>
        <v>12.8858333333333</v>
      </c>
    </row>
    <row r="21" ht="34.9" customHeight="1" spans="2:12">
      <c r="B21" s="34"/>
      <c r="C21" s="35" t="s">
        <v>38</v>
      </c>
      <c r="D21" s="36">
        <f t="shared" ref="D21:L21" si="2">D20+D11</f>
        <v>1470</v>
      </c>
      <c r="E21" s="69">
        <f t="shared" si="2"/>
        <v>51.7910294117647</v>
      </c>
      <c r="F21" s="69">
        <f t="shared" si="2"/>
        <v>54.0091764705882</v>
      </c>
      <c r="G21" s="69">
        <f t="shared" si="2"/>
        <v>210.116764705882</v>
      </c>
      <c r="H21" s="69">
        <f t="shared" si="2"/>
        <v>1561.41965686274</v>
      </c>
      <c r="I21" s="69">
        <f t="shared" si="2"/>
        <v>55.3941666666667</v>
      </c>
      <c r="J21" s="69">
        <f t="shared" si="2"/>
        <v>583.002862745098</v>
      </c>
      <c r="K21" s="69">
        <f t="shared" si="2"/>
        <v>329.280049019608</v>
      </c>
      <c r="L21" s="64">
        <f t="shared" si="2"/>
        <v>17.6570098039216</v>
      </c>
    </row>
    <row r="22" ht="28.5" customHeight="1" spans="2:12">
      <c r="B22" s="37" t="s">
        <v>39</v>
      </c>
      <c r="C22" s="38"/>
      <c r="D22" s="38"/>
      <c r="E22" s="38"/>
      <c r="F22" s="38"/>
      <c r="G22" s="38"/>
      <c r="H22" s="38"/>
      <c r="I22" s="38"/>
      <c r="J22" s="38"/>
      <c r="K22" s="38"/>
      <c r="L22" s="91"/>
    </row>
    <row r="23" ht="27.75" customHeight="1" spans="2:12">
      <c r="B23" s="39" t="s">
        <v>2</v>
      </c>
      <c r="C23" s="9" t="s">
        <v>3</v>
      </c>
      <c r="D23" s="9" t="s">
        <v>4</v>
      </c>
      <c r="E23" s="57" t="s">
        <v>5</v>
      </c>
      <c r="F23" s="58"/>
      <c r="G23" s="58"/>
      <c r="H23" s="59"/>
      <c r="I23" s="76" t="s">
        <v>6</v>
      </c>
      <c r="J23" s="77" t="s">
        <v>7</v>
      </c>
      <c r="K23" s="77" t="s">
        <v>8</v>
      </c>
      <c r="L23" s="77" t="s">
        <v>9</v>
      </c>
    </row>
    <row r="24" ht="42.75" customHeight="1" spans="2:12">
      <c r="B24" s="40"/>
      <c r="C24" s="10"/>
      <c r="D24" s="10"/>
      <c r="E24" s="60" t="s">
        <v>10</v>
      </c>
      <c r="F24" s="60" t="s">
        <v>11</v>
      </c>
      <c r="G24" s="60" t="s">
        <v>12</v>
      </c>
      <c r="H24" s="60" t="s">
        <v>13</v>
      </c>
      <c r="I24" s="78"/>
      <c r="J24" s="79"/>
      <c r="K24" s="79"/>
      <c r="L24" s="79"/>
    </row>
    <row r="25" ht="27.75" customHeight="1" spans="2:12">
      <c r="B25" s="24" t="s">
        <v>14</v>
      </c>
      <c r="C25" s="25"/>
      <c r="D25" s="25"/>
      <c r="E25" s="25"/>
      <c r="F25" s="25"/>
      <c r="G25" s="25"/>
      <c r="H25" s="25"/>
      <c r="I25" s="25"/>
      <c r="J25" s="25"/>
      <c r="K25" s="25"/>
      <c r="L25" s="82"/>
    </row>
    <row r="26" ht="27" customHeight="1" spans="2:12">
      <c r="B26" s="17" t="s">
        <v>40</v>
      </c>
      <c r="C26" s="15" t="s">
        <v>41</v>
      </c>
      <c r="D26" s="16">
        <v>100</v>
      </c>
      <c r="E26" s="61">
        <v>0.7</v>
      </c>
      <c r="F26" s="61">
        <v>0.1</v>
      </c>
      <c r="G26" s="61">
        <v>1.9</v>
      </c>
      <c r="H26" s="61">
        <v>11</v>
      </c>
      <c r="I26" s="61">
        <v>10</v>
      </c>
      <c r="J26" s="61">
        <v>23</v>
      </c>
      <c r="K26" s="67">
        <v>14</v>
      </c>
      <c r="L26" s="67">
        <v>0.9</v>
      </c>
    </row>
    <row r="27" ht="27.75" customHeight="1" spans="2:12">
      <c r="B27" s="14" t="s">
        <v>42</v>
      </c>
      <c r="C27" s="15" t="s">
        <v>43</v>
      </c>
      <c r="D27" s="16">
        <v>200</v>
      </c>
      <c r="E27" s="61">
        <v>16.66</v>
      </c>
      <c r="F27" s="61">
        <v>19.7333333333333</v>
      </c>
      <c r="G27" s="61">
        <v>48.9866666666667</v>
      </c>
      <c r="H27" s="61">
        <v>417.066666666667</v>
      </c>
      <c r="I27" s="61">
        <v>0.0933333333333334</v>
      </c>
      <c r="J27" s="61">
        <v>286.666666666667</v>
      </c>
      <c r="K27" s="67">
        <v>20.9066666666667</v>
      </c>
      <c r="L27" s="67">
        <v>1.37333333333333</v>
      </c>
    </row>
    <row r="28" ht="27" customHeight="1" spans="2:12">
      <c r="B28" s="17" t="s">
        <v>17</v>
      </c>
      <c r="C28" s="15" t="s">
        <v>18</v>
      </c>
      <c r="D28" s="16">
        <v>40</v>
      </c>
      <c r="E28" s="61">
        <v>3.04</v>
      </c>
      <c r="F28" s="61">
        <v>0.32</v>
      </c>
      <c r="G28" s="61">
        <v>19.6533333333333</v>
      </c>
      <c r="H28" s="61">
        <v>94</v>
      </c>
      <c r="I28" s="61">
        <v>0</v>
      </c>
      <c r="J28" s="61">
        <v>9.2</v>
      </c>
      <c r="K28" s="66">
        <v>13.2</v>
      </c>
      <c r="L28" s="66">
        <v>0.853333333333333</v>
      </c>
    </row>
    <row r="29" ht="28.5" customHeight="1" spans="2:12">
      <c r="B29" s="17" t="s">
        <v>21</v>
      </c>
      <c r="C29" s="15" t="s">
        <v>22</v>
      </c>
      <c r="D29" s="16">
        <v>100</v>
      </c>
      <c r="E29" s="61">
        <v>0.4</v>
      </c>
      <c r="F29" s="61">
        <v>0.4</v>
      </c>
      <c r="G29" s="61">
        <v>9.8</v>
      </c>
      <c r="H29" s="61">
        <v>47</v>
      </c>
      <c r="I29" s="61">
        <v>10</v>
      </c>
      <c r="J29" s="61">
        <v>16</v>
      </c>
      <c r="K29" s="66">
        <v>9</v>
      </c>
      <c r="L29" s="66">
        <v>2.2</v>
      </c>
    </row>
    <row r="30" ht="30.75" customHeight="1" spans="2:12">
      <c r="B30" s="17" t="s">
        <v>44</v>
      </c>
      <c r="C30" s="41" t="s">
        <v>45</v>
      </c>
      <c r="D30" s="19">
        <v>200</v>
      </c>
      <c r="E30" s="62">
        <v>3.17</v>
      </c>
      <c r="F30" s="62">
        <v>2.68</v>
      </c>
      <c r="G30" s="62">
        <v>15.95</v>
      </c>
      <c r="H30" s="62">
        <v>100.6</v>
      </c>
      <c r="I30" s="62">
        <v>1.3</v>
      </c>
      <c r="J30" s="62">
        <v>125.78</v>
      </c>
      <c r="K30" s="81">
        <v>14</v>
      </c>
      <c r="L30" s="66">
        <v>0.13</v>
      </c>
    </row>
    <row r="31" ht="31.5" customHeight="1" spans="2:12">
      <c r="B31" s="42"/>
      <c r="C31" s="22" t="s">
        <v>23</v>
      </c>
      <c r="D31" s="33">
        <f t="shared" ref="D31:L31" si="3">SUM(D26:D30)</f>
        <v>640</v>
      </c>
      <c r="E31" s="68">
        <f t="shared" si="3"/>
        <v>23.97</v>
      </c>
      <c r="F31" s="68">
        <f t="shared" si="3"/>
        <v>23.2333333333333</v>
      </c>
      <c r="G31" s="68">
        <f t="shared" si="3"/>
        <v>96.29</v>
      </c>
      <c r="H31" s="68">
        <f t="shared" si="3"/>
        <v>669.666666666667</v>
      </c>
      <c r="I31" s="68">
        <f t="shared" si="3"/>
        <v>21.3933333333333</v>
      </c>
      <c r="J31" s="68">
        <f t="shared" si="3"/>
        <v>460.646666666667</v>
      </c>
      <c r="K31" s="68">
        <f t="shared" si="3"/>
        <v>71.1066666666667</v>
      </c>
      <c r="L31" s="64">
        <f t="shared" si="3"/>
        <v>5.45666666666667</v>
      </c>
    </row>
    <row r="32" ht="27.75" customHeight="1" spans="2:12">
      <c r="B32" s="24" t="s">
        <v>24</v>
      </c>
      <c r="C32" s="25"/>
      <c r="D32" s="26"/>
      <c r="E32" s="25"/>
      <c r="F32" s="25"/>
      <c r="G32" s="25"/>
      <c r="H32" s="25"/>
      <c r="I32" s="25"/>
      <c r="J32" s="25"/>
      <c r="K32" s="25"/>
      <c r="L32" s="82"/>
    </row>
    <row r="33" ht="28.5" customHeight="1" spans="2:12">
      <c r="B33" s="43" t="s">
        <v>46</v>
      </c>
      <c r="C33" s="44" t="s">
        <v>47</v>
      </c>
      <c r="D33" s="16">
        <v>100</v>
      </c>
      <c r="E33" s="65">
        <v>1.95</v>
      </c>
      <c r="F33" s="65">
        <v>8.43333333333333</v>
      </c>
      <c r="G33" s="65">
        <v>11.5666666666667</v>
      </c>
      <c r="H33" s="65">
        <v>13.4166666666667</v>
      </c>
      <c r="I33" s="67">
        <v>14.6</v>
      </c>
      <c r="J33" s="92">
        <v>37.5833333333333</v>
      </c>
      <c r="K33" s="87">
        <v>25.1666666666667</v>
      </c>
      <c r="L33" s="67">
        <v>1.5</v>
      </c>
    </row>
    <row r="34" ht="27" customHeight="1" spans="2:12">
      <c r="B34" s="45" t="s">
        <v>48</v>
      </c>
      <c r="C34" s="15" t="s">
        <v>49</v>
      </c>
      <c r="D34" s="16">
        <v>260</v>
      </c>
      <c r="E34" s="61">
        <f>9.28*260/210</f>
        <v>11.4895238095238</v>
      </c>
      <c r="F34" s="61">
        <f>7.84*260/210</f>
        <v>9.70666666666667</v>
      </c>
      <c r="G34" s="61">
        <f>15.42*265/210</f>
        <v>19.4585714285714</v>
      </c>
      <c r="H34" s="61">
        <f>165.48*265/210</f>
        <v>208.82</v>
      </c>
      <c r="I34" s="67">
        <f>9.2*265/210</f>
        <v>11.6095238095238</v>
      </c>
      <c r="J34" s="86">
        <f>49.25*265/210</f>
        <v>62.1488095238095</v>
      </c>
      <c r="K34" s="81">
        <f>30.61*265/210</f>
        <v>38.6269047619048</v>
      </c>
      <c r="L34" s="66">
        <f>2*265/210</f>
        <v>2.52380952380952</v>
      </c>
    </row>
    <row r="35" ht="29.25" customHeight="1" spans="2:12">
      <c r="B35" s="17" t="s">
        <v>50</v>
      </c>
      <c r="C35" s="15" t="s">
        <v>51</v>
      </c>
      <c r="D35" s="16">
        <v>250</v>
      </c>
      <c r="E35" s="61">
        <f>4.73*250/210</f>
        <v>5.63095238095238</v>
      </c>
      <c r="F35" s="61">
        <v>5.63</v>
      </c>
      <c r="G35" s="61">
        <f>30.08*250/210</f>
        <v>35.8095238095238</v>
      </c>
      <c r="H35" s="66">
        <f>272.58*250/210</f>
        <v>324.5</v>
      </c>
      <c r="I35" s="66">
        <f>10.4*250/210</f>
        <v>12.3809523809524</v>
      </c>
      <c r="J35" s="93">
        <f>198.25*250/210</f>
        <v>236.011904761905</v>
      </c>
      <c r="K35" s="84">
        <f>18.06*250/210</f>
        <v>21.5</v>
      </c>
      <c r="L35" s="66">
        <f>1.02*250/210</f>
        <v>1.21428571428571</v>
      </c>
    </row>
    <row r="36" ht="27" customHeight="1" spans="2:12">
      <c r="B36" s="14" t="s">
        <v>17</v>
      </c>
      <c r="C36" s="15" t="s">
        <v>18</v>
      </c>
      <c r="D36" s="16">
        <v>60</v>
      </c>
      <c r="E36" s="61">
        <v>4.56</v>
      </c>
      <c r="F36" s="61">
        <v>0.48</v>
      </c>
      <c r="G36" s="61">
        <v>29.48</v>
      </c>
      <c r="H36" s="61">
        <v>141</v>
      </c>
      <c r="I36" s="84">
        <v>0</v>
      </c>
      <c r="J36" s="13">
        <v>13.8</v>
      </c>
      <c r="K36" s="84">
        <v>19.8</v>
      </c>
      <c r="L36" s="84">
        <v>1.14666666666667</v>
      </c>
    </row>
    <row r="37" ht="27.75" customHeight="1" spans="2:12">
      <c r="B37" s="17" t="s">
        <v>35</v>
      </c>
      <c r="C37" s="20" t="s">
        <v>36</v>
      </c>
      <c r="D37" s="31">
        <v>40</v>
      </c>
      <c r="E37" s="67">
        <v>2.64</v>
      </c>
      <c r="F37" s="67">
        <v>4.8</v>
      </c>
      <c r="G37" s="67">
        <v>13.36</v>
      </c>
      <c r="H37" s="61">
        <v>69.6</v>
      </c>
      <c r="I37" s="66">
        <v>0</v>
      </c>
      <c r="J37" s="83">
        <v>13.2</v>
      </c>
      <c r="K37" s="84">
        <v>22.8</v>
      </c>
      <c r="L37" s="66">
        <v>1.808</v>
      </c>
    </row>
    <row r="38" ht="27" customHeight="1" spans="2:12">
      <c r="B38" s="17" t="s">
        <v>52</v>
      </c>
      <c r="C38" s="20" t="s">
        <v>53</v>
      </c>
      <c r="D38" s="31">
        <v>180</v>
      </c>
      <c r="E38" s="67">
        <v>1.04</v>
      </c>
      <c r="F38" s="67">
        <v>0.27</v>
      </c>
      <c r="G38" s="67">
        <v>42.53</v>
      </c>
      <c r="H38" s="61">
        <v>176.74</v>
      </c>
      <c r="I38" s="66">
        <v>0.72</v>
      </c>
      <c r="J38" s="83">
        <v>5.26</v>
      </c>
      <c r="K38" s="84">
        <v>30.03</v>
      </c>
      <c r="L38" s="66">
        <v>0.86</v>
      </c>
    </row>
    <row r="39" ht="27" customHeight="1" spans="2:12">
      <c r="B39" s="14" t="s">
        <v>21</v>
      </c>
      <c r="C39" s="20" t="s">
        <v>22</v>
      </c>
      <c r="D39" s="31">
        <v>100</v>
      </c>
      <c r="E39" s="67">
        <v>0.4</v>
      </c>
      <c r="F39" s="67">
        <v>0.4</v>
      </c>
      <c r="G39" s="67">
        <v>9.8</v>
      </c>
      <c r="H39" s="61">
        <v>47</v>
      </c>
      <c r="I39" s="67">
        <v>10</v>
      </c>
      <c r="J39" s="86">
        <v>16</v>
      </c>
      <c r="K39" s="87">
        <v>9</v>
      </c>
      <c r="L39" s="67">
        <v>2.2</v>
      </c>
    </row>
    <row r="40" ht="35.25" customHeight="1" spans="2:12">
      <c r="B40" s="30"/>
      <c r="C40" s="46" t="s">
        <v>37</v>
      </c>
      <c r="D40" s="47">
        <f>SUM(D33:D39)</f>
        <v>990</v>
      </c>
      <c r="E40" s="70">
        <f t="shared" ref="E40:L40" si="4">SUM(E33:E39)</f>
        <v>27.7104761904762</v>
      </c>
      <c r="F40" s="70">
        <f t="shared" si="4"/>
        <v>29.72</v>
      </c>
      <c r="G40" s="70">
        <f t="shared" si="4"/>
        <v>162.004761904762</v>
      </c>
      <c r="H40" s="70">
        <f t="shared" si="4"/>
        <v>981.076666666667</v>
      </c>
      <c r="I40" s="70">
        <f t="shared" si="4"/>
        <v>49.3104761904762</v>
      </c>
      <c r="J40" s="70">
        <f t="shared" si="4"/>
        <v>384.004047619048</v>
      </c>
      <c r="K40" s="70">
        <f t="shared" si="4"/>
        <v>166.923571428571</v>
      </c>
      <c r="L40" s="70">
        <f t="shared" si="4"/>
        <v>11.2527619047619</v>
      </c>
    </row>
    <row r="41" ht="36.75" customHeight="1" spans="2:12">
      <c r="B41" s="17"/>
      <c r="C41" s="22" t="s">
        <v>38</v>
      </c>
      <c r="D41" s="33">
        <f t="shared" ref="D41:L41" si="5">D40+D31</f>
        <v>1630</v>
      </c>
      <c r="E41" s="68">
        <f t="shared" si="5"/>
        <v>51.6804761904762</v>
      </c>
      <c r="F41" s="68">
        <f t="shared" si="5"/>
        <v>52.9533333333333</v>
      </c>
      <c r="G41" s="68">
        <f t="shared" si="5"/>
        <v>258.294761904762</v>
      </c>
      <c r="H41" s="68">
        <f t="shared" si="5"/>
        <v>1650.74333333333</v>
      </c>
      <c r="I41" s="68">
        <f t="shared" si="5"/>
        <v>70.7038095238095</v>
      </c>
      <c r="J41" s="68">
        <f t="shared" si="5"/>
        <v>844.650714285714</v>
      </c>
      <c r="K41" s="68">
        <f t="shared" si="5"/>
        <v>238.030238095238</v>
      </c>
      <c r="L41" s="64">
        <f t="shared" si="5"/>
        <v>16.7094285714286</v>
      </c>
    </row>
    <row r="42" ht="37.5" customHeight="1" spans="2:12">
      <c r="B42" s="37" t="s">
        <v>54</v>
      </c>
      <c r="C42" s="38"/>
      <c r="D42" s="38"/>
      <c r="E42" s="38"/>
      <c r="F42" s="38"/>
      <c r="G42" s="38"/>
      <c r="H42" s="38"/>
      <c r="I42" s="38"/>
      <c r="J42" s="38"/>
      <c r="K42" s="38"/>
      <c r="L42" s="91"/>
    </row>
    <row r="43" ht="27" customHeight="1" spans="2:12">
      <c r="B43" s="39" t="s">
        <v>2</v>
      </c>
      <c r="C43" s="9" t="s">
        <v>3</v>
      </c>
      <c r="D43" s="9" t="s">
        <v>4</v>
      </c>
      <c r="E43" s="57" t="s">
        <v>5</v>
      </c>
      <c r="F43" s="58"/>
      <c r="G43" s="58"/>
      <c r="H43" s="59"/>
      <c r="I43" s="76" t="s">
        <v>6</v>
      </c>
      <c r="J43" s="77" t="s">
        <v>7</v>
      </c>
      <c r="K43" s="77" t="s">
        <v>8</v>
      </c>
      <c r="L43" s="77" t="s">
        <v>9</v>
      </c>
    </row>
    <row r="44" ht="45.75" customHeight="1" spans="2:12">
      <c r="B44" s="40"/>
      <c r="C44" s="10"/>
      <c r="D44" s="10"/>
      <c r="E44" s="60" t="s">
        <v>10</v>
      </c>
      <c r="F44" s="60" t="s">
        <v>11</v>
      </c>
      <c r="G44" s="60" t="s">
        <v>12</v>
      </c>
      <c r="H44" s="60" t="s">
        <v>13</v>
      </c>
      <c r="I44" s="78"/>
      <c r="J44" s="79"/>
      <c r="K44" s="79"/>
      <c r="L44" s="79"/>
    </row>
    <row r="45" ht="27" customHeight="1" spans="2:12">
      <c r="B45" s="24" t="s">
        <v>14</v>
      </c>
      <c r="C45" s="25"/>
      <c r="D45" s="25"/>
      <c r="E45" s="25"/>
      <c r="F45" s="25"/>
      <c r="G45" s="25"/>
      <c r="H45" s="25"/>
      <c r="I45" s="25"/>
      <c r="J45" s="25"/>
      <c r="K45" s="25"/>
      <c r="L45" s="82"/>
    </row>
    <row r="46" ht="29.25" customHeight="1" spans="2:12">
      <c r="B46" s="27" t="s">
        <v>40</v>
      </c>
      <c r="C46" s="15" t="s">
        <v>41</v>
      </c>
      <c r="D46" s="16">
        <v>100</v>
      </c>
      <c r="E46" s="65">
        <v>0.7</v>
      </c>
      <c r="F46" s="65">
        <v>0.1</v>
      </c>
      <c r="G46" s="65">
        <v>1.9</v>
      </c>
      <c r="H46" s="65">
        <v>11</v>
      </c>
      <c r="I46" s="67">
        <v>10</v>
      </c>
      <c r="J46" s="92">
        <v>23</v>
      </c>
      <c r="K46" s="84">
        <v>14</v>
      </c>
      <c r="L46" s="66">
        <v>0.9</v>
      </c>
    </row>
    <row r="47" ht="30" customHeight="1" spans="2:12">
      <c r="B47" s="17" t="s">
        <v>55</v>
      </c>
      <c r="C47" s="18" t="s">
        <v>56</v>
      </c>
      <c r="D47" s="19">
        <v>100</v>
      </c>
      <c r="E47" s="62">
        <v>8.51</v>
      </c>
      <c r="F47" s="62">
        <v>13.45</v>
      </c>
      <c r="G47" s="62">
        <v>9.005</v>
      </c>
      <c r="H47" s="62">
        <v>185.69</v>
      </c>
      <c r="I47" s="62">
        <v>29.58</v>
      </c>
      <c r="J47" s="62">
        <v>18.45</v>
      </c>
      <c r="K47" s="81">
        <v>23.735</v>
      </c>
      <c r="L47" s="66">
        <v>1.24</v>
      </c>
    </row>
    <row r="48" ht="30" customHeight="1" spans="2:12">
      <c r="B48" s="17" t="s">
        <v>57</v>
      </c>
      <c r="C48" s="15" t="s">
        <v>58</v>
      </c>
      <c r="D48" s="19">
        <v>180</v>
      </c>
      <c r="E48" s="62">
        <f>3.25*180/150</f>
        <v>3.9</v>
      </c>
      <c r="F48" s="62">
        <f>2.88*180/150</f>
        <v>3.456</v>
      </c>
      <c r="G48" s="62">
        <f>28.99*180/150</f>
        <v>34.788</v>
      </c>
      <c r="H48" s="62">
        <f>189.56*180/150</f>
        <v>227.472</v>
      </c>
      <c r="I48" s="62">
        <f>25.95*180/150</f>
        <v>31.14</v>
      </c>
      <c r="J48" s="62">
        <f>145.59*180/150</f>
        <v>174.708</v>
      </c>
      <c r="K48" s="81">
        <f>32.99*180/150</f>
        <v>39.588</v>
      </c>
      <c r="L48" s="66">
        <f>1.22*180/150</f>
        <v>1.464</v>
      </c>
    </row>
    <row r="49" ht="28.5" customHeight="1" spans="2:12">
      <c r="B49" s="17" t="s">
        <v>17</v>
      </c>
      <c r="C49" s="20" t="s">
        <v>18</v>
      </c>
      <c r="D49" s="31">
        <v>40</v>
      </c>
      <c r="E49" s="67">
        <f>3.42*40/45</f>
        <v>3.04</v>
      </c>
      <c r="F49" s="67">
        <f>0.36*40/45</f>
        <v>0.32</v>
      </c>
      <c r="G49" s="67">
        <f>22.11*40/45</f>
        <v>19.6533333333333</v>
      </c>
      <c r="H49" s="61">
        <f>105.75*40/45</f>
        <v>94</v>
      </c>
      <c r="I49" s="66">
        <v>0</v>
      </c>
      <c r="J49" s="83">
        <f>10.35*40/45</f>
        <v>9.2</v>
      </c>
      <c r="K49" s="84">
        <f>14.85*40/45</f>
        <v>13.2</v>
      </c>
      <c r="L49" s="66">
        <f>0.96*40/45</f>
        <v>0.853333333333333</v>
      </c>
    </row>
    <row r="50" ht="30" customHeight="1" spans="2:12">
      <c r="B50" s="17" t="s">
        <v>52</v>
      </c>
      <c r="C50" s="41" t="s">
        <v>53</v>
      </c>
      <c r="D50" s="19">
        <v>200</v>
      </c>
      <c r="E50" s="62">
        <v>1.16</v>
      </c>
      <c r="F50" s="62">
        <v>0.3</v>
      </c>
      <c r="G50" s="62">
        <v>47.26</v>
      </c>
      <c r="H50" s="62">
        <v>196.38</v>
      </c>
      <c r="I50" s="62">
        <v>0.8</v>
      </c>
      <c r="J50" s="62">
        <v>5.84</v>
      </c>
      <c r="K50" s="81">
        <v>33</v>
      </c>
      <c r="L50" s="66">
        <v>0.96</v>
      </c>
    </row>
    <row r="51" ht="31.5" customHeight="1" spans="2:12">
      <c r="B51" s="48"/>
      <c r="C51" s="49" t="s">
        <v>23</v>
      </c>
      <c r="D51" s="50">
        <f t="shared" ref="D51:L51" si="6">SUM(D46:D50)</f>
        <v>620</v>
      </c>
      <c r="E51" s="64">
        <f t="shared" si="6"/>
        <v>17.31</v>
      </c>
      <c r="F51" s="64">
        <f t="shared" si="6"/>
        <v>17.626</v>
      </c>
      <c r="G51" s="64">
        <f t="shared" si="6"/>
        <v>112.606333333333</v>
      </c>
      <c r="H51" s="64">
        <f t="shared" si="6"/>
        <v>714.542</v>
      </c>
      <c r="I51" s="64">
        <f t="shared" si="6"/>
        <v>71.52</v>
      </c>
      <c r="J51" s="64">
        <f t="shared" si="6"/>
        <v>231.198</v>
      </c>
      <c r="K51" s="64">
        <f t="shared" si="6"/>
        <v>123.523</v>
      </c>
      <c r="L51" s="64">
        <f t="shared" si="6"/>
        <v>5.41733333333333</v>
      </c>
    </row>
    <row r="52" ht="26.25" customHeight="1" spans="2:12">
      <c r="B52" s="24" t="s">
        <v>24</v>
      </c>
      <c r="C52" s="25"/>
      <c r="D52" s="26"/>
      <c r="E52" s="25"/>
      <c r="F52" s="25"/>
      <c r="G52" s="25"/>
      <c r="H52" s="25"/>
      <c r="I52" s="25"/>
      <c r="J52" s="25"/>
      <c r="K52" s="25"/>
      <c r="L52" s="82"/>
    </row>
    <row r="53" ht="29.25" customHeight="1" spans="2:12">
      <c r="B53" s="14" t="s">
        <v>59</v>
      </c>
      <c r="C53" s="15" t="s">
        <v>60</v>
      </c>
      <c r="D53" s="16">
        <v>250</v>
      </c>
      <c r="E53" s="61">
        <v>5.47</v>
      </c>
      <c r="F53" s="61">
        <v>0.31</v>
      </c>
      <c r="G53" s="61">
        <v>17.95</v>
      </c>
      <c r="H53" s="61">
        <v>150</v>
      </c>
      <c r="I53" s="67">
        <v>0.82</v>
      </c>
      <c r="J53" s="86">
        <v>163</v>
      </c>
      <c r="K53" s="84">
        <v>26.67</v>
      </c>
      <c r="L53" s="66">
        <v>0.65</v>
      </c>
    </row>
    <row r="54" ht="28.5" customHeight="1" spans="2:12">
      <c r="B54" s="51" t="s">
        <v>61</v>
      </c>
      <c r="C54" s="52" t="s">
        <v>62</v>
      </c>
      <c r="D54" s="53">
        <v>250</v>
      </c>
      <c r="E54" s="71">
        <f>16.94*250/200</f>
        <v>21.175</v>
      </c>
      <c r="F54" s="71">
        <f>10.46*250/200</f>
        <v>13.075</v>
      </c>
      <c r="G54" s="71">
        <f>25.73*250/200</f>
        <v>32.1625</v>
      </c>
      <c r="H54" s="72">
        <f>305.33*250/200</f>
        <v>381.6625</v>
      </c>
      <c r="I54" s="72">
        <f>6.02*250/200</f>
        <v>7.525</v>
      </c>
      <c r="J54" s="94">
        <f>46.25*250/200</f>
        <v>57.8125</v>
      </c>
      <c r="K54" s="95">
        <f>54.04*250/200</f>
        <v>67.55</v>
      </c>
      <c r="L54" s="72">
        <f>1.97*250/200</f>
        <v>2.4625</v>
      </c>
    </row>
    <row r="55" ht="28.5" customHeight="1" spans="2:12">
      <c r="B55" s="32" t="s">
        <v>17</v>
      </c>
      <c r="C55" s="52" t="s">
        <v>18</v>
      </c>
      <c r="D55" s="53">
        <v>60</v>
      </c>
      <c r="E55" s="71">
        <v>4.56</v>
      </c>
      <c r="F55" s="71">
        <v>0.48</v>
      </c>
      <c r="G55" s="71">
        <v>29.48</v>
      </c>
      <c r="H55" s="73">
        <v>141</v>
      </c>
      <c r="I55" s="72">
        <v>0</v>
      </c>
      <c r="J55" s="94">
        <v>13.8</v>
      </c>
      <c r="K55" s="95">
        <v>19.8</v>
      </c>
      <c r="L55" s="72">
        <v>1.14666666666667</v>
      </c>
    </row>
    <row r="56" ht="27.75" customHeight="1" spans="2:12">
      <c r="B56" s="32" t="s">
        <v>35</v>
      </c>
      <c r="C56" s="52" t="s">
        <v>36</v>
      </c>
      <c r="D56" s="53">
        <v>40</v>
      </c>
      <c r="E56" s="71">
        <v>2.64</v>
      </c>
      <c r="F56" s="71">
        <v>4.8</v>
      </c>
      <c r="G56" s="71">
        <v>13.36</v>
      </c>
      <c r="H56" s="73">
        <v>69.6</v>
      </c>
      <c r="I56" s="72">
        <v>0</v>
      </c>
      <c r="J56" s="94">
        <v>13.2</v>
      </c>
      <c r="K56" s="95">
        <v>22.8</v>
      </c>
      <c r="L56" s="72">
        <v>1.808</v>
      </c>
    </row>
    <row r="57" ht="30" customHeight="1" spans="2:12">
      <c r="B57" s="32" t="s">
        <v>63</v>
      </c>
      <c r="C57" s="52" t="s">
        <v>64</v>
      </c>
      <c r="D57" s="53">
        <v>200</v>
      </c>
      <c r="E57" s="71">
        <f>0.11*200/180</f>
        <v>0.122222222222222</v>
      </c>
      <c r="F57" s="71">
        <v>0.12</v>
      </c>
      <c r="G57" s="71">
        <f>20.61*200/180</f>
        <v>22.9</v>
      </c>
      <c r="H57" s="73">
        <f>91.52*200/180</f>
        <v>101.688888888889</v>
      </c>
      <c r="I57" s="72">
        <f>2.7*200/180</f>
        <v>3</v>
      </c>
      <c r="J57" s="94">
        <f>4.86*200/180</f>
        <v>5.4</v>
      </c>
      <c r="K57" s="95">
        <f>2.43*200/180</f>
        <v>2.7</v>
      </c>
      <c r="L57" s="72">
        <f>0.65*200/180</f>
        <v>0.722222222222222</v>
      </c>
    </row>
    <row r="58" ht="30.75" customHeight="1" spans="2:12">
      <c r="B58" s="54"/>
      <c r="C58" s="55" t="s">
        <v>37</v>
      </c>
      <c r="D58" s="56">
        <f t="shared" ref="D58:L58" si="7">SUM(D53:D57)</f>
        <v>800</v>
      </c>
      <c r="E58" s="68">
        <f t="shared" si="7"/>
        <v>33.9672222222222</v>
      </c>
      <c r="F58" s="68">
        <f t="shared" si="7"/>
        <v>18.785</v>
      </c>
      <c r="G58" s="68">
        <f t="shared" si="7"/>
        <v>115.8525</v>
      </c>
      <c r="H58" s="68">
        <f t="shared" si="7"/>
        <v>843.951388888889</v>
      </c>
      <c r="I58" s="64">
        <f t="shared" si="7"/>
        <v>11.345</v>
      </c>
      <c r="J58" s="89">
        <f t="shared" si="7"/>
        <v>253.2125</v>
      </c>
      <c r="K58" s="64">
        <f t="shared" si="7"/>
        <v>139.52</v>
      </c>
      <c r="L58" s="64">
        <f t="shared" si="7"/>
        <v>6.78938888888889</v>
      </c>
    </row>
    <row r="59" ht="32.25" customHeight="1" spans="2:12">
      <c r="B59" s="32"/>
      <c r="C59" s="22" t="s">
        <v>38</v>
      </c>
      <c r="D59" s="33">
        <f t="shared" ref="D59:L59" si="8">D58+D51</f>
        <v>1420</v>
      </c>
      <c r="E59" s="68">
        <f t="shared" si="8"/>
        <v>51.2772222222222</v>
      </c>
      <c r="F59" s="68">
        <f t="shared" si="8"/>
        <v>36.411</v>
      </c>
      <c r="G59" s="68">
        <f t="shared" si="8"/>
        <v>228.458833333333</v>
      </c>
      <c r="H59" s="68">
        <f t="shared" si="8"/>
        <v>1558.49338888889</v>
      </c>
      <c r="I59" s="68">
        <f t="shared" si="8"/>
        <v>82.865</v>
      </c>
      <c r="J59" s="68">
        <f t="shared" si="8"/>
        <v>484.4105</v>
      </c>
      <c r="K59" s="68">
        <f t="shared" si="8"/>
        <v>263.043</v>
      </c>
      <c r="L59" s="64">
        <f t="shared" si="8"/>
        <v>12.2067222222222</v>
      </c>
    </row>
    <row r="60" ht="38.25" customHeight="1" spans="2:12">
      <c r="B60" s="37" t="s">
        <v>65</v>
      </c>
      <c r="C60" s="38"/>
      <c r="D60" s="38"/>
      <c r="E60" s="38"/>
      <c r="F60" s="38"/>
      <c r="G60" s="38"/>
      <c r="H60" s="38"/>
      <c r="I60" s="38"/>
      <c r="J60" s="38"/>
      <c r="K60" s="38"/>
      <c r="L60" s="91"/>
    </row>
    <row r="61" ht="22.5" customHeight="1" spans="2:12">
      <c r="B61" s="39" t="s">
        <v>2</v>
      </c>
      <c r="C61" s="9" t="s">
        <v>3</v>
      </c>
      <c r="D61" s="9" t="s">
        <v>4</v>
      </c>
      <c r="E61" s="57" t="s">
        <v>5</v>
      </c>
      <c r="F61" s="58"/>
      <c r="G61" s="58"/>
      <c r="H61" s="59"/>
      <c r="I61" s="76" t="s">
        <v>6</v>
      </c>
      <c r="J61" s="77" t="s">
        <v>7</v>
      </c>
      <c r="K61" s="77" t="s">
        <v>8</v>
      </c>
      <c r="L61" s="77" t="s">
        <v>9</v>
      </c>
    </row>
    <row r="62" ht="43.5" customHeight="1" spans="2:12">
      <c r="B62" s="40"/>
      <c r="C62" s="10"/>
      <c r="D62" s="10"/>
      <c r="E62" s="60" t="s">
        <v>10</v>
      </c>
      <c r="F62" s="60" t="s">
        <v>11</v>
      </c>
      <c r="G62" s="60" t="s">
        <v>12</v>
      </c>
      <c r="H62" s="60" t="s">
        <v>13</v>
      </c>
      <c r="I62" s="78"/>
      <c r="J62" s="79"/>
      <c r="K62" s="79"/>
      <c r="L62" s="79"/>
    </row>
    <row r="63" ht="26.25" customHeight="1" spans="2:12">
      <c r="B63" s="24" t="s">
        <v>14</v>
      </c>
      <c r="C63" s="25"/>
      <c r="D63" s="25"/>
      <c r="E63" s="25"/>
      <c r="F63" s="25"/>
      <c r="G63" s="25"/>
      <c r="H63" s="25"/>
      <c r="I63" s="25"/>
      <c r="J63" s="25"/>
      <c r="K63" s="96"/>
      <c r="L63" s="97"/>
    </row>
    <row r="64" ht="28.5" customHeight="1" spans="2:12">
      <c r="B64" s="27" t="s">
        <v>40</v>
      </c>
      <c r="C64" s="28" t="s">
        <v>41</v>
      </c>
      <c r="D64" s="29">
        <v>100</v>
      </c>
      <c r="E64" s="61">
        <v>0.7</v>
      </c>
      <c r="F64" s="61">
        <v>0.1</v>
      </c>
      <c r="G64" s="61">
        <v>1.9</v>
      </c>
      <c r="H64" s="61">
        <v>11</v>
      </c>
      <c r="I64" s="61">
        <v>10</v>
      </c>
      <c r="J64" s="66">
        <v>23</v>
      </c>
      <c r="K64" s="98">
        <v>14</v>
      </c>
      <c r="L64" s="66">
        <v>0.9</v>
      </c>
    </row>
    <row r="65" ht="26.25" customHeight="1" spans="2:12">
      <c r="B65" s="17" t="s">
        <v>66</v>
      </c>
      <c r="C65" s="15" t="s">
        <v>67</v>
      </c>
      <c r="D65" s="16">
        <v>150</v>
      </c>
      <c r="E65" s="62">
        <v>18.8470588235294</v>
      </c>
      <c r="F65" s="62">
        <v>21.4411764705882</v>
      </c>
      <c r="G65" s="62">
        <v>6.93</v>
      </c>
      <c r="H65" s="62">
        <v>280.588235294118</v>
      </c>
      <c r="I65" s="62">
        <v>0.635294117647059</v>
      </c>
      <c r="J65" s="62">
        <v>110.117647058824</v>
      </c>
      <c r="K65" s="81">
        <v>28.5882352941176</v>
      </c>
      <c r="L65" s="66">
        <v>3.01764705882353</v>
      </c>
    </row>
    <row r="66" ht="29.25" customHeight="1" spans="2:12">
      <c r="B66" s="17" t="s">
        <v>17</v>
      </c>
      <c r="C66" s="18" t="s">
        <v>18</v>
      </c>
      <c r="D66" s="16">
        <v>50</v>
      </c>
      <c r="E66" s="61">
        <v>3.8</v>
      </c>
      <c r="F66" s="61">
        <v>0.4</v>
      </c>
      <c r="G66" s="66">
        <v>24.6</v>
      </c>
      <c r="H66" s="61">
        <v>117.5</v>
      </c>
      <c r="I66" s="66">
        <v>0</v>
      </c>
      <c r="J66" s="83">
        <v>11.5</v>
      </c>
      <c r="K66" s="84">
        <v>16.5</v>
      </c>
      <c r="L66" s="66">
        <v>0.95</v>
      </c>
    </row>
    <row r="67" ht="30" customHeight="1" spans="2:12">
      <c r="B67" s="17" t="s">
        <v>35</v>
      </c>
      <c r="C67" s="15" t="s">
        <v>36</v>
      </c>
      <c r="D67" s="16">
        <v>50</v>
      </c>
      <c r="E67" s="66">
        <v>3.3</v>
      </c>
      <c r="F67" s="66">
        <v>0.6</v>
      </c>
      <c r="G67" s="112">
        <v>16.7</v>
      </c>
      <c r="H67" s="66">
        <v>87</v>
      </c>
      <c r="I67" s="112">
        <v>0</v>
      </c>
      <c r="J67" s="119">
        <v>16.5</v>
      </c>
      <c r="K67" s="120">
        <v>28.5</v>
      </c>
      <c r="L67" s="120">
        <v>2.25</v>
      </c>
    </row>
    <row r="68" ht="30" customHeight="1" spans="2:12">
      <c r="B68" s="17" t="s">
        <v>33</v>
      </c>
      <c r="C68" s="15" t="s">
        <v>34</v>
      </c>
      <c r="D68" s="16">
        <v>200</v>
      </c>
      <c r="E68" s="62">
        <v>1</v>
      </c>
      <c r="F68" s="62">
        <v>0.2</v>
      </c>
      <c r="G68" s="62">
        <v>20.2</v>
      </c>
      <c r="H68" s="62">
        <v>92</v>
      </c>
      <c r="I68" s="62">
        <v>4</v>
      </c>
      <c r="J68" s="62">
        <v>14</v>
      </c>
      <c r="K68" s="66">
        <v>8</v>
      </c>
      <c r="L68" s="66">
        <v>2.8</v>
      </c>
    </row>
    <row r="69" ht="32.25" customHeight="1" spans="2:12">
      <c r="B69" s="24"/>
      <c r="C69" s="100" t="s">
        <v>23</v>
      </c>
      <c r="D69" s="23">
        <f t="shared" ref="D69:L69" si="9">SUM(D64:D68)</f>
        <v>550</v>
      </c>
      <c r="E69" s="63">
        <f t="shared" si="9"/>
        <v>27.6470588235294</v>
      </c>
      <c r="F69" s="63">
        <f t="shared" si="9"/>
        <v>22.7411764705882</v>
      </c>
      <c r="G69" s="63">
        <f t="shared" si="9"/>
        <v>70.33</v>
      </c>
      <c r="H69" s="63">
        <f t="shared" si="9"/>
        <v>588.088235294118</v>
      </c>
      <c r="I69" s="63">
        <f t="shared" si="9"/>
        <v>14.6352941176471</v>
      </c>
      <c r="J69" s="63">
        <f t="shared" si="9"/>
        <v>175.117647058824</v>
      </c>
      <c r="K69" s="63">
        <f t="shared" si="9"/>
        <v>95.5882352941177</v>
      </c>
      <c r="L69" s="63">
        <f t="shared" si="9"/>
        <v>9.91764705882353</v>
      </c>
    </row>
    <row r="70" ht="25.5" customHeight="1" spans="2:12">
      <c r="B70" s="101" t="s">
        <v>24</v>
      </c>
      <c r="C70" s="25"/>
      <c r="D70" s="102"/>
      <c r="E70" s="113"/>
      <c r="F70" s="113"/>
      <c r="G70" s="113"/>
      <c r="H70" s="113"/>
      <c r="I70" s="113"/>
      <c r="J70" s="113"/>
      <c r="K70" s="121"/>
      <c r="L70" s="122"/>
    </row>
    <row r="71" ht="27" customHeight="1" spans="2:12">
      <c r="B71" s="27" t="s">
        <v>40</v>
      </c>
      <c r="C71" s="28" t="s">
        <v>41</v>
      </c>
      <c r="D71" s="29">
        <v>100</v>
      </c>
      <c r="E71" s="61">
        <v>0.7</v>
      </c>
      <c r="F71" s="61">
        <v>0.1</v>
      </c>
      <c r="G71" s="61">
        <v>1.9</v>
      </c>
      <c r="H71" s="61">
        <v>11</v>
      </c>
      <c r="I71" s="61">
        <v>10</v>
      </c>
      <c r="J71" s="66">
        <v>23</v>
      </c>
      <c r="K71" s="98">
        <v>14</v>
      </c>
      <c r="L71" s="66">
        <v>0.9</v>
      </c>
    </row>
    <row r="72" ht="27" customHeight="1" spans="2:12">
      <c r="B72" s="103" t="s">
        <v>68</v>
      </c>
      <c r="C72" s="15" t="s">
        <v>69</v>
      </c>
      <c r="D72" s="16">
        <v>250</v>
      </c>
      <c r="E72" s="114">
        <f>2.45*252/200</f>
        <v>3.087</v>
      </c>
      <c r="F72" s="114">
        <f>2.8*2502/200</f>
        <v>35.028</v>
      </c>
      <c r="G72" s="114">
        <f>28.81*2502/200</f>
        <v>360.4131</v>
      </c>
      <c r="H72" s="114">
        <f>143.75*250/200</f>
        <v>179.6875</v>
      </c>
      <c r="I72" s="115">
        <f>80*252/200</f>
        <v>100.8</v>
      </c>
      <c r="J72" s="123">
        <f>128.79*250/200</f>
        <v>160.9875</v>
      </c>
      <c r="K72" s="124">
        <f>51.6*250/200</f>
        <v>64.5</v>
      </c>
      <c r="L72" s="125">
        <f>1.24*250/200</f>
        <v>1.55</v>
      </c>
    </row>
    <row r="73" ht="27.75" customHeight="1" spans="2:12">
      <c r="B73" s="30" t="s">
        <v>70</v>
      </c>
      <c r="C73" s="20" t="s">
        <v>71</v>
      </c>
      <c r="D73" s="31">
        <v>100</v>
      </c>
      <c r="E73" s="115">
        <v>17.3</v>
      </c>
      <c r="F73" s="67">
        <v>13.58</v>
      </c>
      <c r="G73" s="67">
        <v>11.8</v>
      </c>
      <c r="H73" s="67">
        <v>222</v>
      </c>
      <c r="I73" s="67">
        <v>8.1</v>
      </c>
      <c r="J73" s="92">
        <v>14</v>
      </c>
      <c r="K73" s="81">
        <v>20</v>
      </c>
      <c r="L73" s="66">
        <v>5.7</v>
      </c>
    </row>
    <row r="74" ht="27.75" customHeight="1" spans="2:12">
      <c r="B74" s="14" t="s">
        <v>57</v>
      </c>
      <c r="C74" s="15" t="s">
        <v>58</v>
      </c>
      <c r="D74" s="16">
        <v>180</v>
      </c>
      <c r="E74" s="61">
        <v>3.9</v>
      </c>
      <c r="F74" s="61">
        <v>3.456</v>
      </c>
      <c r="G74" s="61">
        <v>34.788</v>
      </c>
      <c r="H74" s="61">
        <v>227.472</v>
      </c>
      <c r="I74" s="67">
        <v>31.14</v>
      </c>
      <c r="J74" s="86">
        <v>174.708</v>
      </c>
      <c r="K74" s="126">
        <v>39.588</v>
      </c>
      <c r="L74" s="67">
        <v>1.464</v>
      </c>
    </row>
    <row r="75" ht="27.75" customHeight="1" spans="2:12">
      <c r="B75" s="14" t="s">
        <v>17</v>
      </c>
      <c r="C75" s="15" t="s">
        <v>18</v>
      </c>
      <c r="D75" s="16">
        <v>60</v>
      </c>
      <c r="E75" s="61">
        <v>4.56</v>
      </c>
      <c r="F75" s="61">
        <v>0.48</v>
      </c>
      <c r="G75" s="61">
        <v>29.48</v>
      </c>
      <c r="H75" s="61">
        <v>141</v>
      </c>
      <c r="I75" s="67">
        <v>0</v>
      </c>
      <c r="J75" s="86">
        <v>13.8</v>
      </c>
      <c r="K75" s="87">
        <v>19.8</v>
      </c>
      <c r="L75" s="67">
        <v>1.14666666666667</v>
      </c>
    </row>
    <row r="76" ht="27.75" customHeight="1" spans="2:12">
      <c r="B76" s="17" t="s">
        <v>35</v>
      </c>
      <c r="C76" s="20" t="s">
        <v>36</v>
      </c>
      <c r="D76" s="31">
        <v>40</v>
      </c>
      <c r="E76" s="67">
        <v>2.64</v>
      </c>
      <c r="F76" s="67">
        <v>4.8</v>
      </c>
      <c r="G76" s="67">
        <v>13.36</v>
      </c>
      <c r="H76" s="61">
        <v>69.6</v>
      </c>
      <c r="I76" s="66">
        <v>0</v>
      </c>
      <c r="J76" s="83">
        <v>13.2</v>
      </c>
      <c r="K76" s="84">
        <v>22.8</v>
      </c>
      <c r="L76" s="66">
        <v>1.808</v>
      </c>
    </row>
    <row r="77" ht="28.5" customHeight="1" spans="2:12">
      <c r="B77" s="14" t="s">
        <v>52</v>
      </c>
      <c r="C77" s="15" t="s">
        <v>53</v>
      </c>
      <c r="D77" s="16">
        <v>180</v>
      </c>
      <c r="E77" s="61">
        <v>1.04</v>
      </c>
      <c r="F77" s="61">
        <v>0.27</v>
      </c>
      <c r="G77" s="61">
        <v>42.53</v>
      </c>
      <c r="H77" s="61">
        <v>176.74</v>
      </c>
      <c r="I77" s="84">
        <v>0.72</v>
      </c>
      <c r="J77" s="13">
        <v>5.26</v>
      </c>
      <c r="K77" s="84">
        <v>30.03</v>
      </c>
      <c r="L77" s="84">
        <v>0.86</v>
      </c>
    </row>
    <row r="78" ht="28.5" customHeight="1" spans="2:12">
      <c r="B78" s="14" t="s">
        <v>21</v>
      </c>
      <c r="C78" s="15" t="s">
        <v>22</v>
      </c>
      <c r="D78" s="16">
        <v>100</v>
      </c>
      <c r="E78" s="61">
        <v>0.4</v>
      </c>
      <c r="F78" s="61">
        <v>0.4</v>
      </c>
      <c r="G78" s="61">
        <v>9.8</v>
      </c>
      <c r="H78" s="61">
        <v>47</v>
      </c>
      <c r="I78" s="84">
        <v>10</v>
      </c>
      <c r="J78" s="98">
        <v>16</v>
      </c>
      <c r="K78" s="87">
        <v>9</v>
      </c>
      <c r="L78" s="85">
        <v>2.2</v>
      </c>
    </row>
    <row r="79" ht="32.25" customHeight="1" spans="2:12">
      <c r="B79" s="30"/>
      <c r="C79" s="46" t="s">
        <v>37</v>
      </c>
      <c r="D79" s="47">
        <f>SUM(D71:D78)</f>
        <v>1010</v>
      </c>
      <c r="E79" s="116">
        <f>SUM(E71:E78)</f>
        <v>33.627</v>
      </c>
      <c r="F79" s="116">
        <f t="shared" ref="F79:L79" si="10">SUM(F71:F78)</f>
        <v>58.114</v>
      </c>
      <c r="G79" s="116">
        <f t="shared" si="10"/>
        <v>504.0711</v>
      </c>
      <c r="H79" s="116">
        <f t="shared" si="10"/>
        <v>1074.4995</v>
      </c>
      <c r="I79" s="116">
        <f t="shared" si="10"/>
        <v>160.76</v>
      </c>
      <c r="J79" s="116">
        <f t="shared" si="10"/>
        <v>420.9555</v>
      </c>
      <c r="K79" s="116">
        <f t="shared" si="10"/>
        <v>219.718</v>
      </c>
      <c r="L79" s="116">
        <f t="shared" si="10"/>
        <v>15.6286666666667</v>
      </c>
    </row>
    <row r="80" ht="32.25" customHeight="1" spans="2:12">
      <c r="B80" s="17"/>
      <c r="C80" s="22" t="s">
        <v>38</v>
      </c>
      <c r="D80" s="33">
        <f t="shared" ref="D80:L80" si="11">D79+D69</f>
        <v>1560</v>
      </c>
      <c r="E80" s="68">
        <f t="shared" si="11"/>
        <v>61.2740588235294</v>
      </c>
      <c r="F80" s="68">
        <f t="shared" si="11"/>
        <v>80.8551764705882</v>
      </c>
      <c r="G80" s="68">
        <f t="shared" si="11"/>
        <v>574.4011</v>
      </c>
      <c r="H80" s="68">
        <f t="shared" si="11"/>
        <v>1662.58773529412</v>
      </c>
      <c r="I80" s="68">
        <f t="shared" si="11"/>
        <v>175.395294117647</v>
      </c>
      <c r="J80" s="68">
        <f t="shared" si="11"/>
        <v>596.073147058823</v>
      </c>
      <c r="K80" s="68">
        <f t="shared" si="11"/>
        <v>315.306235294118</v>
      </c>
      <c r="L80" s="64">
        <f t="shared" si="11"/>
        <v>25.5463137254902</v>
      </c>
    </row>
    <row r="81" ht="37.9" customHeight="1" spans="2:12">
      <c r="B81" s="37" t="s">
        <v>72</v>
      </c>
      <c r="C81" s="38"/>
      <c r="D81" s="38"/>
      <c r="E81" s="38"/>
      <c r="F81" s="38"/>
      <c r="G81" s="38"/>
      <c r="H81" s="38"/>
      <c r="I81" s="38"/>
      <c r="J81" s="38"/>
      <c r="K81" s="38"/>
      <c r="L81" s="91"/>
    </row>
    <row r="82" ht="24.75" customHeight="1" spans="2:12">
      <c r="B82" s="39" t="s">
        <v>2</v>
      </c>
      <c r="C82" s="9" t="s">
        <v>3</v>
      </c>
      <c r="D82" s="9" t="s">
        <v>4</v>
      </c>
      <c r="E82" s="57" t="s">
        <v>5</v>
      </c>
      <c r="F82" s="58"/>
      <c r="G82" s="58"/>
      <c r="H82" s="59"/>
      <c r="I82" s="76" t="s">
        <v>6</v>
      </c>
      <c r="J82" s="77" t="s">
        <v>7</v>
      </c>
      <c r="K82" s="77" t="s">
        <v>8</v>
      </c>
      <c r="L82" s="77" t="s">
        <v>9</v>
      </c>
    </row>
    <row r="83" ht="45.75" customHeight="1" spans="2:12">
      <c r="B83" s="40"/>
      <c r="C83" s="10"/>
      <c r="D83" s="10"/>
      <c r="E83" s="60" t="s">
        <v>10</v>
      </c>
      <c r="F83" s="60" t="s">
        <v>11</v>
      </c>
      <c r="G83" s="60" t="s">
        <v>12</v>
      </c>
      <c r="H83" s="60" t="s">
        <v>13</v>
      </c>
      <c r="I83" s="78"/>
      <c r="J83" s="79"/>
      <c r="K83" s="79"/>
      <c r="L83" s="79"/>
    </row>
    <row r="84" ht="25.5" customHeight="1" spans="2:12">
      <c r="B84" s="24" t="s">
        <v>14</v>
      </c>
      <c r="C84" s="25"/>
      <c r="D84" s="25"/>
      <c r="E84" s="25"/>
      <c r="F84" s="25"/>
      <c r="G84" s="25"/>
      <c r="H84" s="25"/>
      <c r="I84" s="25"/>
      <c r="J84" s="25"/>
      <c r="K84" s="25"/>
      <c r="L84" s="82"/>
    </row>
    <row r="85" ht="27.75" customHeight="1" spans="2:12">
      <c r="B85" s="14" t="s">
        <v>73</v>
      </c>
      <c r="C85" s="28" t="s">
        <v>74</v>
      </c>
      <c r="D85" s="29">
        <v>270</v>
      </c>
      <c r="E85" s="61">
        <f>15.8*270/250</f>
        <v>17.064</v>
      </c>
      <c r="F85" s="61">
        <f>11.8*270/250</f>
        <v>12.744</v>
      </c>
      <c r="G85" s="61">
        <f>43.56*270/250</f>
        <v>47.0448</v>
      </c>
      <c r="H85" s="61">
        <f>315.29*270/250</f>
        <v>340.5132</v>
      </c>
      <c r="I85" s="61">
        <f>1.62*270/250</f>
        <v>1.7496</v>
      </c>
      <c r="J85" s="61">
        <f>158.62*270/250</f>
        <v>171.3096</v>
      </c>
      <c r="K85" s="87">
        <f>45.44*270/250</f>
        <v>49.0752</v>
      </c>
      <c r="L85" s="67">
        <f>0.73*270/250</f>
        <v>0.7884</v>
      </c>
    </row>
    <row r="86" ht="26.25" customHeight="1" spans="2:12">
      <c r="B86" s="17" t="s">
        <v>75</v>
      </c>
      <c r="C86" s="18" t="s">
        <v>76</v>
      </c>
      <c r="D86" s="19">
        <v>10</v>
      </c>
      <c r="E86" s="62">
        <v>0.05</v>
      </c>
      <c r="F86" s="62">
        <v>8.25</v>
      </c>
      <c r="G86" s="62">
        <v>0.08</v>
      </c>
      <c r="H86" s="62">
        <v>74.8</v>
      </c>
      <c r="I86" s="62">
        <v>0</v>
      </c>
      <c r="J86" s="62">
        <v>2.4</v>
      </c>
      <c r="K86" s="81">
        <v>0.05</v>
      </c>
      <c r="L86" s="66">
        <v>0.02</v>
      </c>
    </row>
    <row r="87" ht="27" customHeight="1" spans="2:12">
      <c r="B87" s="17" t="s">
        <v>77</v>
      </c>
      <c r="C87" s="15" t="s">
        <v>78</v>
      </c>
      <c r="D87" s="19">
        <v>40</v>
      </c>
      <c r="E87" s="61">
        <f>7.7*40/100</f>
        <v>3.08</v>
      </c>
      <c r="F87" s="61">
        <f>3*40/100</f>
        <v>1.2</v>
      </c>
      <c r="G87" s="61">
        <f>50.1*40/100</f>
        <v>20.04</v>
      </c>
      <c r="H87" s="61">
        <f>259*40/100</f>
        <v>103.6</v>
      </c>
      <c r="I87" s="61">
        <v>0</v>
      </c>
      <c r="J87" s="61">
        <f>22*40/100</f>
        <v>8.8</v>
      </c>
      <c r="K87" s="84">
        <f>33*40/100</f>
        <v>13.2</v>
      </c>
      <c r="L87" s="66">
        <f>2*40/100</f>
        <v>0.8</v>
      </c>
    </row>
    <row r="88" ht="27" customHeight="1" spans="2:12">
      <c r="B88" s="17" t="s">
        <v>35</v>
      </c>
      <c r="C88" s="15" t="s">
        <v>36</v>
      </c>
      <c r="D88" s="19">
        <v>40</v>
      </c>
      <c r="E88" s="61">
        <v>2.64</v>
      </c>
      <c r="F88" s="61">
        <v>4.8</v>
      </c>
      <c r="G88" s="61">
        <v>13.36</v>
      </c>
      <c r="H88" s="61">
        <v>69.6</v>
      </c>
      <c r="I88" s="61">
        <v>0</v>
      </c>
      <c r="J88" s="61">
        <v>13.2</v>
      </c>
      <c r="K88" s="84">
        <v>22.8</v>
      </c>
      <c r="L88" s="66">
        <v>1.808</v>
      </c>
    </row>
    <row r="89" ht="27.75" customHeight="1" spans="2:12">
      <c r="B89" s="104" t="s">
        <v>79</v>
      </c>
      <c r="C89" s="105" t="s">
        <v>80</v>
      </c>
      <c r="D89" s="106">
        <v>200</v>
      </c>
      <c r="E89" s="117">
        <v>0</v>
      </c>
      <c r="F89" s="117">
        <v>0</v>
      </c>
      <c r="G89" s="117">
        <v>6.986</v>
      </c>
      <c r="H89" s="117">
        <v>27.93</v>
      </c>
      <c r="I89" s="117">
        <v>0.05</v>
      </c>
      <c r="J89" s="117">
        <v>2.69</v>
      </c>
      <c r="K89" s="84">
        <v>2.2</v>
      </c>
      <c r="L89" s="127">
        <v>0.43</v>
      </c>
    </row>
    <row r="90" ht="30" customHeight="1" spans="2:12">
      <c r="B90" s="107"/>
      <c r="C90" s="100" t="s">
        <v>23</v>
      </c>
      <c r="D90" s="23">
        <f t="shared" ref="D90:L90" si="12">SUM(D85:D89)</f>
        <v>560</v>
      </c>
      <c r="E90" s="63">
        <f t="shared" si="12"/>
        <v>22.834</v>
      </c>
      <c r="F90" s="63">
        <f t="shared" si="12"/>
        <v>26.994</v>
      </c>
      <c r="G90" s="63">
        <f t="shared" si="12"/>
        <v>87.5108</v>
      </c>
      <c r="H90" s="63">
        <f t="shared" si="12"/>
        <v>616.4432</v>
      </c>
      <c r="I90" s="63">
        <f t="shared" si="12"/>
        <v>1.7996</v>
      </c>
      <c r="J90" s="63">
        <f t="shared" si="12"/>
        <v>198.3996</v>
      </c>
      <c r="K90" s="63">
        <f t="shared" si="12"/>
        <v>87.3252</v>
      </c>
      <c r="L90" s="63">
        <f t="shared" si="12"/>
        <v>3.8464</v>
      </c>
    </row>
    <row r="91" ht="25.5" customHeight="1" spans="2:12">
      <c r="B91" s="24" t="s">
        <v>24</v>
      </c>
      <c r="C91" s="25"/>
      <c r="D91" s="26"/>
      <c r="E91" s="25"/>
      <c r="F91" s="25"/>
      <c r="G91" s="25"/>
      <c r="H91" s="25"/>
      <c r="I91" s="25"/>
      <c r="J91" s="25"/>
      <c r="K91" s="25"/>
      <c r="L91" s="82"/>
    </row>
    <row r="92" ht="30.75" customHeight="1" spans="2:12">
      <c r="B92" s="103" t="s">
        <v>81</v>
      </c>
      <c r="C92" s="108" t="s">
        <v>82</v>
      </c>
      <c r="D92" s="31">
        <v>100</v>
      </c>
      <c r="E92" s="67">
        <f>0.96*100/60</f>
        <v>1.6</v>
      </c>
      <c r="F92" s="67">
        <f>3.78*100/60</f>
        <v>6.3</v>
      </c>
      <c r="G92" s="67">
        <f>4.44*100/60</f>
        <v>7.4</v>
      </c>
      <c r="H92" s="67">
        <f>54.48*100/60</f>
        <v>90.8</v>
      </c>
      <c r="I92" s="67">
        <f>10.2*100/60</f>
        <v>17</v>
      </c>
      <c r="J92" s="92">
        <f>12.6*100/60</f>
        <v>21</v>
      </c>
      <c r="K92" s="81">
        <f>3.12*100/60</f>
        <v>5.2</v>
      </c>
      <c r="L92" s="66">
        <f>0.06*100/60</f>
        <v>0.1</v>
      </c>
    </row>
    <row r="93" ht="30" customHeight="1" spans="2:12">
      <c r="B93" s="14" t="s">
        <v>83</v>
      </c>
      <c r="C93" s="15" t="s">
        <v>84</v>
      </c>
      <c r="D93" s="16">
        <v>250</v>
      </c>
      <c r="E93" s="61">
        <f>1.98*250/200</f>
        <v>2.475</v>
      </c>
      <c r="F93" s="61">
        <f>3.51*250/200</f>
        <v>4.3875</v>
      </c>
      <c r="G93" s="61">
        <f>13.74*250/200</f>
        <v>17.175</v>
      </c>
      <c r="H93" s="61">
        <f>95.14*250/200</f>
        <v>118.925</v>
      </c>
      <c r="I93" s="67">
        <f>13.42*250/200</f>
        <v>16.775</v>
      </c>
      <c r="J93" s="86">
        <f>20.31*250/200</f>
        <v>25.3875</v>
      </c>
      <c r="K93" s="81">
        <f>21.25*250/200</f>
        <v>26.5625</v>
      </c>
      <c r="L93" s="66">
        <f>0.8*250/200</f>
        <v>1</v>
      </c>
    </row>
    <row r="94" ht="30.75" customHeight="1" spans="2:12">
      <c r="B94" s="14" t="s">
        <v>85</v>
      </c>
      <c r="C94" s="15" t="s">
        <v>86</v>
      </c>
      <c r="D94" s="16">
        <v>250</v>
      </c>
      <c r="E94" s="61">
        <f>17.07*250/200</f>
        <v>21.3375</v>
      </c>
      <c r="F94" s="61">
        <f>19.82*250/200</f>
        <v>24.775</v>
      </c>
      <c r="G94" s="61">
        <f>31.43*250/200</f>
        <v>39.2875</v>
      </c>
      <c r="H94" s="61">
        <f>372.22*250/200</f>
        <v>465.275</v>
      </c>
      <c r="I94" s="67">
        <f>17.13*250/200</f>
        <v>21.4125</v>
      </c>
      <c r="J94" s="86">
        <f>141.36*250/200</f>
        <v>176.7</v>
      </c>
      <c r="K94" s="81">
        <f>51.09*250/200</f>
        <v>63.8625</v>
      </c>
      <c r="L94" s="66">
        <f>1.48*250/200</f>
        <v>1.85</v>
      </c>
    </row>
    <row r="95" ht="31.5" customHeight="1" spans="2:12">
      <c r="B95" s="14" t="s">
        <v>17</v>
      </c>
      <c r="C95" s="15" t="s">
        <v>18</v>
      </c>
      <c r="D95" s="16">
        <v>60</v>
      </c>
      <c r="E95" s="61">
        <v>4.56</v>
      </c>
      <c r="F95" s="61">
        <v>0.48</v>
      </c>
      <c r="G95" s="61">
        <v>29.48</v>
      </c>
      <c r="H95" s="61">
        <v>141</v>
      </c>
      <c r="I95" s="67">
        <v>0</v>
      </c>
      <c r="J95" s="86">
        <v>13.8</v>
      </c>
      <c r="K95" s="84">
        <v>19.8</v>
      </c>
      <c r="L95" s="66">
        <v>1.14666666666667</v>
      </c>
    </row>
    <row r="96" ht="31.5" customHeight="1" spans="2:12">
      <c r="B96" s="17" t="s">
        <v>35</v>
      </c>
      <c r="C96" s="41" t="s">
        <v>36</v>
      </c>
      <c r="D96" s="19">
        <v>40</v>
      </c>
      <c r="E96" s="62">
        <v>2.64</v>
      </c>
      <c r="F96" s="62">
        <v>4.8</v>
      </c>
      <c r="G96" s="62">
        <v>13.36</v>
      </c>
      <c r="H96" s="62">
        <v>69.6</v>
      </c>
      <c r="I96" s="66">
        <v>0</v>
      </c>
      <c r="J96" s="83">
        <v>13.2</v>
      </c>
      <c r="K96" s="84">
        <v>22.8</v>
      </c>
      <c r="L96" s="66">
        <v>1.808</v>
      </c>
    </row>
    <row r="97" ht="30.75" customHeight="1" spans="2:12">
      <c r="B97" s="17" t="s">
        <v>33</v>
      </c>
      <c r="C97" s="20" t="s">
        <v>34</v>
      </c>
      <c r="D97" s="31">
        <v>180</v>
      </c>
      <c r="E97" s="67">
        <v>0.9</v>
      </c>
      <c r="F97" s="67">
        <v>0.18</v>
      </c>
      <c r="G97" s="67">
        <v>18.18</v>
      </c>
      <c r="H97" s="61">
        <v>82.8</v>
      </c>
      <c r="I97" s="66">
        <v>3.6</v>
      </c>
      <c r="J97" s="83">
        <v>12.6</v>
      </c>
      <c r="K97" s="84">
        <v>7.2</v>
      </c>
      <c r="L97" s="66">
        <v>2.52</v>
      </c>
    </row>
    <row r="98" ht="31.15" customHeight="1" spans="2:12">
      <c r="B98" s="109"/>
      <c r="C98" s="55" t="s">
        <v>37</v>
      </c>
      <c r="D98" s="56">
        <f t="shared" ref="D98:L98" si="13">SUM(D92:D97)</f>
        <v>880</v>
      </c>
      <c r="E98" s="118">
        <f t="shared" si="13"/>
        <v>33.5125</v>
      </c>
      <c r="F98" s="118">
        <f t="shared" si="13"/>
        <v>40.9225</v>
      </c>
      <c r="G98" s="118">
        <f t="shared" si="13"/>
        <v>124.8825</v>
      </c>
      <c r="H98" s="118">
        <f t="shared" si="13"/>
        <v>968.4</v>
      </c>
      <c r="I98" s="118">
        <f t="shared" si="13"/>
        <v>58.7875</v>
      </c>
      <c r="J98" s="118">
        <f t="shared" si="13"/>
        <v>262.6875</v>
      </c>
      <c r="K98" s="118">
        <f t="shared" si="13"/>
        <v>145.425</v>
      </c>
      <c r="L98" s="116">
        <f t="shared" si="13"/>
        <v>8.42466666666667</v>
      </c>
    </row>
    <row r="99" ht="31.9" customHeight="1" spans="2:12">
      <c r="B99" s="109"/>
      <c r="C99" s="55" t="s">
        <v>38</v>
      </c>
      <c r="D99" s="56">
        <f t="shared" ref="D99:L99" si="14">D98+D90</f>
        <v>1440</v>
      </c>
      <c r="E99" s="118">
        <f t="shared" si="14"/>
        <v>56.3465</v>
      </c>
      <c r="F99" s="118">
        <f t="shared" si="14"/>
        <v>67.9165</v>
      </c>
      <c r="G99" s="118">
        <f t="shared" si="14"/>
        <v>212.3933</v>
      </c>
      <c r="H99" s="118">
        <f t="shared" si="14"/>
        <v>1584.8432</v>
      </c>
      <c r="I99" s="118">
        <f t="shared" si="14"/>
        <v>60.5871</v>
      </c>
      <c r="J99" s="118">
        <f t="shared" si="14"/>
        <v>461.0871</v>
      </c>
      <c r="K99" s="118">
        <f t="shared" si="14"/>
        <v>232.7502</v>
      </c>
      <c r="L99" s="64">
        <f t="shared" si="14"/>
        <v>12.2710666666667</v>
      </c>
    </row>
    <row r="100" ht="34.5" customHeight="1" spans="2:12">
      <c r="B100" s="37" t="s">
        <v>87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91"/>
    </row>
    <row r="101" ht="21.75" customHeight="1" spans="2:12">
      <c r="B101" s="39" t="s">
        <v>2</v>
      </c>
      <c r="C101" s="9" t="s">
        <v>3</v>
      </c>
      <c r="D101" s="9" t="s">
        <v>4</v>
      </c>
      <c r="E101" s="57" t="s">
        <v>5</v>
      </c>
      <c r="F101" s="58"/>
      <c r="G101" s="58"/>
      <c r="H101" s="59"/>
      <c r="I101" s="76" t="s">
        <v>6</v>
      </c>
      <c r="J101" s="77" t="s">
        <v>7</v>
      </c>
      <c r="K101" s="77" t="s">
        <v>8</v>
      </c>
      <c r="L101" s="77" t="s">
        <v>9</v>
      </c>
    </row>
    <row r="102" ht="43.5" customHeight="1" spans="2:12">
      <c r="B102" s="40"/>
      <c r="C102" s="10"/>
      <c r="D102" s="10"/>
      <c r="E102" s="60" t="s">
        <v>10</v>
      </c>
      <c r="F102" s="60" t="s">
        <v>11</v>
      </c>
      <c r="G102" s="60" t="s">
        <v>12</v>
      </c>
      <c r="H102" s="60" t="s">
        <v>13</v>
      </c>
      <c r="I102" s="78"/>
      <c r="J102" s="79"/>
      <c r="K102" s="79"/>
      <c r="L102" s="79"/>
    </row>
    <row r="103" ht="28.5" customHeight="1" spans="2:12">
      <c r="B103" s="24" t="s">
        <v>14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82"/>
    </row>
    <row r="104" ht="29.45" customHeight="1" spans="2:12">
      <c r="B104" s="17" t="s">
        <v>88</v>
      </c>
      <c r="C104" s="18" t="s">
        <v>89</v>
      </c>
      <c r="D104" s="19">
        <v>50</v>
      </c>
      <c r="E104" s="62">
        <f>1.24*50/40</f>
        <v>1.55</v>
      </c>
      <c r="F104" s="62">
        <f>0.08*50/40</f>
        <v>0.1</v>
      </c>
      <c r="G104" s="62">
        <f>2.6*50/40</f>
        <v>3.25</v>
      </c>
      <c r="H104" s="62">
        <f>16*50/40</f>
        <v>20</v>
      </c>
      <c r="I104" s="62">
        <f>3.12*50/40</f>
        <v>3.9</v>
      </c>
      <c r="J104" s="66">
        <f>8*50/40</f>
        <v>10</v>
      </c>
      <c r="K104" s="13">
        <f>5.71*50/40</f>
        <v>7.1375</v>
      </c>
      <c r="L104" s="66">
        <f>0.27*50/40</f>
        <v>0.3375</v>
      </c>
    </row>
    <row r="105" ht="30" customHeight="1" spans="2:12">
      <c r="B105" s="17" t="s">
        <v>90</v>
      </c>
      <c r="C105" s="28" t="s">
        <v>91</v>
      </c>
      <c r="D105" s="19">
        <v>200</v>
      </c>
      <c r="E105" s="62">
        <f>10.21*200/150</f>
        <v>13.6133333333333</v>
      </c>
      <c r="F105" s="62">
        <f>11.9*200/150</f>
        <v>15.8666666666667</v>
      </c>
      <c r="G105" s="62">
        <f>1.92*200/150</f>
        <v>2.56</v>
      </c>
      <c r="H105" s="62">
        <f>161.88*200/150</f>
        <v>215.84</v>
      </c>
      <c r="I105" s="62">
        <f>0.43*200/150</f>
        <v>0.573333333333333</v>
      </c>
      <c r="J105" s="62">
        <f>86.51*200/150</f>
        <v>115.346666666667</v>
      </c>
      <c r="K105" s="81">
        <f>14.59*200/150</f>
        <v>19.4533333333333</v>
      </c>
      <c r="L105" s="66">
        <f>2.1*200/150</f>
        <v>2.8</v>
      </c>
    </row>
    <row r="106" ht="28.9" customHeight="1" spans="2:12">
      <c r="B106" s="17" t="s">
        <v>75</v>
      </c>
      <c r="C106" s="18" t="s">
        <v>76</v>
      </c>
      <c r="D106" s="19">
        <v>10</v>
      </c>
      <c r="E106" s="62">
        <v>0.05</v>
      </c>
      <c r="F106" s="62">
        <v>8.25</v>
      </c>
      <c r="G106" s="62">
        <v>0.08</v>
      </c>
      <c r="H106" s="62">
        <v>74.8</v>
      </c>
      <c r="I106" s="62">
        <v>0</v>
      </c>
      <c r="J106" s="62">
        <v>2.4</v>
      </c>
      <c r="K106" s="81">
        <v>0.05</v>
      </c>
      <c r="L106" s="66">
        <v>0.02</v>
      </c>
    </row>
    <row r="107" ht="30" customHeight="1" spans="2:12">
      <c r="B107" s="17" t="s">
        <v>77</v>
      </c>
      <c r="C107" s="41" t="s">
        <v>78</v>
      </c>
      <c r="D107" s="19">
        <v>50</v>
      </c>
      <c r="E107" s="62">
        <f>3.08*50/40</f>
        <v>3.85</v>
      </c>
      <c r="F107" s="62">
        <f>1.2*50/40</f>
        <v>1.5</v>
      </c>
      <c r="G107" s="62">
        <f>20.04*50/40</f>
        <v>25.05</v>
      </c>
      <c r="H107" s="62">
        <f>103.6*50/40</f>
        <v>129.5</v>
      </c>
      <c r="I107" s="62">
        <v>0</v>
      </c>
      <c r="J107" s="62">
        <f>8.8*50/40</f>
        <v>11</v>
      </c>
      <c r="K107" s="81">
        <f>13.2*50/40</f>
        <v>16.5</v>
      </c>
      <c r="L107" s="66">
        <f>0.8*50/40</f>
        <v>1</v>
      </c>
    </row>
    <row r="108" ht="28.9" customHeight="1" spans="2:12">
      <c r="B108" s="14" t="s">
        <v>35</v>
      </c>
      <c r="C108" s="15" t="s">
        <v>36</v>
      </c>
      <c r="D108" s="16">
        <v>50</v>
      </c>
      <c r="E108" s="61">
        <v>3.3</v>
      </c>
      <c r="F108" s="61">
        <v>0.6</v>
      </c>
      <c r="G108" s="61">
        <v>16.7</v>
      </c>
      <c r="H108" s="61">
        <v>87</v>
      </c>
      <c r="I108" s="67">
        <v>0</v>
      </c>
      <c r="J108" s="86">
        <v>16.5</v>
      </c>
      <c r="K108" s="87">
        <v>28.5</v>
      </c>
      <c r="L108" s="67">
        <v>2.25</v>
      </c>
    </row>
    <row r="109" ht="30.6" customHeight="1" spans="2:12">
      <c r="B109" s="17" t="s">
        <v>52</v>
      </c>
      <c r="C109" s="41" t="s">
        <v>53</v>
      </c>
      <c r="D109" s="19">
        <v>200</v>
      </c>
      <c r="E109" s="62">
        <f>1.04*200/180</f>
        <v>1.15555555555556</v>
      </c>
      <c r="F109" s="62">
        <f>0.27*200/180</f>
        <v>0.3</v>
      </c>
      <c r="G109" s="62">
        <f>42.53*200/180</f>
        <v>47.2555555555556</v>
      </c>
      <c r="H109" s="62">
        <f>176.74*200/180</f>
        <v>196.377777777778</v>
      </c>
      <c r="I109" s="62">
        <f>0.72*200/180</f>
        <v>0.8</v>
      </c>
      <c r="J109" s="62">
        <f>5.26*200/180</f>
        <v>5.84444444444444</v>
      </c>
      <c r="K109" s="84">
        <f>30.03*200/180</f>
        <v>33.3666666666667</v>
      </c>
      <c r="L109" s="66">
        <f>0.86*200/180</f>
        <v>0.955555555555556</v>
      </c>
    </row>
    <row r="110" ht="31.5" customHeight="1" spans="2:12">
      <c r="B110" s="110"/>
      <c r="C110" s="111" t="s">
        <v>23</v>
      </c>
      <c r="D110" s="23">
        <f t="shared" ref="D110:L110" si="15">SUM(D104:D109)</f>
        <v>560</v>
      </c>
      <c r="E110" s="64">
        <f t="shared" si="15"/>
        <v>23.5188888888889</v>
      </c>
      <c r="F110" s="64">
        <f t="shared" si="15"/>
        <v>26.6166666666667</v>
      </c>
      <c r="G110" s="64">
        <f t="shared" si="15"/>
        <v>94.8955555555555</v>
      </c>
      <c r="H110" s="64">
        <f t="shared" si="15"/>
        <v>723.517777777778</v>
      </c>
      <c r="I110" s="64">
        <f t="shared" si="15"/>
        <v>5.27333333333333</v>
      </c>
      <c r="J110" s="64">
        <f t="shared" si="15"/>
        <v>161.091111111111</v>
      </c>
      <c r="K110" s="64">
        <f t="shared" si="15"/>
        <v>105.0075</v>
      </c>
      <c r="L110" s="64">
        <f t="shared" si="15"/>
        <v>7.36305555555556</v>
      </c>
    </row>
    <row r="111" ht="28.5" customHeight="1" spans="2:12">
      <c r="B111" s="24" t="s">
        <v>24</v>
      </c>
      <c r="C111" s="25"/>
      <c r="D111" s="26"/>
      <c r="E111" s="25"/>
      <c r="F111" s="25"/>
      <c r="G111" s="25"/>
      <c r="H111" s="25"/>
      <c r="I111" s="25"/>
      <c r="J111" s="25"/>
      <c r="K111" s="25"/>
      <c r="L111" s="82"/>
    </row>
    <row r="112" ht="27" customHeight="1" spans="2:12">
      <c r="B112" s="43" t="s">
        <v>40</v>
      </c>
      <c r="C112" s="44" t="s">
        <v>41</v>
      </c>
      <c r="D112" s="16">
        <v>100</v>
      </c>
      <c r="E112" s="65">
        <v>0.7</v>
      </c>
      <c r="F112" s="65">
        <v>0.1</v>
      </c>
      <c r="G112" s="65">
        <v>1.9</v>
      </c>
      <c r="H112" s="65">
        <v>11</v>
      </c>
      <c r="I112" s="67">
        <v>10</v>
      </c>
      <c r="J112" s="92">
        <v>23</v>
      </c>
      <c r="K112" s="87">
        <v>14</v>
      </c>
      <c r="L112" s="67">
        <v>0.9</v>
      </c>
    </row>
    <row r="113" ht="27.75" customHeight="1" spans="2:12">
      <c r="B113" s="14" t="s">
        <v>92</v>
      </c>
      <c r="C113" s="15" t="s">
        <v>93</v>
      </c>
      <c r="D113" s="16">
        <v>250</v>
      </c>
      <c r="E113" s="61">
        <f>1.53*250/200</f>
        <v>1.9125</v>
      </c>
      <c r="F113" s="61">
        <f>3.9*250/200</f>
        <v>4.875</v>
      </c>
      <c r="G113" s="61">
        <f>6.67*250/200</f>
        <v>8.3375</v>
      </c>
      <c r="H113" s="62">
        <f>118.96*250/200</f>
        <v>148.7</v>
      </c>
      <c r="I113" s="84">
        <f>23.64*250/200</f>
        <v>29.55</v>
      </c>
      <c r="J113" s="13">
        <f>42.83*250/200</f>
        <v>53.5375</v>
      </c>
      <c r="K113" s="84">
        <f>16.77*250/200</f>
        <v>20.9625</v>
      </c>
      <c r="L113" s="84">
        <f>0.59*250/200</f>
        <v>0.7375</v>
      </c>
    </row>
    <row r="114" ht="26.25" customHeight="1" spans="2:12">
      <c r="B114" s="14" t="s">
        <v>29</v>
      </c>
      <c r="C114" s="15" t="s">
        <v>30</v>
      </c>
      <c r="D114" s="16">
        <v>100</v>
      </c>
      <c r="E114" s="61">
        <v>10.63</v>
      </c>
      <c r="F114" s="61">
        <v>12.64</v>
      </c>
      <c r="G114" s="61">
        <v>13.07</v>
      </c>
      <c r="H114" s="61">
        <v>209.45</v>
      </c>
      <c r="I114" s="67">
        <v>0.54</v>
      </c>
      <c r="J114" s="86">
        <v>60.77</v>
      </c>
      <c r="K114" s="84">
        <v>33.95</v>
      </c>
      <c r="L114" s="66">
        <v>1.2</v>
      </c>
    </row>
    <row r="115" ht="25.5" customHeight="1" spans="2:12">
      <c r="B115" s="14" t="s">
        <v>31</v>
      </c>
      <c r="C115" s="15" t="s">
        <v>94</v>
      </c>
      <c r="D115" s="16">
        <v>180</v>
      </c>
      <c r="E115" s="61">
        <f>6.6*180/150</f>
        <v>7.92</v>
      </c>
      <c r="F115" s="61">
        <f>5.4*180/150</f>
        <v>6.48</v>
      </c>
      <c r="G115" s="61">
        <f>38.55*180/150</f>
        <v>46.26</v>
      </c>
      <c r="H115" s="61">
        <f>229*180/150</f>
        <v>274.8</v>
      </c>
      <c r="I115" s="67">
        <v>0</v>
      </c>
      <c r="J115" s="86">
        <f>16.5*180/150</f>
        <v>19.8</v>
      </c>
      <c r="K115" s="84">
        <f>18*180/150</f>
        <v>21.6</v>
      </c>
      <c r="L115" s="66">
        <f>1.27*180/150</f>
        <v>1.524</v>
      </c>
    </row>
    <row r="116" ht="27" customHeight="1" spans="2:12">
      <c r="B116" s="14" t="s">
        <v>17</v>
      </c>
      <c r="C116" s="15" t="s">
        <v>18</v>
      </c>
      <c r="D116" s="16">
        <v>60</v>
      </c>
      <c r="E116" s="61">
        <v>4.56</v>
      </c>
      <c r="F116" s="61">
        <v>0.48</v>
      </c>
      <c r="G116" s="61">
        <v>29.48</v>
      </c>
      <c r="H116" s="61">
        <v>141</v>
      </c>
      <c r="I116" s="67">
        <v>0</v>
      </c>
      <c r="J116" s="86">
        <v>13.8</v>
      </c>
      <c r="K116" s="84">
        <v>19.8</v>
      </c>
      <c r="L116" s="66">
        <v>1.14666666666667</v>
      </c>
    </row>
    <row r="117" ht="26.25" customHeight="1" spans="2:12">
      <c r="B117" s="14" t="s">
        <v>35</v>
      </c>
      <c r="C117" s="15" t="s">
        <v>36</v>
      </c>
      <c r="D117" s="16">
        <v>40</v>
      </c>
      <c r="E117" s="61">
        <v>2.64</v>
      </c>
      <c r="F117" s="61">
        <v>4.8</v>
      </c>
      <c r="G117" s="61">
        <v>13.36</v>
      </c>
      <c r="H117" s="61">
        <v>69.6</v>
      </c>
      <c r="I117" s="67">
        <v>0</v>
      </c>
      <c r="J117" s="86">
        <v>13.2</v>
      </c>
      <c r="K117" s="87">
        <v>22.8</v>
      </c>
      <c r="L117" s="67">
        <v>1.808</v>
      </c>
    </row>
    <row r="118" ht="27" customHeight="1" spans="2:12">
      <c r="B118" s="17" t="s">
        <v>79</v>
      </c>
      <c r="C118" s="20" t="s">
        <v>80</v>
      </c>
      <c r="D118" s="31">
        <v>180</v>
      </c>
      <c r="E118" s="67">
        <v>0</v>
      </c>
      <c r="F118" s="67">
        <v>0</v>
      </c>
      <c r="G118" s="67">
        <v>6.29</v>
      </c>
      <c r="H118" s="61">
        <v>25.14</v>
      </c>
      <c r="I118" s="66">
        <v>0.05</v>
      </c>
      <c r="J118" s="83">
        <v>2.42</v>
      </c>
      <c r="K118" s="84">
        <v>1.98</v>
      </c>
      <c r="L118" s="66">
        <v>0.39</v>
      </c>
    </row>
    <row r="119" ht="32.25" customHeight="1" spans="2:12">
      <c r="B119" s="14"/>
      <c r="C119" s="55" t="s">
        <v>37</v>
      </c>
      <c r="D119" s="56">
        <f t="shared" ref="D119:L119" si="16">SUM(D112:D118)</f>
        <v>910</v>
      </c>
      <c r="E119" s="118">
        <f t="shared" si="16"/>
        <v>28.3625</v>
      </c>
      <c r="F119" s="118">
        <f t="shared" si="16"/>
        <v>29.375</v>
      </c>
      <c r="G119" s="118">
        <f t="shared" si="16"/>
        <v>118.6975</v>
      </c>
      <c r="H119" s="118">
        <f t="shared" si="16"/>
        <v>879.69</v>
      </c>
      <c r="I119" s="64">
        <f t="shared" si="16"/>
        <v>40.14</v>
      </c>
      <c r="J119" s="128">
        <f t="shared" si="16"/>
        <v>186.5275</v>
      </c>
      <c r="K119" s="116">
        <f t="shared" si="16"/>
        <v>135.0925</v>
      </c>
      <c r="L119" s="116">
        <f t="shared" si="16"/>
        <v>7.70616666666667</v>
      </c>
    </row>
    <row r="120" ht="33" customHeight="1" spans="2:12">
      <c r="B120" s="17"/>
      <c r="C120" s="22" t="s">
        <v>38</v>
      </c>
      <c r="D120" s="33">
        <f t="shared" ref="D120:L120" si="17">D119+D110</f>
        <v>1470</v>
      </c>
      <c r="E120" s="68">
        <f t="shared" si="17"/>
        <v>51.8813888888889</v>
      </c>
      <c r="F120" s="68">
        <f t="shared" si="17"/>
        <v>55.9916666666667</v>
      </c>
      <c r="G120" s="68">
        <f t="shared" si="17"/>
        <v>213.593055555556</v>
      </c>
      <c r="H120" s="68">
        <f t="shared" si="17"/>
        <v>1603.20777777778</v>
      </c>
      <c r="I120" s="68">
        <f t="shared" si="17"/>
        <v>45.4133333333333</v>
      </c>
      <c r="J120" s="68">
        <f t="shared" si="17"/>
        <v>347.618611111111</v>
      </c>
      <c r="K120" s="68">
        <f t="shared" si="17"/>
        <v>240.1</v>
      </c>
      <c r="L120" s="64">
        <f t="shared" si="17"/>
        <v>15.0692222222222</v>
      </c>
    </row>
    <row r="121" ht="35.25" customHeight="1" spans="2:12">
      <c r="B121" s="37" t="s">
        <v>95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91"/>
    </row>
    <row r="122" ht="21.75" customHeight="1" spans="2:12">
      <c r="B122" s="39" t="s">
        <v>2</v>
      </c>
      <c r="C122" s="9" t="s">
        <v>3</v>
      </c>
      <c r="D122" s="9" t="s">
        <v>4</v>
      </c>
      <c r="E122" s="57" t="s">
        <v>5</v>
      </c>
      <c r="F122" s="58"/>
      <c r="G122" s="58"/>
      <c r="H122" s="59"/>
      <c r="I122" s="76" t="s">
        <v>6</v>
      </c>
      <c r="J122" s="77" t="s">
        <v>7</v>
      </c>
      <c r="K122" s="77" t="s">
        <v>8</v>
      </c>
      <c r="L122" s="77" t="s">
        <v>9</v>
      </c>
    </row>
    <row r="123" ht="47.25" customHeight="1" spans="2:12">
      <c r="B123" s="40"/>
      <c r="C123" s="10"/>
      <c r="D123" s="10"/>
      <c r="E123" s="60" t="s">
        <v>10</v>
      </c>
      <c r="F123" s="60" t="s">
        <v>11</v>
      </c>
      <c r="G123" s="60" t="s">
        <v>12</v>
      </c>
      <c r="H123" s="60" t="s">
        <v>13</v>
      </c>
      <c r="I123" s="78"/>
      <c r="J123" s="79"/>
      <c r="K123" s="79"/>
      <c r="L123" s="79"/>
    </row>
    <row r="124" ht="27" customHeight="1" spans="2:12">
      <c r="B124" s="24" t="s">
        <v>14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82"/>
    </row>
    <row r="125" ht="27" customHeight="1" spans="2:12">
      <c r="B125" s="103" t="s">
        <v>40</v>
      </c>
      <c r="C125" s="15" t="s">
        <v>41</v>
      </c>
      <c r="D125" s="16">
        <v>100</v>
      </c>
      <c r="E125" s="65">
        <v>0.7</v>
      </c>
      <c r="F125" s="65">
        <v>0.1</v>
      </c>
      <c r="G125" s="65">
        <v>1.9</v>
      </c>
      <c r="H125" s="65">
        <v>11</v>
      </c>
      <c r="I125" s="67">
        <v>10</v>
      </c>
      <c r="J125" s="92">
        <v>23</v>
      </c>
      <c r="K125" s="84">
        <v>14</v>
      </c>
      <c r="L125" s="66">
        <v>0.9</v>
      </c>
    </row>
    <row r="126" ht="27" customHeight="1" spans="2:12">
      <c r="B126" s="14" t="s">
        <v>70</v>
      </c>
      <c r="C126" s="15" t="s">
        <v>71</v>
      </c>
      <c r="D126" s="16">
        <v>100</v>
      </c>
      <c r="E126" s="61">
        <v>17.3</v>
      </c>
      <c r="F126" s="61">
        <v>13.58</v>
      </c>
      <c r="G126" s="61">
        <v>11.8</v>
      </c>
      <c r="H126" s="61">
        <v>222</v>
      </c>
      <c r="I126" s="61">
        <v>8.1</v>
      </c>
      <c r="J126" s="61">
        <v>14</v>
      </c>
      <c r="K126" s="84">
        <v>20</v>
      </c>
      <c r="L126" s="66">
        <v>5.7</v>
      </c>
    </row>
    <row r="127" ht="28.5" customHeight="1" spans="2:12">
      <c r="B127" s="14" t="s">
        <v>57</v>
      </c>
      <c r="C127" s="15" t="s">
        <v>58</v>
      </c>
      <c r="D127" s="31">
        <v>180</v>
      </c>
      <c r="E127" s="67">
        <v>3.9</v>
      </c>
      <c r="F127" s="67">
        <v>3.456</v>
      </c>
      <c r="G127" s="67">
        <v>34.788</v>
      </c>
      <c r="H127" s="61">
        <v>227.472</v>
      </c>
      <c r="I127" s="66">
        <v>31.14</v>
      </c>
      <c r="J127" s="83">
        <v>174.708</v>
      </c>
      <c r="K127" s="84">
        <v>39.588</v>
      </c>
      <c r="L127" s="66">
        <v>1.464</v>
      </c>
    </row>
    <row r="128" ht="27.75" customHeight="1" spans="2:12">
      <c r="B128" s="17" t="s">
        <v>17</v>
      </c>
      <c r="C128" s="20" t="s">
        <v>18</v>
      </c>
      <c r="D128" s="31">
        <v>40</v>
      </c>
      <c r="E128" s="67">
        <f>3.42*40/45</f>
        <v>3.04</v>
      </c>
      <c r="F128" s="67">
        <f>0.36*40/45</f>
        <v>0.32</v>
      </c>
      <c r="G128" s="67">
        <f>22.11*40/45</f>
        <v>19.6533333333333</v>
      </c>
      <c r="H128" s="61">
        <f>105.75*40/45</f>
        <v>94</v>
      </c>
      <c r="I128" s="66">
        <v>0</v>
      </c>
      <c r="J128" s="83">
        <f>10.35*40/45</f>
        <v>9.2</v>
      </c>
      <c r="K128" s="84">
        <f>14.85*40/45</f>
        <v>13.2</v>
      </c>
      <c r="L128" s="66">
        <f>0.96*40/45</f>
        <v>0.853333333333333</v>
      </c>
    </row>
    <row r="129" ht="30" customHeight="1" spans="2:12">
      <c r="B129" s="14" t="s">
        <v>35</v>
      </c>
      <c r="C129" s="15" t="s">
        <v>36</v>
      </c>
      <c r="D129" s="16">
        <v>40</v>
      </c>
      <c r="E129" s="61">
        <v>2.64</v>
      </c>
      <c r="F129" s="61">
        <v>4.8</v>
      </c>
      <c r="G129" s="61">
        <v>13.36</v>
      </c>
      <c r="H129" s="61">
        <v>69.6</v>
      </c>
      <c r="I129" s="66">
        <v>0</v>
      </c>
      <c r="J129" s="86">
        <v>13.2</v>
      </c>
      <c r="K129" s="84">
        <v>22.8</v>
      </c>
      <c r="L129" s="66">
        <v>1.808</v>
      </c>
    </row>
    <row r="130" ht="30" customHeight="1" spans="2:12">
      <c r="B130" s="17" t="s">
        <v>33</v>
      </c>
      <c r="C130" s="18" t="s">
        <v>34</v>
      </c>
      <c r="D130" s="19">
        <v>180</v>
      </c>
      <c r="E130" s="62">
        <v>0.9</v>
      </c>
      <c r="F130" s="62">
        <v>0.18</v>
      </c>
      <c r="G130" s="62">
        <v>18.18</v>
      </c>
      <c r="H130" s="62">
        <v>82.8</v>
      </c>
      <c r="I130" s="62">
        <v>3.6</v>
      </c>
      <c r="J130" s="62">
        <v>12.6</v>
      </c>
      <c r="K130" s="81">
        <v>7.2</v>
      </c>
      <c r="L130" s="66">
        <v>2.52</v>
      </c>
    </row>
    <row r="131" ht="33" customHeight="1" spans="2:12">
      <c r="B131" s="107"/>
      <c r="C131" s="100" t="s">
        <v>23</v>
      </c>
      <c r="D131" s="23">
        <f t="shared" ref="D131:L131" si="18">SUM(D125:D130)</f>
        <v>640</v>
      </c>
      <c r="E131" s="64">
        <f t="shared" si="18"/>
        <v>28.48</v>
      </c>
      <c r="F131" s="64">
        <f t="shared" si="18"/>
        <v>22.436</v>
      </c>
      <c r="G131" s="64">
        <f t="shared" si="18"/>
        <v>99.6813333333333</v>
      </c>
      <c r="H131" s="64">
        <f t="shared" si="18"/>
        <v>706.872</v>
      </c>
      <c r="I131" s="64">
        <f t="shared" si="18"/>
        <v>52.84</v>
      </c>
      <c r="J131" s="64">
        <f t="shared" si="18"/>
        <v>246.708</v>
      </c>
      <c r="K131" s="144">
        <f t="shared" si="18"/>
        <v>116.788</v>
      </c>
      <c r="L131" s="64">
        <f t="shared" si="18"/>
        <v>13.2453333333333</v>
      </c>
    </row>
    <row r="132" ht="27.75" customHeight="1" spans="2:12">
      <c r="B132" s="24" t="s">
        <v>24</v>
      </c>
      <c r="C132" s="25"/>
      <c r="D132" s="26"/>
      <c r="E132" s="25"/>
      <c r="F132" s="25"/>
      <c r="G132" s="25"/>
      <c r="H132" s="25"/>
      <c r="I132" s="25"/>
      <c r="J132" s="25"/>
      <c r="K132" s="25"/>
      <c r="L132" s="82"/>
    </row>
    <row r="133" ht="27.75" customHeight="1" spans="2:12">
      <c r="B133" s="103" t="s">
        <v>59</v>
      </c>
      <c r="C133" s="15" t="s">
        <v>60</v>
      </c>
      <c r="D133" s="16">
        <v>250</v>
      </c>
      <c r="E133" s="65">
        <v>5.47</v>
      </c>
      <c r="F133" s="65">
        <v>0.31</v>
      </c>
      <c r="G133" s="65">
        <v>17.95</v>
      </c>
      <c r="H133" s="65">
        <v>150</v>
      </c>
      <c r="I133" s="67">
        <v>0.82</v>
      </c>
      <c r="J133" s="92">
        <v>163</v>
      </c>
      <c r="K133" s="84">
        <v>26.67</v>
      </c>
      <c r="L133" s="66">
        <v>0.65</v>
      </c>
    </row>
    <row r="134" ht="28.5" customHeight="1" spans="2:12">
      <c r="B134" s="45" t="s">
        <v>61</v>
      </c>
      <c r="C134" s="15" t="s">
        <v>62</v>
      </c>
      <c r="D134" s="53">
        <v>250</v>
      </c>
      <c r="E134" s="71">
        <f>16.94*250/200</f>
        <v>21.175</v>
      </c>
      <c r="F134" s="71">
        <f>10.46*250/200</f>
        <v>13.075</v>
      </c>
      <c r="G134" s="71">
        <f>25.73*250/200</f>
        <v>32.1625</v>
      </c>
      <c r="H134" s="72">
        <f>305.33*250/200</f>
        <v>381.6625</v>
      </c>
      <c r="I134" s="72">
        <f>6.02*250/200</f>
        <v>7.525</v>
      </c>
      <c r="J134" s="94">
        <f>46.25*250/200</f>
        <v>57.8125</v>
      </c>
      <c r="K134" s="95">
        <f>54.04*250/200</f>
        <v>67.55</v>
      </c>
      <c r="L134" s="72">
        <f>1.97*250/200</f>
        <v>2.4625</v>
      </c>
    </row>
    <row r="135" ht="28.5" customHeight="1" spans="2:12">
      <c r="B135" s="14" t="s">
        <v>17</v>
      </c>
      <c r="C135" s="15" t="s">
        <v>18</v>
      </c>
      <c r="D135" s="16">
        <v>60</v>
      </c>
      <c r="E135" s="61">
        <v>4.56</v>
      </c>
      <c r="F135" s="61">
        <v>0.48</v>
      </c>
      <c r="G135" s="61">
        <v>29.48</v>
      </c>
      <c r="H135" s="61">
        <v>141</v>
      </c>
      <c r="I135" s="67">
        <v>0</v>
      </c>
      <c r="J135" s="86">
        <v>13.8</v>
      </c>
      <c r="K135" s="84">
        <v>19.8</v>
      </c>
      <c r="L135" s="66">
        <v>1.14666666666667</v>
      </c>
    </row>
    <row r="136" ht="29.25" customHeight="1" spans="2:12">
      <c r="B136" s="14" t="s">
        <v>35</v>
      </c>
      <c r="C136" s="15" t="s">
        <v>36</v>
      </c>
      <c r="D136" s="16">
        <v>40</v>
      </c>
      <c r="E136" s="61">
        <v>2.64</v>
      </c>
      <c r="F136" s="61">
        <v>4.8</v>
      </c>
      <c r="G136" s="61">
        <v>13.36</v>
      </c>
      <c r="H136" s="61">
        <v>69.6</v>
      </c>
      <c r="I136" s="67">
        <v>0</v>
      </c>
      <c r="J136" s="86">
        <v>13.2</v>
      </c>
      <c r="K136" s="84">
        <v>22.8</v>
      </c>
      <c r="L136" s="66">
        <v>1.808</v>
      </c>
    </row>
    <row r="137" ht="29.25" customHeight="1" spans="2:12">
      <c r="B137" s="14" t="s">
        <v>96</v>
      </c>
      <c r="C137" s="15" t="s">
        <v>97</v>
      </c>
      <c r="D137" s="16">
        <v>200</v>
      </c>
      <c r="E137" s="61">
        <v>0.122222222222222</v>
      </c>
      <c r="F137" s="61">
        <v>0.133333333333333</v>
      </c>
      <c r="G137" s="61">
        <v>27.8777777777778</v>
      </c>
      <c r="H137" s="61">
        <v>132.444444444444</v>
      </c>
      <c r="I137" s="67">
        <v>2.03333333333333</v>
      </c>
      <c r="J137" s="86">
        <v>12.7333333333333</v>
      </c>
      <c r="K137" s="84">
        <v>4.04444444444444</v>
      </c>
      <c r="L137" s="66">
        <v>0.6</v>
      </c>
    </row>
    <row r="138" ht="28.5" customHeight="1" spans="2:12">
      <c r="B138" s="17" t="s">
        <v>77</v>
      </c>
      <c r="C138" s="15" t="s">
        <v>98</v>
      </c>
      <c r="D138" s="129">
        <v>45</v>
      </c>
      <c r="E138" s="84">
        <f>1.5*45/30</f>
        <v>2.25</v>
      </c>
      <c r="F138" s="84">
        <f>2.94*45/30</f>
        <v>4.41</v>
      </c>
      <c r="G138" s="84">
        <f>22.32*45/30</f>
        <v>33.48</v>
      </c>
      <c r="H138" s="84">
        <f>124.2*45/30</f>
        <v>186.3</v>
      </c>
      <c r="I138" s="67">
        <v>0</v>
      </c>
      <c r="J138" s="86">
        <f>8.7*45/30</f>
        <v>13.05</v>
      </c>
      <c r="K138" s="84">
        <f>6*45/30</f>
        <v>9</v>
      </c>
      <c r="L138" s="66">
        <f>0.63*45/30</f>
        <v>0.945</v>
      </c>
    </row>
    <row r="139" ht="33" customHeight="1" spans="2:13">
      <c r="B139" s="14"/>
      <c r="C139" s="55" t="s">
        <v>37</v>
      </c>
      <c r="D139" s="56">
        <f t="shared" ref="D139:L139" si="19">SUM(D133:D138)</f>
        <v>845</v>
      </c>
      <c r="E139" s="118">
        <f t="shared" si="19"/>
        <v>36.2172222222222</v>
      </c>
      <c r="F139" s="118">
        <f t="shared" si="19"/>
        <v>23.2083333333333</v>
      </c>
      <c r="G139" s="118">
        <f t="shared" si="19"/>
        <v>154.310277777778</v>
      </c>
      <c r="H139" s="118">
        <f t="shared" si="19"/>
        <v>1061.00694444444</v>
      </c>
      <c r="I139" s="118">
        <f t="shared" si="19"/>
        <v>10.3783333333333</v>
      </c>
      <c r="J139" s="118">
        <f t="shared" si="19"/>
        <v>273.595833333333</v>
      </c>
      <c r="K139" s="118">
        <f t="shared" si="19"/>
        <v>149.864444444444</v>
      </c>
      <c r="L139" s="116">
        <f t="shared" si="19"/>
        <v>7.61216666666667</v>
      </c>
      <c r="M139" s="150"/>
    </row>
    <row r="140" ht="30" customHeight="1" spans="2:13">
      <c r="B140" s="17"/>
      <c r="C140" s="22" t="s">
        <v>38</v>
      </c>
      <c r="D140" s="33">
        <f t="shared" ref="D140:L140" si="20">D139+D131</f>
        <v>1485</v>
      </c>
      <c r="E140" s="68">
        <f t="shared" si="20"/>
        <v>64.6972222222222</v>
      </c>
      <c r="F140" s="68">
        <f t="shared" si="20"/>
        <v>45.6443333333333</v>
      </c>
      <c r="G140" s="68">
        <f t="shared" si="20"/>
        <v>253.991611111111</v>
      </c>
      <c r="H140" s="68">
        <f t="shared" si="20"/>
        <v>1767.87894444444</v>
      </c>
      <c r="I140" s="68">
        <f t="shared" si="20"/>
        <v>63.2183333333333</v>
      </c>
      <c r="J140" s="68">
        <f t="shared" si="20"/>
        <v>520.303833333333</v>
      </c>
      <c r="K140" s="68">
        <f t="shared" si="20"/>
        <v>266.652444444444</v>
      </c>
      <c r="L140" s="64">
        <f t="shared" si="20"/>
        <v>20.8575</v>
      </c>
      <c r="M140" s="150"/>
    </row>
    <row r="141" ht="32.25" customHeight="1" spans="2:12">
      <c r="B141" s="37" t="s">
        <v>99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91"/>
    </row>
    <row r="142" ht="23.25" customHeight="1" spans="2:12">
      <c r="B142" s="39" t="s">
        <v>2</v>
      </c>
      <c r="C142" s="9" t="s">
        <v>3</v>
      </c>
      <c r="D142" s="9" t="s">
        <v>4</v>
      </c>
      <c r="E142" s="57" t="s">
        <v>5</v>
      </c>
      <c r="F142" s="58"/>
      <c r="G142" s="58"/>
      <c r="H142" s="59"/>
      <c r="I142" s="76" t="s">
        <v>6</v>
      </c>
      <c r="J142" s="77" t="s">
        <v>7</v>
      </c>
      <c r="K142" s="77" t="s">
        <v>8</v>
      </c>
      <c r="L142" s="77" t="s">
        <v>9</v>
      </c>
    </row>
    <row r="143" ht="44.25" customHeight="1" spans="2:12">
      <c r="B143" s="40"/>
      <c r="C143" s="10"/>
      <c r="D143" s="10"/>
      <c r="E143" s="60" t="s">
        <v>10</v>
      </c>
      <c r="F143" s="60" t="s">
        <v>11</v>
      </c>
      <c r="G143" s="60" t="s">
        <v>12</v>
      </c>
      <c r="H143" s="60" t="s">
        <v>13</v>
      </c>
      <c r="I143" s="78"/>
      <c r="J143" s="79"/>
      <c r="K143" s="79"/>
      <c r="L143" s="79"/>
    </row>
    <row r="144" ht="26.25" customHeight="1" spans="2:12">
      <c r="B144" s="24" t="s">
        <v>14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82"/>
    </row>
    <row r="145" ht="27" customHeight="1" spans="2:12">
      <c r="B145" s="17" t="s">
        <v>100</v>
      </c>
      <c r="C145" s="28" t="s">
        <v>101</v>
      </c>
      <c r="D145" s="29">
        <v>220</v>
      </c>
      <c r="E145" s="61">
        <f>5.02*220/200</f>
        <v>5.522</v>
      </c>
      <c r="F145" s="61">
        <f>13.6*220/200</f>
        <v>14.96</v>
      </c>
      <c r="G145" s="61">
        <f>55.76*220/200</f>
        <v>61.336</v>
      </c>
      <c r="H145" s="61">
        <f>368*220/200</f>
        <v>404.8</v>
      </c>
      <c r="I145" s="61">
        <f>1.08*220/200</f>
        <v>1.188</v>
      </c>
      <c r="J145" s="61">
        <f>55.36*220/200</f>
        <v>60.896</v>
      </c>
      <c r="K145" s="87">
        <f>53.22*220/200</f>
        <v>58.542</v>
      </c>
      <c r="L145" s="67">
        <f>1.66*220/200</f>
        <v>1.826</v>
      </c>
    </row>
    <row r="146" ht="26.25" customHeight="1" spans="2:12">
      <c r="B146" s="17" t="s">
        <v>102</v>
      </c>
      <c r="C146" s="18" t="s">
        <v>103</v>
      </c>
      <c r="D146" s="19">
        <v>10</v>
      </c>
      <c r="E146" s="62">
        <v>2.05</v>
      </c>
      <c r="F146" s="62">
        <v>2.3</v>
      </c>
      <c r="G146" s="62">
        <v>0.23</v>
      </c>
      <c r="H146" s="62">
        <v>29.67</v>
      </c>
      <c r="I146" s="62">
        <v>0.06</v>
      </c>
      <c r="J146" s="62">
        <v>70</v>
      </c>
      <c r="K146" s="81">
        <v>3.3</v>
      </c>
      <c r="L146" s="66">
        <v>0.08</v>
      </c>
    </row>
    <row r="147" ht="25.5" customHeight="1" spans="2:12">
      <c r="B147" s="17" t="s">
        <v>17</v>
      </c>
      <c r="C147" s="15" t="s">
        <v>18</v>
      </c>
      <c r="D147" s="19">
        <v>40</v>
      </c>
      <c r="E147" s="61">
        <v>3.04</v>
      </c>
      <c r="F147" s="61">
        <v>0.32</v>
      </c>
      <c r="G147" s="61">
        <v>19.68</v>
      </c>
      <c r="H147" s="61">
        <v>94</v>
      </c>
      <c r="I147" s="61">
        <v>0</v>
      </c>
      <c r="J147" s="61">
        <v>9.2</v>
      </c>
      <c r="K147" s="84">
        <v>13.2</v>
      </c>
      <c r="L147" s="66">
        <v>0.76</v>
      </c>
    </row>
    <row r="148" ht="27.6" customHeight="1" spans="2:12">
      <c r="B148" s="17" t="s">
        <v>104</v>
      </c>
      <c r="C148" s="20" t="s">
        <v>105</v>
      </c>
      <c r="D148" s="31">
        <v>180</v>
      </c>
      <c r="E148" s="67">
        <v>5.8</v>
      </c>
      <c r="F148" s="67">
        <v>5</v>
      </c>
      <c r="G148" s="67">
        <v>8</v>
      </c>
      <c r="H148" s="67">
        <v>106</v>
      </c>
      <c r="I148" s="67">
        <v>1.4</v>
      </c>
      <c r="J148" s="67">
        <v>240</v>
      </c>
      <c r="K148" s="84">
        <v>28</v>
      </c>
      <c r="L148" s="66">
        <v>0.2</v>
      </c>
    </row>
    <row r="149" ht="28.9" customHeight="1" spans="2:12">
      <c r="B149" s="17" t="s">
        <v>21</v>
      </c>
      <c r="C149" s="20" t="s">
        <v>22</v>
      </c>
      <c r="D149" s="16">
        <v>100</v>
      </c>
      <c r="E149" s="61">
        <v>0.4</v>
      </c>
      <c r="F149" s="61">
        <v>0.4</v>
      </c>
      <c r="G149" s="61">
        <v>9.8</v>
      </c>
      <c r="H149" s="61">
        <v>47</v>
      </c>
      <c r="I149" s="61">
        <v>10</v>
      </c>
      <c r="J149" s="61">
        <v>16</v>
      </c>
      <c r="K149" s="84">
        <v>9</v>
      </c>
      <c r="L149" s="66">
        <v>2.2</v>
      </c>
    </row>
    <row r="150" ht="31.5" customHeight="1" spans="2:12">
      <c r="B150" s="130"/>
      <c r="C150" s="131" t="s">
        <v>23</v>
      </c>
      <c r="D150" s="132">
        <f t="shared" ref="D150:L150" si="21">SUM(D145:D149)</f>
        <v>550</v>
      </c>
      <c r="E150" s="141">
        <f t="shared" si="21"/>
        <v>16.812</v>
      </c>
      <c r="F150" s="142">
        <f t="shared" si="21"/>
        <v>22.98</v>
      </c>
      <c r="G150" s="141">
        <f t="shared" si="21"/>
        <v>99.046</v>
      </c>
      <c r="H150" s="141">
        <f t="shared" si="21"/>
        <v>681.47</v>
      </c>
      <c r="I150" s="142">
        <f t="shared" si="21"/>
        <v>12.648</v>
      </c>
      <c r="J150" s="141">
        <f t="shared" si="21"/>
        <v>396.096</v>
      </c>
      <c r="K150" s="142">
        <f t="shared" si="21"/>
        <v>112.042</v>
      </c>
      <c r="L150" s="141">
        <f t="shared" si="21"/>
        <v>5.066</v>
      </c>
    </row>
    <row r="151" ht="25.5" customHeight="1" spans="2:12">
      <c r="B151" s="24" t="s">
        <v>24</v>
      </c>
      <c r="C151" s="25"/>
      <c r="D151" s="26"/>
      <c r="E151" s="25"/>
      <c r="F151" s="25"/>
      <c r="G151" s="25"/>
      <c r="H151" s="25"/>
      <c r="I151" s="25"/>
      <c r="J151" s="25"/>
      <c r="K151" s="25"/>
      <c r="L151" s="82"/>
    </row>
    <row r="152" ht="30" customHeight="1" spans="2:12">
      <c r="B152" s="103" t="s">
        <v>81</v>
      </c>
      <c r="C152" s="108" t="s">
        <v>82</v>
      </c>
      <c r="D152" s="31">
        <v>100</v>
      </c>
      <c r="E152" s="67">
        <f>0.96*100/60</f>
        <v>1.6</v>
      </c>
      <c r="F152" s="67">
        <f>3.78*100/60</f>
        <v>6.3</v>
      </c>
      <c r="G152" s="67">
        <f>4.44*100/60</f>
        <v>7.4</v>
      </c>
      <c r="H152" s="67">
        <f>54.48*100/60</f>
        <v>90.8</v>
      </c>
      <c r="I152" s="67">
        <f>10.2*100/60</f>
        <v>17</v>
      </c>
      <c r="J152" s="92">
        <f>12.6*100/60</f>
        <v>21</v>
      </c>
      <c r="K152" s="81">
        <f>3.12*100/60</f>
        <v>5.2</v>
      </c>
      <c r="L152" s="66">
        <f>0.06*100/60</f>
        <v>0.1</v>
      </c>
    </row>
    <row r="153" ht="28.5" customHeight="1" spans="2:12">
      <c r="B153" s="14" t="s">
        <v>83</v>
      </c>
      <c r="C153" s="15" t="s">
        <v>84</v>
      </c>
      <c r="D153" s="16">
        <v>250</v>
      </c>
      <c r="E153" s="61">
        <f>1.98*250/200</f>
        <v>2.475</v>
      </c>
      <c r="F153" s="61">
        <f>3.51*250/200</f>
        <v>4.3875</v>
      </c>
      <c r="G153" s="61">
        <f>13.74*250/200</f>
        <v>17.175</v>
      </c>
      <c r="H153" s="61">
        <f>95.14*250/200</f>
        <v>118.925</v>
      </c>
      <c r="I153" s="67">
        <f>13.42*250/200</f>
        <v>16.775</v>
      </c>
      <c r="J153" s="86">
        <f>20.31*250/200</f>
        <v>25.3875</v>
      </c>
      <c r="K153" s="81">
        <f>21.25*250/200</f>
        <v>26.5625</v>
      </c>
      <c r="L153" s="66">
        <f>0.8*250/200</f>
        <v>1</v>
      </c>
    </row>
    <row r="154" ht="30" customHeight="1" spans="2:12">
      <c r="B154" s="14" t="s">
        <v>55</v>
      </c>
      <c r="C154" s="15" t="s">
        <v>56</v>
      </c>
      <c r="D154" s="16">
        <v>100</v>
      </c>
      <c r="E154" s="61">
        <v>8.51</v>
      </c>
      <c r="F154" s="61">
        <v>9.31</v>
      </c>
      <c r="G154" s="61">
        <v>9.005</v>
      </c>
      <c r="H154" s="61">
        <v>210.36</v>
      </c>
      <c r="I154" s="67">
        <v>29.58</v>
      </c>
      <c r="J154" s="86">
        <v>18.45</v>
      </c>
      <c r="K154" s="84">
        <v>23.735</v>
      </c>
      <c r="L154" s="66">
        <v>1.24</v>
      </c>
    </row>
    <row r="155" ht="29.25" customHeight="1" spans="2:12">
      <c r="B155" s="17" t="s">
        <v>57</v>
      </c>
      <c r="C155" s="20" t="s">
        <v>58</v>
      </c>
      <c r="D155" s="31">
        <v>180</v>
      </c>
      <c r="E155" s="67">
        <v>3.9</v>
      </c>
      <c r="F155" s="67">
        <v>3.456</v>
      </c>
      <c r="G155" s="67">
        <v>34.788</v>
      </c>
      <c r="H155" s="61">
        <v>227.472</v>
      </c>
      <c r="I155" s="66">
        <v>31.14</v>
      </c>
      <c r="J155" s="83">
        <v>174.708</v>
      </c>
      <c r="K155" s="84">
        <v>39.588</v>
      </c>
      <c r="L155" s="66">
        <v>1.464</v>
      </c>
    </row>
    <row r="156" ht="27.75" customHeight="1" spans="2:12">
      <c r="B156" s="17" t="s">
        <v>17</v>
      </c>
      <c r="C156" s="20" t="s">
        <v>18</v>
      </c>
      <c r="D156" s="31">
        <v>60</v>
      </c>
      <c r="E156" s="67">
        <v>4.56</v>
      </c>
      <c r="F156" s="67">
        <v>0.48</v>
      </c>
      <c r="G156" s="67">
        <v>29.48</v>
      </c>
      <c r="H156" s="61">
        <v>141</v>
      </c>
      <c r="I156" s="66">
        <v>0</v>
      </c>
      <c r="J156" s="83">
        <v>13.8</v>
      </c>
      <c r="K156" s="84">
        <v>19.8</v>
      </c>
      <c r="L156" s="66">
        <v>1.14666666666667</v>
      </c>
    </row>
    <row r="157" ht="30" customHeight="1" spans="2:12">
      <c r="B157" s="14" t="s">
        <v>35</v>
      </c>
      <c r="C157" s="15" t="s">
        <v>36</v>
      </c>
      <c r="D157" s="16">
        <v>40</v>
      </c>
      <c r="E157" s="61">
        <v>2.64</v>
      </c>
      <c r="F157" s="61">
        <v>4.8</v>
      </c>
      <c r="G157" s="61">
        <v>13.36</v>
      </c>
      <c r="H157" s="61">
        <v>69.6</v>
      </c>
      <c r="I157" s="66">
        <v>0</v>
      </c>
      <c r="J157" s="86">
        <v>13.2</v>
      </c>
      <c r="K157" s="87">
        <v>22.8</v>
      </c>
      <c r="L157" s="66">
        <v>1.808</v>
      </c>
    </row>
    <row r="158" ht="30.75" customHeight="1" spans="2:12">
      <c r="B158" s="14" t="s">
        <v>52</v>
      </c>
      <c r="C158" s="15" t="s">
        <v>53</v>
      </c>
      <c r="D158" s="16">
        <v>180</v>
      </c>
      <c r="E158" s="61">
        <v>1.04</v>
      </c>
      <c r="F158" s="61">
        <v>0.27</v>
      </c>
      <c r="G158" s="61">
        <v>42.53</v>
      </c>
      <c r="H158" s="61">
        <v>176.74</v>
      </c>
      <c r="I158" s="67">
        <v>0.72</v>
      </c>
      <c r="J158" s="86">
        <v>5.26</v>
      </c>
      <c r="K158" s="126">
        <v>30.03</v>
      </c>
      <c r="L158" s="66">
        <v>0.86</v>
      </c>
    </row>
    <row r="159" ht="30.75" customHeight="1" spans="2:12">
      <c r="B159" s="14" t="s">
        <v>21</v>
      </c>
      <c r="C159" s="15" t="s">
        <v>22</v>
      </c>
      <c r="D159" s="16">
        <v>100</v>
      </c>
      <c r="E159" s="61">
        <v>0.4</v>
      </c>
      <c r="F159" s="61">
        <v>0.4</v>
      </c>
      <c r="G159" s="61">
        <v>9.8</v>
      </c>
      <c r="H159" s="61">
        <v>47</v>
      </c>
      <c r="I159" s="66">
        <v>10</v>
      </c>
      <c r="J159" s="86">
        <v>16</v>
      </c>
      <c r="K159" s="126">
        <v>9</v>
      </c>
      <c r="L159" s="66">
        <v>2.2</v>
      </c>
    </row>
    <row r="160" ht="34.5" customHeight="1" spans="2:12">
      <c r="B160" s="54"/>
      <c r="C160" s="55" t="s">
        <v>37</v>
      </c>
      <c r="D160" s="56">
        <f>SUM(D152:D159)</f>
        <v>1010</v>
      </c>
      <c r="E160" s="118">
        <f t="shared" ref="E160:L160" si="22">SUM(E152:E159)</f>
        <v>25.125</v>
      </c>
      <c r="F160" s="118">
        <f t="shared" si="22"/>
        <v>29.4035</v>
      </c>
      <c r="G160" s="118">
        <f t="shared" si="22"/>
        <v>163.538</v>
      </c>
      <c r="H160" s="118">
        <f t="shared" si="22"/>
        <v>1081.897</v>
      </c>
      <c r="I160" s="118">
        <f t="shared" si="22"/>
        <v>105.215</v>
      </c>
      <c r="J160" s="118">
        <f t="shared" si="22"/>
        <v>287.8055</v>
      </c>
      <c r="K160" s="118">
        <f t="shared" si="22"/>
        <v>176.7155</v>
      </c>
      <c r="L160" s="118">
        <f t="shared" si="22"/>
        <v>9.81866666666667</v>
      </c>
    </row>
    <row r="161" ht="33.75" customHeight="1" spans="2:12">
      <c r="B161" s="32"/>
      <c r="C161" s="22" t="s">
        <v>38</v>
      </c>
      <c r="D161" s="33">
        <f t="shared" ref="D161:L161" si="23">D160+D150</f>
        <v>1560</v>
      </c>
      <c r="E161" s="68">
        <f t="shared" si="23"/>
        <v>41.937</v>
      </c>
      <c r="F161" s="68">
        <f t="shared" si="23"/>
        <v>52.3835</v>
      </c>
      <c r="G161" s="68">
        <f t="shared" si="23"/>
        <v>262.584</v>
      </c>
      <c r="H161" s="68">
        <f t="shared" si="23"/>
        <v>1763.367</v>
      </c>
      <c r="I161" s="68">
        <f t="shared" si="23"/>
        <v>117.863</v>
      </c>
      <c r="J161" s="68">
        <f t="shared" si="23"/>
        <v>683.9015</v>
      </c>
      <c r="K161" s="68">
        <f t="shared" si="23"/>
        <v>288.7575</v>
      </c>
      <c r="L161" s="64">
        <f t="shared" si="23"/>
        <v>14.8846666666667</v>
      </c>
    </row>
    <row r="162" ht="34.5" customHeight="1" spans="2:12">
      <c r="B162" s="37" t="s">
        <v>106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91"/>
    </row>
    <row r="163" ht="21" customHeight="1" spans="2:12">
      <c r="B163" s="39" t="s">
        <v>2</v>
      </c>
      <c r="C163" s="9" t="s">
        <v>3</v>
      </c>
      <c r="D163" s="9" t="s">
        <v>4</v>
      </c>
      <c r="E163" s="57" t="s">
        <v>5</v>
      </c>
      <c r="F163" s="58"/>
      <c r="G163" s="58"/>
      <c r="H163" s="59"/>
      <c r="I163" s="76" t="s">
        <v>6</v>
      </c>
      <c r="J163" s="77" t="s">
        <v>7</v>
      </c>
      <c r="K163" s="77" t="s">
        <v>8</v>
      </c>
      <c r="L163" s="77" t="s">
        <v>9</v>
      </c>
    </row>
    <row r="164" ht="46.5" customHeight="1" spans="2:12">
      <c r="B164" s="40"/>
      <c r="C164" s="10"/>
      <c r="D164" s="10"/>
      <c r="E164" s="60" t="s">
        <v>10</v>
      </c>
      <c r="F164" s="60" t="s">
        <v>11</v>
      </c>
      <c r="G164" s="60" t="s">
        <v>12</v>
      </c>
      <c r="H164" s="60" t="s">
        <v>13</v>
      </c>
      <c r="I164" s="78"/>
      <c r="J164" s="79"/>
      <c r="K164" s="79"/>
      <c r="L164" s="79"/>
    </row>
    <row r="165" ht="25.9" customHeight="1" spans="2:12">
      <c r="B165" s="24" t="s">
        <v>14</v>
      </c>
      <c r="C165" s="25"/>
      <c r="D165" s="25"/>
      <c r="E165" s="25"/>
      <c r="F165" s="25"/>
      <c r="G165" s="25"/>
      <c r="H165" s="25"/>
      <c r="I165" s="25"/>
      <c r="J165" s="25"/>
      <c r="K165" s="25"/>
      <c r="L165" s="82"/>
    </row>
    <row r="166" ht="28.5" customHeight="1" spans="2:12">
      <c r="B166" s="14" t="s">
        <v>107</v>
      </c>
      <c r="C166" s="15" t="s">
        <v>108</v>
      </c>
      <c r="D166" s="16">
        <v>250</v>
      </c>
      <c r="E166" s="61">
        <v>11.5</v>
      </c>
      <c r="F166" s="61">
        <v>12.575</v>
      </c>
      <c r="G166" s="61">
        <v>39.2875</v>
      </c>
      <c r="H166" s="61">
        <v>324.95</v>
      </c>
      <c r="I166" s="62">
        <v>4.2</v>
      </c>
      <c r="J166" s="62">
        <v>173.7875</v>
      </c>
      <c r="K166" s="62">
        <v>67.325</v>
      </c>
      <c r="L166" s="66">
        <v>1.5625</v>
      </c>
    </row>
    <row r="167" ht="27" customHeight="1" spans="2:12">
      <c r="B167" s="17" t="s">
        <v>75</v>
      </c>
      <c r="C167" s="18" t="s">
        <v>76</v>
      </c>
      <c r="D167" s="19">
        <v>10</v>
      </c>
      <c r="E167" s="62">
        <v>0.05</v>
      </c>
      <c r="F167" s="62">
        <v>8.25</v>
      </c>
      <c r="G167" s="62">
        <v>0.08</v>
      </c>
      <c r="H167" s="62">
        <v>74.8</v>
      </c>
      <c r="I167" s="62">
        <v>0</v>
      </c>
      <c r="J167" s="62">
        <v>2.4</v>
      </c>
      <c r="K167" s="81">
        <v>0.05</v>
      </c>
      <c r="L167" s="66">
        <v>0.02</v>
      </c>
    </row>
    <row r="168" ht="29.25" customHeight="1" spans="2:12">
      <c r="B168" s="17" t="s">
        <v>77</v>
      </c>
      <c r="C168" s="15" t="s">
        <v>78</v>
      </c>
      <c r="D168" s="19">
        <v>40</v>
      </c>
      <c r="E168" s="61">
        <v>3.08</v>
      </c>
      <c r="F168" s="61">
        <v>1.2</v>
      </c>
      <c r="G168" s="61">
        <v>20.04</v>
      </c>
      <c r="H168" s="61">
        <v>103.6</v>
      </c>
      <c r="I168" s="61">
        <v>0</v>
      </c>
      <c r="J168" s="61">
        <v>8.8</v>
      </c>
      <c r="K168" s="84">
        <v>13.2</v>
      </c>
      <c r="L168" s="66">
        <v>0.8</v>
      </c>
    </row>
    <row r="169" ht="29.25" customHeight="1" spans="2:12">
      <c r="B169" s="17" t="s">
        <v>35</v>
      </c>
      <c r="C169" s="15" t="s">
        <v>36</v>
      </c>
      <c r="D169" s="16">
        <v>20</v>
      </c>
      <c r="E169" s="61">
        <f>1.65*20/25</f>
        <v>1.32</v>
      </c>
      <c r="F169" s="61">
        <f>3*20/25</f>
        <v>2.4</v>
      </c>
      <c r="G169" s="61">
        <f>8.35*20/25</f>
        <v>6.68</v>
      </c>
      <c r="H169" s="61">
        <f>43.5*20/25</f>
        <v>34.8</v>
      </c>
      <c r="I169" s="61">
        <v>0</v>
      </c>
      <c r="J169" s="86">
        <f>8.25*20/25</f>
        <v>6.6</v>
      </c>
      <c r="K169" s="84">
        <f>14.25*20/25</f>
        <v>11.4</v>
      </c>
      <c r="L169" s="93">
        <f>1.13*20/25</f>
        <v>0.904</v>
      </c>
    </row>
    <row r="170" ht="29.25" customHeight="1" spans="2:12">
      <c r="B170" s="17" t="s">
        <v>109</v>
      </c>
      <c r="C170" s="20" t="s">
        <v>110</v>
      </c>
      <c r="D170" s="31">
        <v>200</v>
      </c>
      <c r="E170" s="67">
        <v>3.58</v>
      </c>
      <c r="F170" s="67">
        <v>2.58</v>
      </c>
      <c r="G170" s="67">
        <v>14.71</v>
      </c>
      <c r="H170" s="61">
        <v>100.06</v>
      </c>
      <c r="I170" s="66">
        <v>1.17</v>
      </c>
      <c r="J170" s="83">
        <v>123.42</v>
      </c>
      <c r="K170" s="84">
        <v>29.6</v>
      </c>
      <c r="L170" s="80">
        <v>1</v>
      </c>
    </row>
    <row r="171" ht="30.75" customHeight="1" spans="2:12">
      <c r="B171" s="17" t="s">
        <v>77</v>
      </c>
      <c r="C171" s="20" t="s">
        <v>98</v>
      </c>
      <c r="D171" s="16">
        <v>30</v>
      </c>
      <c r="E171" s="61">
        <f>1.5*30/20</f>
        <v>2.25</v>
      </c>
      <c r="F171" s="61">
        <f>1.96*30/20</f>
        <v>2.94</v>
      </c>
      <c r="G171" s="61">
        <f>14.88*30/20</f>
        <v>22.32</v>
      </c>
      <c r="H171" s="61">
        <f>82.8*30/20</f>
        <v>124.2</v>
      </c>
      <c r="I171" s="61">
        <v>0</v>
      </c>
      <c r="J171" s="61">
        <f>5.8*30/20</f>
        <v>8.7</v>
      </c>
      <c r="K171" s="81">
        <f>4*30/20</f>
        <v>6</v>
      </c>
      <c r="L171" s="66">
        <f>0.42*30/20</f>
        <v>0.63</v>
      </c>
    </row>
    <row r="172" ht="30.75" customHeight="1" spans="2:12">
      <c r="B172" s="130"/>
      <c r="C172" s="133" t="s">
        <v>23</v>
      </c>
      <c r="D172" s="23">
        <f t="shared" ref="D172:L172" si="24">SUM(D166:D171)</f>
        <v>550</v>
      </c>
      <c r="E172" s="64">
        <f t="shared" si="24"/>
        <v>21.78</v>
      </c>
      <c r="F172" s="64">
        <f t="shared" si="24"/>
        <v>29.945</v>
      </c>
      <c r="G172" s="64">
        <f t="shared" si="24"/>
        <v>103.1175</v>
      </c>
      <c r="H172" s="64">
        <f t="shared" si="24"/>
        <v>762.41</v>
      </c>
      <c r="I172" s="64">
        <f t="shared" si="24"/>
        <v>5.37</v>
      </c>
      <c r="J172" s="64">
        <f t="shared" si="24"/>
        <v>323.7075</v>
      </c>
      <c r="K172" s="64">
        <f t="shared" si="24"/>
        <v>127.575</v>
      </c>
      <c r="L172" s="64">
        <f t="shared" si="24"/>
        <v>4.9165</v>
      </c>
    </row>
    <row r="173" ht="27.75" customHeight="1" spans="2:12">
      <c r="B173" s="24" t="s">
        <v>24</v>
      </c>
      <c r="C173" s="25"/>
      <c r="D173" s="26"/>
      <c r="E173" s="25"/>
      <c r="F173" s="25"/>
      <c r="G173" s="25"/>
      <c r="H173" s="25"/>
      <c r="I173" s="25"/>
      <c r="J173" s="25"/>
      <c r="K173" s="25"/>
      <c r="L173" s="82"/>
    </row>
    <row r="174" ht="27" customHeight="1" spans="2:12">
      <c r="B174" s="14" t="s">
        <v>111</v>
      </c>
      <c r="C174" s="15" t="s">
        <v>112</v>
      </c>
      <c r="D174" s="16">
        <v>100</v>
      </c>
      <c r="E174" s="61">
        <f>0.8*100/60</f>
        <v>1.33333333333333</v>
      </c>
      <c r="F174" s="61">
        <f>0.1*100/60</f>
        <v>0.166666666666667</v>
      </c>
      <c r="G174" s="61">
        <f>4.1*100/60</f>
        <v>6.83333333333333</v>
      </c>
      <c r="H174" s="61">
        <f>20.3*100/60</f>
        <v>33.8333333333333</v>
      </c>
      <c r="I174" s="67">
        <f>3*100/60</f>
        <v>5</v>
      </c>
      <c r="J174" s="86">
        <f>16*100/60</f>
        <v>26.6666666666667</v>
      </c>
      <c r="K174" s="61">
        <f>23*100/60</f>
        <v>38.3333333333333</v>
      </c>
      <c r="L174" s="67">
        <f>0.42*100/60</f>
        <v>0.7</v>
      </c>
    </row>
    <row r="175" ht="25.5" customHeight="1" spans="2:12">
      <c r="B175" s="103" t="s">
        <v>48</v>
      </c>
      <c r="C175" s="15" t="s">
        <v>113</v>
      </c>
      <c r="D175" s="16">
        <v>250</v>
      </c>
      <c r="E175" s="61">
        <v>5.87</v>
      </c>
      <c r="F175" s="61">
        <v>5.55</v>
      </c>
      <c r="G175" s="61">
        <v>19.27</v>
      </c>
      <c r="H175" s="61">
        <v>150.85</v>
      </c>
      <c r="I175" s="67">
        <v>11.5</v>
      </c>
      <c r="J175" s="86">
        <v>61.25</v>
      </c>
      <c r="K175" s="81">
        <v>38.26</v>
      </c>
      <c r="L175" s="66">
        <v>2.5</v>
      </c>
    </row>
    <row r="176" ht="26.25" customHeight="1" spans="2:12">
      <c r="B176" s="30" t="s">
        <v>114</v>
      </c>
      <c r="C176" s="20" t="s">
        <v>115</v>
      </c>
      <c r="D176" s="31">
        <v>250</v>
      </c>
      <c r="E176" s="67">
        <f>22.27*250/200</f>
        <v>27.8375</v>
      </c>
      <c r="F176" s="67">
        <f>15.17*250/200</f>
        <v>18.9625</v>
      </c>
      <c r="G176" s="67">
        <f>70.22*250/200</f>
        <v>87.775</v>
      </c>
      <c r="H176" s="66">
        <f>358.23*250/200</f>
        <v>447.7875</v>
      </c>
      <c r="I176" s="66">
        <f>2.62*250/200</f>
        <v>3.275</v>
      </c>
      <c r="J176" s="83">
        <f>204.7*250/200</f>
        <v>255.875</v>
      </c>
      <c r="K176" s="84">
        <f>39.4*250/200</f>
        <v>49.25</v>
      </c>
      <c r="L176" s="66">
        <f>1.35*250/200</f>
        <v>1.6875</v>
      </c>
    </row>
    <row r="177" ht="26.25" customHeight="1" spans="2:12">
      <c r="B177" s="17" t="s">
        <v>17</v>
      </c>
      <c r="C177" s="20" t="s">
        <v>18</v>
      </c>
      <c r="D177" s="31">
        <v>60</v>
      </c>
      <c r="E177" s="67">
        <v>4.56</v>
      </c>
      <c r="F177" s="67">
        <v>0.48</v>
      </c>
      <c r="G177" s="67">
        <v>29.48</v>
      </c>
      <c r="H177" s="61">
        <v>141</v>
      </c>
      <c r="I177" s="66">
        <v>0</v>
      </c>
      <c r="J177" s="83">
        <v>13.8</v>
      </c>
      <c r="K177" s="84">
        <v>19.8</v>
      </c>
      <c r="L177" s="66">
        <v>1.14666666666667</v>
      </c>
    </row>
    <row r="178" ht="26.25" customHeight="1" spans="2:12">
      <c r="B178" s="17" t="s">
        <v>35</v>
      </c>
      <c r="C178" s="20" t="s">
        <v>36</v>
      </c>
      <c r="D178" s="31">
        <v>40</v>
      </c>
      <c r="E178" s="67">
        <v>2.64</v>
      </c>
      <c r="F178" s="67">
        <v>4.8</v>
      </c>
      <c r="G178" s="67">
        <v>13.36</v>
      </c>
      <c r="H178" s="61">
        <v>69.6</v>
      </c>
      <c r="I178" s="66">
        <v>0</v>
      </c>
      <c r="J178" s="83">
        <v>13.2</v>
      </c>
      <c r="K178" s="84">
        <v>22.8</v>
      </c>
      <c r="L178" s="66">
        <v>1.808</v>
      </c>
    </row>
    <row r="179" ht="26.25" customHeight="1" spans="2:12">
      <c r="B179" s="14" t="s">
        <v>33</v>
      </c>
      <c r="C179" s="15" t="s">
        <v>34</v>
      </c>
      <c r="D179" s="16">
        <v>180</v>
      </c>
      <c r="E179" s="61">
        <v>0.9</v>
      </c>
      <c r="F179" s="61">
        <v>0.18</v>
      </c>
      <c r="G179" s="61">
        <v>18.18</v>
      </c>
      <c r="H179" s="61">
        <v>82.8</v>
      </c>
      <c r="I179" s="66">
        <v>3.6</v>
      </c>
      <c r="J179" s="86">
        <v>12.6</v>
      </c>
      <c r="K179" s="87">
        <v>7.2</v>
      </c>
      <c r="L179" s="66">
        <v>2.52</v>
      </c>
    </row>
    <row r="180" ht="30" customHeight="1" spans="2:12">
      <c r="B180" s="134"/>
      <c r="C180" s="133" t="s">
        <v>37</v>
      </c>
      <c r="D180" s="23">
        <f t="shared" ref="D180:L180" si="25">SUM(D174:D179)</f>
        <v>880</v>
      </c>
      <c r="E180" s="89">
        <f t="shared" si="25"/>
        <v>43.1408333333333</v>
      </c>
      <c r="F180" s="64">
        <f t="shared" si="25"/>
        <v>30.1391666666667</v>
      </c>
      <c r="G180" s="89">
        <f t="shared" si="25"/>
        <v>174.898333333333</v>
      </c>
      <c r="H180" s="64">
        <f t="shared" si="25"/>
        <v>925.870833333333</v>
      </c>
      <c r="I180" s="89">
        <f t="shared" si="25"/>
        <v>23.375</v>
      </c>
      <c r="J180" s="64">
        <f t="shared" si="25"/>
        <v>383.391666666667</v>
      </c>
      <c r="K180" s="64">
        <f t="shared" si="25"/>
        <v>175.643333333333</v>
      </c>
      <c r="L180" s="145">
        <f t="shared" si="25"/>
        <v>10.3621666666667</v>
      </c>
    </row>
    <row r="181" ht="30.75" customHeight="1" spans="2:12">
      <c r="B181" s="17"/>
      <c r="C181" s="22" t="s">
        <v>38</v>
      </c>
      <c r="D181" s="33">
        <f t="shared" ref="D181:L181" si="26">D180+D172</f>
        <v>1430</v>
      </c>
      <c r="E181" s="68">
        <f t="shared" si="26"/>
        <v>64.9208333333333</v>
      </c>
      <c r="F181" s="68">
        <f t="shared" si="26"/>
        <v>60.0841666666667</v>
      </c>
      <c r="G181" s="68">
        <f t="shared" si="26"/>
        <v>278.015833333333</v>
      </c>
      <c r="H181" s="68">
        <f t="shared" si="26"/>
        <v>1688.28083333333</v>
      </c>
      <c r="I181" s="68">
        <f t="shared" si="26"/>
        <v>28.745</v>
      </c>
      <c r="J181" s="68">
        <f t="shared" si="26"/>
        <v>707.099166666667</v>
      </c>
      <c r="K181" s="68">
        <f t="shared" si="26"/>
        <v>303.218333333333</v>
      </c>
      <c r="L181" s="64">
        <f t="shared" si="26"/>
        <v>15.2786666666667</v>
      </c>
    </row>
    <row r="182" ht="32.25" customHeight="1" spans="2:12">
      <c r="B182" s="37" t="s">
        <v>116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91"/>
    </row>
    <row r="183" ht="24" customHeight="1" spans="2:12">
      <c r="B183" s="39" t="s">
        <v>2</v>
      </c>
      <c r="C183" s="9" t="s">
        <v>3</v>
      </c>
      <c r="D183" s="9" t="s">
        <v>4</v>
      </c>
      <c r="E183" s="57" t="s">
        <v>5</v>
      </c>
      <c r="F183" s="58"/>
      <c r="G183" s="58"/>
      <c r="H183" s="59"/>
      <c r="I183" s="76" t="s">
        <v>6</v>
      </c>
      <c r="J183" s="77" t="s">
        <v>7</v>
      </c>
      <c r="K183" s="77" t="s">
        <v>8</v>
      </c>
      <c r="L183" s="77" t="s">
        <v>9</v>
      </c>
    </row>
    <row r="184" ht="46.5" customHeight="1" spans="2:12">
      <c r="B184" s="40"/>
      <c r="C184" s="10"/>
      <c r="D184" s="10"/>
      <c r="E184" s="60" t="s">
        <v>10</v>
      </c>
      <c r="F184" s="60" t="s">
        <v>11</v>
      </c>
      <c r="G184" s="60" t="s">
        <v>12</v>
      </c>
      <c r="H184" s="60" t="s">
        <v>13</v>
      </c>
      <c r="I184" s="78"/>
      <c r="J184" s="79"/>
      <c r="K184" s="79"/>
      <c r="L184" s="79"/>
    </row>
    <row r="185" ht="28.5" customHeight="1" spans="2:12">
      <c r="B185" s="135" t="s">
        <v>14</v>
      </c>
      <c r="C185" s="96"/>
      <c r="D185" s="96"/>
      <c r="E185" s="96"/>
      <c r="F185" s="96"/>
      <c r="G185" s="96"/>
      <c r="H185" s="96"/>
      <c r="I185" s="96"/>
      <c r="J185" s="96"/>
      <c r="K185" s="146"/>
      <c r="L185" s="147"/>
    </row>
    <row r="186" ht="27" customHeight="1" spans="2:12">
      <c r="B186" s="103" t="s">
        <v>40</v>
      </c>
      <c r="C186" s="15" t="s">
        <v>41</v>
      </c>
      <c r="D186" s="16">
        <v>100</v>
      </c>
      <c r="E186" s="62">
        <v>0.7</v>
      </c>
      <c r="F186" s="62">
        <v>0.1</v>
      </c>
      <c r="G186" s="62">
        <v>1.9</v>
      </c>
      <c r="H186" s="66">
        <v>11</v>
      </c>
      <c r="I186" s="67">
        <v>10</v>
      </c>
      <c r="J186" s="92">
        <v>23</v>
      </c>
      <c r="K186" s="84">
        <v>14</v>
      </c>
      <c r="L186" s="66">
        <v>0.9</v>
      </c>
    </row>
    <row r="187" ht="29.25" customHeight="1" spans="2:12">
      <c r="B187" s="17" t="s">
        <v>29</v>
      </c>
      <c r="C187" s="18" t="s">
        <v>30</v>
      </c>
      <c r="D187" s="19">
        <v>100</v>
      </c>
      <c r="E187" s="62">
        <v>10.63</v>
      </c>
      <c r="F187" s="62">
        <v>12.64</v>
      </c>
      <c r="G187" s="62">
        <v>19.02</v>
      </c>
      <c r="H187" s="62">
        <v>209.45</v>
      </c>
      <c r="I187" s="62">
        <v>0.54</v>
      </c>
      <c r="J187" s="62">
        <v>60.77</v>
      </c>
      <c r="K187" s="81">
        <v>33.95</v>
      </c>
      <c r="L187" s="66">
        <v>1.2</v>
      </c>
    </row>
    <row r="188" ht="29.25" customHeight="1" spans="2:12">
      <c r="B188" s="17" t="s">
        <v>57</v>
      </c>
      <c r="C188" s="18" t="s">
        <v>58</v>
      </c>
      <c r="D188" s="19">
        <v>180</v>
      </c>
      <c r="E188" s="67">
        <v>3.9</v>
      </c>
      <c r="F188" s="67">
        <v>3.456</v>
      </c>
      <c r="G188" s="67">
        <v>34.788</v>
      </c>
      <c r="H188" s="61">
        <v>227.472</v>
      </c>
      <c r="I188" s="66">
        <v>31.14</v>
      </c>
      <c r="J188" s="83">
        <v>174.708</v>
      </c>
      <c r="K188" s="84">
        <v>39.588</v>
      </c>
      <c r="L188" s="66">
        <v>1.464</v>
      </c>
    </row>
    <row r="189" ht="28.5" customHeight="1" spans="2:12">
      <c r="B189" s="17" t="s">
        <v>17</v>
      </c>
      <c r="C189" s="20" t="s">
        <v>18</v>
      </c>
      <c r="D189" s="31">
        <v>40</v>
      </c>
      <c r="E189" s="67">
        <v>3.04</v>
      </c>
      <c r="F189" s="67">
        <v>0.32</v>
      </c>
      <c r="G189" s="67">
        <v>19.68</v>
      </c>
      <c r="H189" s="67">
        <v>94</v>
      </c>
      <c r="I189" s="67">
        <v>0</v>
      </c>
      <c r="J189" s="67">
        <v>9.2</v>
      </c>
      <c r="K189" s="84">
        <v>13.2</v>
      </c>
      <c r="L189" s="66">
        <v>0.76</v>
      </c>
    </row>
    <row r="190" ht="27.75" customHeight="1" spans="2:12">
      <c r="B190" s="17" t="s">
        <v>96</v>
      </c>
      <c r="C190" s="20" t="s">
        <v>97</v>
      </c>
      <c r="D190" s="136">
        <v>180</v>
      </c>
      <c r="E190" s="61">
        <v>0.11</v>
      </c>
      <c r="F190" s="66">
        <v>0.12</v>
      </c>
      <c r="G190" s="61">
        <v>25.09</v>
      </c>
      <c r="H190" s="61">
        <v>119.2</v>
      </c>
      <c r="I190" s="66">
        <v>1.83</v>
      </c>
      <c r="J190" s="61">
        <v>11.46</v>
      </c>
      <c r="K190" s="81">
        <v>3.64</v>
      </c>
      <c r="L190" s="66">
        <v>0.57</v>
      </c>
    </row>
    <row r="191" ht="30.75" customHeight="1" spans="2:13">
      <c r="B191" s="137"/>
      <c r="C191" s="100" t="s">
        <v>23</v>
      </c>
      <c r="D191" s="138">
        <f t="shared" ref="D191:L191" si="27">SUM(D186:D190)</f>
        <v>600</v>
      </c>
      <c r="E191" s="63">
        <f t="shared" si="27"/>
        <v>18.38</v>
      </c>
      <c r="F191" s="143">
        <f t="shared" si="27"/>
        <v>16.636</v>
      </c>
      <c r="G191" s="63">
        <f t="shared" si="27"/>
        <v>100.478</v>
      </c>
      <c r="H191" s="143">
        <f t="shared" si="27"/>
        <v>661.122</v>
      </c>
      <c r="I191" s="63">
        <f t="shared" si="27"/>
        <v>43.51</v>
      </c>
      <c r="J191" s="143">
        <f t="shared" si="27"/>
        <v>279.138</v>
      </c>
      <c r="K191" s="63">
        <f t="shared" si="27"/>
        <v>104.378</v>
      </c>
      <c r="L191" s="63">
        <f t="shared" si="27"/>
        <v>4.894</v>
      </c>
      <c r="M191" s="150"/>
    </row>
    <row r="192" ht="30.75" customHeight="1" spans="2:12">
      <c r="B192" s="139" t="s">
        <v>117</v>
      </c>
      <c r="C192" s="96"/>
      <c r="D192" s="140"/>
      <c r="E192" s="121"/>
      <c r="F192" s="121"/>
      <c r="G192" s="121"/>
      <c r="H192" s="121"/>
      <c r="I192" s="121"/>
      <c r="J192" s="121"/>
      <c r="K192" s="148"/>
      <c r="L192" s="149"/>
    </row>
    <row r="193" ht="27.75" customHeight="1" spans="2:12">
      <c r="B193" s="14" t="s">
        <v>40</v>
      </c>
      <c r="C193" s="15" t="s">
        <v>41</v>
      </c>
      <c r="D193" s="16">
        <v>100</v>
      </c>
      <c r="E193" s="61">
        <v>0.7</v>
      </c>
      <c r="F193" s="61">
        <v>0.1</v>
      </c>
      <c r="G193" s="61">
        <v>1.9</v>
      </c>
      <c r="H193" s="61">
        <v>11</v>
      </c>
      <c r="I193" s="67">
        <v>10</v>
      </c>
      <c r="J193" s="86">
        <v>23</v>
      </c>
      <c r="K193" s="67">
        <v>14</v>
      </c>
      <c r="L193" s="67">
        <v>0.9</v>
      </c>
    </row>
    <row r="194" ht="27" customHeight="1" spans="2:12">
      <c r="B194" s="14" t="s">
        <v>118</v>
      </c>
      <c r="C194" s="15" t="s">
        <v>119</v>
      </c>
      <c r="D194" s="16">
        <v>250</v>
      </c>
      <c r="E194" s="61">
        <f>1.31*250/200</f>
        <v>1.6375</v>
      </c>
      <c r="F194" s="61">
        <f>4.86*250/200</f>
        <v>6.075</v>
      </c>
      <c r="G194" s="61">
        <f>8.67*250/200</f>
        <v>10.8375</v>
      </c>
      <c r="H194" s="61">
        <f>106.06*250/200</f>
        <v>132.575</v>
      </c>
      <c r="I194" s="67">
        <f>14.48*250/200</f>
        <v>18.1</v>
      </c>
      <c r="J194" s="86">
        <f>27.49*250/200</f>
        <v>34.3625</v>
      </c>
      <c r="K194" s="84">
        <f>15.19*250/200</f>
        <v>18.9875</v>
      </c>
      <c r="L194" s="66">
        <f>0.72*250/200</f>
        <v>0.9</v>
      </c>
    </row>
    <row r="195" ht="27.75" customHeight="1" spans="2:12">
      <c r="B195" s="14" t="s">
        <v>120</v>
      </c>
      <c r="C195" s="15" t="s">
        <v>121</v>
      </c>
      <c r="D195" s="16">
        <v>250</v>
      </c>
      <c r="E195" s="61">
        <f>13.48*200/280</f>
        <v>9.62857142857143</v>
      </c>
      <c r="F195" s="61">
        <f>21.99*200/280</f>
        <v>15.7071428571429</v>
      </c>
      <c r="G195" s="61">
        <f>51.12*200/280</f>
        <v>36.5142857142857</v>
      </c>
      <c r="H195" s="61">
        <f>400.02*200/280</f>
        <v>285.728571428571</v>
      </c>
      <c r="I195" s="67">
        <f>3.47*200/280</f>
        <v>2.47857142857143</v>
      </c>
      <c r="J195" s="86">
        <f>36.05*200/280</f>
        <v>25.75</v>
      </c>
      <c r="K195" s="84">
        <f>126.69*200/280</f>
        <v>90.4928571428571</v>
      </c>
      <c r="L195" s="66">
        <f>5.14*200/280</f>
        <v>3.67142857142857</v>
      </c>
    </row>
    <row r="196" ht="28.5" customHeight="1" spans="2:12">
      <c r="B196" s="14" t="s">
        <v>17</v>
      </c>
      <c r="C196" s="15" t="s">
        <v>18</v>
      </c>
      <c r="D196" s="16">
        <v>60</v>
      </c>
      <c r="E196" s="61">
        <v>4.56</v>
      </c>
      <c r="F196" s="61">
        <v>0.48</v>
      </c>
      <c r="G196" s="61">
        <v>29.48</v>
      </c>
      <c r="H196" s="61">
        <v>141</v>
      </c>
      <c r="I196" s="84">
        <v>0</v>
      </c>
      <c r="J196" s="13">
        <v>13.8</v>
      </c>
      <c r="K196" s="84">
        <v>19.8</v>
      </c>
      <c r="L196" s="84">
        <v>1.14666666666667</v>
      </c>
    </row>
    <row r="197" ht="28.5" customHeight="1" spans="2:12">
      <c r="B197" s="14" t="s">
        <v>35</v>
      </c>
      <c r="C197" s="15" t="s">
        <v>36</v>
      </c>
      <c r="D197" s="16">
        <v>40</v>
      </c>
      <c r="E197" s="61">
        <v>2.64</v>
      </c>
      <c r="F197" s="61">
        <v>4.8</v>
      </c>
      <c r="G197" s="61">
        <v>13.36</v>
      </c>
      <c r="H197" s="61">
        <v>69.6</v>
      </c>
      <c r="I197" s="84">
        <v>0</v>
      </c>
      <c r="J197" s="13">
        <v>13.2</v>
      </c>
      <c r="K197" s="84">
        <v>22.8</v>
      </c>
      <c r="L197" s="84">
        <v>1.808</v>
      </c>
    </row>
    <row r="198" ht="27.75" customHeight="1" spans="2:12">
      <c r="B198" s="14" t="s">
        <v>52</v>
      </c>
      <c r="C198" s="15" t="s">
        <v>53</v>
      </c>
      <c r="D198" s="16">
        <v>200</v>
      </c>
      <c r="E198" s="61">
        <v>1.15555555555556</v>
      </c>
      <c r="F198" s="61">
        <v>0.3</v>
      </c>
      <c r="G198" s="61">
        <v>47.2555555555556</v>
      </c>
      <c r="H198" s="61">
        <v>196.377777777778</v>
      </c>
      <c r="I198" s="84">
        <v>0.8</v>
      </c>
      <c r="J198" s="98">
        <v>5.84444444444444</v>
      </c>
      <c r="K198" s="126">
        <v>33.3666666666667</v>
      </c>
      <c r="L198" s="87">
        <v>0.955555555555556</v>
      </c>
    </row>
    <row r="199" ht="27.75" customHeight="1" spans="2:12">
      <c r="B199" s="14" t="s">
        <v>21</v>
      </c>
      <c r="C199" s="15" t="s">
        <v>22</v>
      </c>
      <c r="D199" s="16">
        <v>100</v>
      </c>
      <c r="E199" s="61">
        <v>0.4</v>
      </c>
      <c r="F199" s="61">
        <v>0.4</v>
      </c>
      <c r="G199" s="61">
        <v>9.8</v>
      </c>
      <c r="H199" s="61">
        <v>47</v>
      </c>
      <c r="I199" s="84">
        <v>10</v>
      </c>
      <c r="J199" s="98">
        <v>16</v>
      </c>
      <c r="K199" s="126">
        <v>9</v>
      </c>
      <c r="L199" s="87">
        <v>2.2</v>
      </c>
    </row>
    <row r="200" ht="32.25" customHeight="1" spans="2:12">
      <c r="B200" s="151"/>
      <c r="C200" s="152" t="s">
        <v>37</v>
      </c>
      <c r="D200" s="56">
        <f t="shared" ref="D200:L200" si="28">SUM(D193:D199)</f>
        <v>1000</v>
      </c>
      <c r="E200" s="162">
        <f t="shared" si="28"/>
        <v>20.721626984127</v>
      </c>
      <c r="F200" s="162">
        <f t="shared" si="28"/>
        <v>27.8621428571429</v>
      </c>
      <c r="G200" s="162">
        <f t="shared" si="28"/>
        <v>149.147341269841</v>
      </c>
      <c r="H200" s="162">
        <f t="shared" si="28"/>
        <v>883.281349206349</v>
      </c>
      <c r="I200" s="162">
        <f t="shared" si="28"/>
        <v>41.3785714285714</v>
      </c>
      <c r="J200" s="162">
        <f t="shared" si="28"/>
        <v>131.956944444444</v>
      </c>
      <c r="K200" s="162">
        <f t="shared" si="28"/>
        <v>208.447023809524</v>
      </c>
      <c r="L200" s="141">
        <f t="shared" si="28"/>
        <v>11.5816507936508</v>
      </c>
    </row>
    <row r="201" ht="33.75" customHeight="1" spans="2:12">
      <c r="B201" s="153"/>
      <c r="C201" s="46" t="s">
        <v>38</v>
      </c>
      <c r="D201" s="47">
        <f t="shared" ref="D201:L201" si="29">D200+D191</f>
        <v>1600</v>
      </c>
      <c r="E201" s="116">
        <f t="shared" si="29"/>
        <v>39.101626984127</v>
      </c>
      <c r="F201" s="116">
        <f t="shared" si="29"/>
        <v>44.4981428571429</v>
      </c>
      <c r="G201" s="116">
        <f t="shared" si="29"/>
        <v>249.625341269841</v>
      </c>
      <c r="H201" s="116">
        <f t="shared" si="29"/>
        <v>1544.40334920635</v>
      </c>
      <c r="I201" s="116">
        <f t="shared" si="29"/>
        <v>84.8885714285714</v>
      </c>
      <c r="J201" s="116">
        <f t="shared" si="29"/>
        <v>411.094944444444</v>
      </c>
      <c r="K201" s="116">
        <f t="shared" si="29"/>
        <v>312.825023809524</v>
      </c>
      <c r="L201" s="116">
        <f t="shared" si="29"/>
        <v>16.4756507936508</v>
      </c>
    </row>
    <row r="202" ht="36.75" customHeight="1" spans="2:12">
      <c r="B202" s="154"/>
      <c r="C202" s="155" t="s">
        <v>122</v>
      </c>
      <c r="D202" s="156">
        <f t="shared" ref="D202:L202" si="30">D201+D181+D161+D140+D120+D99+D80+D59+D41+D21</f>
        <v>15065</v>
      </c>
      <c r="E202" s="163">
        <f t="shared" si="30"/>
        <v>534.907358076564</v>
      </c>
      <c r="F202" s="163">
        <f t="shared" si="30"/>
        <v>550.746995798319</v>
      </c>
      <c r="G202" s="163">
        <f t="shared" si="30"/>
        <v>2741.47460121382</v>
      </c>
      <c r="H202" s="163">
        <f t="shared" si="30"/>
        <v>16385.225219141</v>
      </c>
      <c r="I202" s="163">
        <f t="shared" si="30"/>
        <v>785.073608403361</v>
      </c>
      <c r="J202" s="167">
        <f t="shared" si="30"/>
        <v>5639.24237964519</v>
      </c>
      <c r="K202" s="167">
        <f t="shared" si="30"/>
        <v>2789.96302399626</v>
      </c>
      <c r="L202" s="168">
        <f t="shared" si="30"/>
        <v>166.956247338936</v>
      </c>
    </row>
    <row r="203" ht="36" customHeight="1" spans="2:12">
      <c r="B203" s="157"/>
      <c r="C203" s="158" t="s">
        <v>123</v>
      </c>
      <c r="D203" s="159">
        <f t="shared" ref="D203:L203" si="31">D202/10</f>
        <v>1506.5</v>
      </c>
      <c r="E203" s="164">
        <f t="shared" si="31"/>
        <v>53.4907358076564</v>
      </c>
      <c r="F203" s="165">
        <f t="shared" si="31"/>
        <v>55.0746995798319</v>
      </c>
      <c r="G203" s="166">
        <f t="shared" si="31"/>
        <v>274.147460121382</v>
      </c>
      <c r="H203" s="166">
        <f t="shared" si="31"/>
        <v>1638.5225219141</v>
      </c>
      <c r="I203" s="164">
        <f t="shared" si="31"/>
        <v>78.5073608403361</v>
      </c>
      <c r="J203" s="169">
        <f t="shared" si="31"/>
        <v>563.924237964519</v>
      </c>
      <c r="K203" s="168">
        <f t="shared" si="31"/>
        <v>278.996302399626</v>
      </c>
      <c r="L203" s="168">
        <f t="shared" si="31"/>
        <v>16.6956247338936</v>
      </c>
    </row>
    <row r="204" ht="31.5" customHeight="1" spans="1:12">
      <c r="A204" s="160" t="s">
        <v>124</v>
      </c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</row>
    <row r="205" ht="23.2" spans="2:2">
      <c r="B205" s="3"/>
    </row>
    <row r="206" ht="23.2" spans="2:14">
      <c r="B206" s="3"/>
      <c r="M206" s="170"/>
      <c r="N206" s="170"/>
    </row>
    <row r="207" ht="23.2" spans="2:14">
      <c r="B207" s="3"/>
      <c r="M207" s="170"/>
      <c r="N207" s="170"/>
    </row>
    <row r="208" ht="23.2" spans="2:14">
      <c r="B208" s="3"/>
      <c r="M208" s="170"/>
      <c r="N208" s="170"/>
    </row>
    <row r="209" ht="33" customHeight="1" spans="2:14">
      <c r="B209" s="3"/>
      <c r="M209" s="170"/>
      <c r="N209" s="170"/>
    </row>
    <row r="210" customHeight="1" spans="2:14">
      <c r="B210" s="3"/>
      <c r="M210" s="170"/>
      <c r="N210" s="170"/>
    </row>
    <row r="211" customHeight="1" spans="2:15">
      <c r="B211" s="3"/>
      <c r="M211" s="170"/>
      <c r="N211" s="170"/>
      <c r="O211" s="170"/>
    </row>
    <row r="212" customHeight="1" spans="2:15">
      <c r="B212" s="3"/>
      <c r="M212" s="170"/>
      <c r="N212" s="170"/>
      <c r="O212" s="170"/>
    </row>
    <row r="213" customHeight="1" spans="2:15">
      <c r="B213" s="3"/>
      <c r="M213" s="170"/>
      <c r="N213" s="170"/>
      <c r="O213" s="170"/>
    </row>
    <row r="214" customHeight="1" spans="2:15">
      <c r="B214" s="3"/>
      <c r="M214" s="170"/>
      <c r="N214" s="170"/>
      <c r="O214" s="170"/>
    </row>
    <row r="215" customHeight="1" spans="2:15">
      <c r="B215" s="3"/>
      <c r="M215" s="170"/>
      <c r="N215" s="170"/>
      <c r="O215" s="170"/>
    </row>
    <row r="216" customHeight="1" spans="2:15">
      <c r="B216" s="3"/>
      <c r="M216" s="170"/>
      <c r="N216" s="170"/>
      <c r="O216" s="170"/>
    </row>
    <row r="217" customHeight="1" spans="2:15">
      <c r="B217" s="3"/>
      <c r="M217" s="170"/>
      <c r="N217" s="170"/>
      <c r="O217" s="170"/>
    </row>
    <row r="218" customHeight="1" spans="2:15">
      <c r="B218" s="3"/>
      <c r="M218" s="170"/>
      <c r="N218" s="170"/>
      <c r="O218" s="170"/>
    </row>
    <row r="219" customHeight="1" spans="2:15">
      <c r="B219" s="3"/>
      <c r="M219" s="170"/>
      <c r="N219" s="170"/>
      <c r="O219" s="170"/>
    </row>
    <row r="220" customHeight="1" spans="2:15">
      <c r="B220" s="3"/>
      <c r="M220" s="170"/>
      <c r="N220" s="170"/>
      <c r="O220" s="170"/>
    </row>
    <row r="221" customHeight="1" spans="2:15">
      <c r="B221" s="3"/>
      <c r="M221" s="170"/>
      <c r="N221" s="170"/>
      <c r="O221" s="170"/>
    </row>
    <row r="222" customHeight="1" spans="2:15">
      <c r="B222" s="3"/>
      <c r="M222" s="170"/>
      <c r="N222" s="170"/>
      <c r="O222" s="170"/>
    </row>
  </sheetData>
  <autoFilter xmlns:etc="http://www.wps.cn/officeDocument/2017/etCustomData" ref="C4:C213" etc:filterBottomFollowUsedRange="0">
    <extLst/>
  </autoFilter>
  <mergeCells count="82">
    <mergeCell ref="B2:L2"/>
    <mergeCell ref="E4:H4"/>
    <mergeCell ref="E23:H23"/>
    <mergeCell ref="E43:H43"/>
    <mergeCell ref="E61:H61"/>
    <mergeCell ref="E82:H82"/>
    <mergeCell ref="E101:H101"/>
    <mergeCell ref="E122:H122"/>
    <mergeCell ref="E142:H142"/>
    <mergeCell ref="E163:H163"/>
    <mergeCell ref="E183:H183"/>
    <mergeCell ref="B204:L204"/>
    <mergeCell ref="B4:B5"/>
    <mergeCell ref="B23:B24"/>
    <mergeCell ref="B43:B44"/>
    <mergeCell ref="B61:B62"/>
    <mergeCell ref="B82:B83"/>
    <mergeCell ref="B101:B102"/>
    <mergeCell ref="B122:B123"/>
    <mergeCell ref="B142:B143"/>
    <mergeCell ref="B163:B164"/>
    <mergeCell ref="B183:B184"/>
    <mergeCell ref="C4:C5"/>
    <mergeCell ref="C23:C24"/>
    <mergeCell ref="C43:C44"/>
    <mergeCell ref="C61:C62"/>
    <mergeCell ref="C82:C83"/>
    <mergeCell ref="C101:C102"/>
    <mergeCell ref="C122:C123"/>
    <mergeCell ref="C142:C143"/>
    <mergeCell ref="C163:C164"/>
    <mergeCell ref="C183:C184"/>
    <mergeCell ref="D4:D5"/>
    <mergeCell ref="D23:D24"/>
    <mergeCell ref="D43:D44"/>
    <mergeCell ref="D61:D62"/>
    <mergeCell ref="D82:D83"/>
    <mergeCell ref="D101:D102"/>
    <mergeCell ref="D122:D123"/>
    <mergeCell ref="D142:D143"/>
    <mergeCell ref="D163:D164"/>
    <mergeCell ref="D183:D184"/>
    <mergeCell ref="I4:I5"/>
    <mergeCell ref="I23:I24"/>
    <mergeCell ref="I43:I44"/>
    <mergeCell ref="I61:I62"/>
    <mergeCell ref="I82:I83"/>
    <mergeCell ref="I101:I102"/>
    <mergeCell ref="I122:I123"/>
    <mergeCell ref="I142:I143"/>
    <mergeCell ref="I163:I164"/>
    <mergeCell ref="I183:I184"/>
    <mergeCell ref="J4:J5"/>
    <mergeCell ref="J23:J24"/>
    <mergeCell ref="J43:J44"/>
    <mergeCell ref="J61:J62"/>
    <mergeCell ref="J82:J83"/>
    <mergeCell ref="J101:J102"/>
    <mergeCell ref="J122:J123"/>
    <mergeCell ref="J142:J143"/>
    <mergeCell ref="J163:J164"/>
    <mergeCell ref="J183:J184"/>
    <mergeCell ref="K4:K5"/>
    <mergeCell ref="K23:K24"/>
    <mergeCell ref="K43:K44"/>
    <mergeCell ref="K61:K62"/>
    <mergeCell ref="K82:K83"/>
    <mergeCell ref="K101:K102"/>
    <mergeCell ref="K122:K123"/>
    <mergeCell ref="K142:K143"/>
    <mergeCell ref="K163:K164"/>
    <mergeCell ref="K183:K184"/>
    <mergeCell ref="L4:L5"/>
    <mergeCell ref="L23:L24"/>
    <mergeCell ref="L43:L44"/>
    <mergeCell ref="L61:L62"/>
    <mergeCell ref="L82:L83"/>
    <mergeCell ref="L101:L102"/>
    <mergeCell ref="L122:L123"/>
    <mergeCell ref="L142:L143"/>
    <mergeCell ref="L163:L164"/>
    <mergeCell ref="L183:L184"/>
  </mergeCells>
  <pageMargins left="0" right="0" top="0.354330708661417" bottom="0.15748031496063" header="0.196850393700787" footer="0"/>
  <pageSetup paperSize="9" scale="46" orientation="landscape"/>
  <headerFooter/>
  <rowBreaks count="7" manualBreakCount="7">
    <brk id="41" max="12" man="1"/>
    <brk id="80" max="12" man="1"/>
    <brk id="120" max="12" man="1"/>
    <brk id="161" max="12" man="1"/>
    <brk id="203" max="11" man="1"/>
    <brk id="209" max="12" man="1"/>
    <brk id="244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1-4 классы</vt:lpstr>
      <vt:lpstr>5-11кл.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shevkie</cp:lastModifiedBy>
  <dcterms:created xsi:type="dcterms:W3CDTF">2006-09-16T03:00:00Z</dcterms:created>
  <dcterms:modified xsi:type="dcterms:W3CDTF">2026-01-17T19:39:35Z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DE944E9352882DD347BB6B69419E05A5_42</vt:lpwstr>
  </property>
  <property fmtid="{D5CDD505-2E9C-101B-9397-08002B2CF9AE}" pid="3" name="KSOProductBuildVer">
    <vt:lpwstr>1033-6.12.2.8699</vt:lpwstr>
  </property>
</Properties>
</file>