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ЦДЮТ\РЕЙТИНГ\РЕЙТИНГ 2019-2020\МСОКО ИТОГИ\по школам\Исправленный\"/>
    </mc:Choice>
  </mc:AlternateContent>
  <bookViews>
    <workbookView xWindow="-120" yWindow="-120" windowWidth="29040" windowHeight="15840" tabRatio="850"/>
  </bookViews>
  <sheets>
    <sheet name="ИТОГ " sheetId="38" r:id="rId1"/>
    <sheet name="1.1. 1-4" sheetId="9" r:id="rId2"/>
    <sheet name="1.2.10 Проф" sheetId="21" r:id="rId3"/>
    <sheet name="1.2. 20" sheetId="10" r:id="rId4"/>
    <sheet name="1.3. 20" sheetId="11" r:id="rId5"/>
    <sheet name="2.1.1. УУД &quot;4+5&quot;" sheetId="29" r:id="rId6"/>
    <sheet name="2.1.2. УУД &quot;2&quot; " sheetId="31" r:id="rId7"/>
    <sheet name="2.1.3. ВсОШ" sheetId="19" r:id="rId8"/>
    <sheet name="2.1.4. Конкурсы" sheetId="32" state="hidden" r:id="rId9"/>
    <sheet name="2.1.6. Спорт" sheetId="33" r:id="rId10"/>
    <sheet name="2.1.5. МАН" sheetId="20" r:id="rId11"/>
    <sheet name="2.1. 20" sheetId="12" r:id="rId12"/>
    <sheet name="2.2. 20" sheetId="13" r:id="rId13"/>
    <sheet name="2.3.5.Исп.дисц" sheetId="34" r:id="rId14"/>
    <sheet name="2.3. 20" sheetId="14" r:id="rId15"/>
    <sheet name="2.4. 20" sheetId="24" r:id="rId16"/>
    <sheet name="Справка 20" sheetId="16" r:id="rId17"/>
  </sheets>
  <definedNames>
    <definedName name="_xlnm.Print_Area" localSheetId="1">'1.1. 1-4'!$A$1:$X$48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38" l="1"/>
  <c r="D45" i="38" l="1"/>
  <c r="F44" i="38" l="1"/>
  <c r="H44" i="38" s="1"/>
  <c r="F41" i="38"/>
  <c r="H41" i="38" s="1"/>
  <c r="F39" i="38"/>
  <c r="H39" i="38" s="1"/>
  <c r="F43" i="38"/>
  <c r="F42" i="38"/>
  <c r="F40" i="38"/>
  <c r="H40" i="38" s="1"/>
  <c r="F37" i="38"/>
  <c r="F36" i="38"/>
  <c r="F35" i="38"/>
  <c r="F34" i="38"/>
  <c r="F32" i="38"/>
  <c r="F31" i="38"/>
  <c r="F30" i="38"/>
  <c r="F29" i="38"/>
  <c r="H29" i="38" s="1"/>
  <c r="F25" i="38"/>
  <c r="H25" i="38" s="1"/>
  <c r="F23" i="38"/>
  <c r="F22" i="38"/>
  <c r="F21" i="38"/>
  <c r="F19" i="38"/>
  <c r="F16" i="38"/>
  <c r="F12" i="38"/>
  <c r="F9" i="38"/>
  <c r="H9" i="38" s="1"/>
  <c r="F8" i="38"/>
  <c r="F7" i="38"/>
  <c r="J9" i="13"/>
  <c r="I9" i="13"/>
  <c r="F13" i="38"/>
  <c r="F27" i="38"/>
  <c r="H27" i="38" s="1"/>
  <c r="F26" i="38"/>
  <c r="H26" i="38" s="1"/>
  <c r="F28" i="38"/>
  <c r="H28" i="38" s="1"/>
  <c r="F15" i="38"/>
  <c r="H15" i="38" s="1"/>
  <c r="F38" i="38"/>
  <c r="H38" i="38" s="1"/>
  <c r="G44" i="13"/>
  <c r="F18" i="38"/>
  <c r="H18" i="38" s="1"/>
  <c r="G43" i="13"/>
  <c r="G36" i="13"/>
  <c r="F11" i="38"/>
  <c r="G35" i="13"/>
  <c r="G33" i="13"/>
  <c r="F20" i="38"/>
  <c r="H20" i="38" s="1"/>
  <c r="G32" i="13"/>
  <c r="F24" i="38"/>
  <c r="H24" i="38" s="1"/>
  <c r="G27" i="13"/>
  <c r="G26" i="13"/>
  <c r="F33" i="38"/>
  <c r="H33" i="38" s="1"/>
  <c r="G24" i="13"/>
  <c r="F17" i="38"/>
  <c r="H17" i="38" s="1"/>
  <c r="G17" i="13"/>
  <c r="F10" i="38"/>
  <c r="H10" i="38" s="1"/>
  <c r="G11" i="13"/>
  <c r="F14" i="38"/>
  <c r="H14" i="38" s="1"/>
  <c r="G10" i="13"/>
  <c r="G9" i="13"/>
  <c r="G7" i="13"/>
  <c r="H8" i="38"/>
  <c r="G8" i="13"/>
  <c r="T44" i="13"/>
  <c r="T43" i="13"/>
  <c r="R42" i="13"/>
  <c r="T42" i="13"/>
  <c r="T36" i="13"/>
  <c r="O36" i="13"/>
  <c r="T35" i="13"/>
  <c r="R32" i="13"/>
  <c r="T26" i="13"/>
  <c r="T25" i="13"/>
  <c r="R23" i="13"/>
  <c r="T19" i="13"/>
  <c r="T18" i="13"/>
  <c r="T17" i="13"/>
  <c r="T13" i="13"/>
  <c r="T12" i="13"/>
  <c r="T9" i="13"/>
  <c r="H7" i="38" l="1"/>
  <c r="H45" i="38" s="1"/>
  <c r="F45" i="38"/>
  <c r="G28" i="13"/>
  <c r="G23" i="13"/>
  <c r="G18" i="13"/>
  <c r="Y49" i="12" l="1"/>
  <c r="Z49" i="12"/>
  <c r="AA49" i="12"/>
  <c r="AB49" i="12"/>
  <c r="Y50" i="12"/>
  <c r="Z50" i="12"/>
  <c r="AA50" i="12"/>
  <c r="AB50" i="12"/>
  <c r="AA48" i="12"/>
  <c r="Y48" i="12"/>
  <c r="Z48" i="12" s="1"/>
  <c r="AB48" i="12" s="1"/>
  <c r="AB8" i="12" l="1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AB39" i="12"/>
  <c r="AB40" i="12"/>
  <c r="AB41" i="12"/>
  <c r="AB43" i="12"/>
  <c r="AB44" i="12"/>
  <c r="AB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3" i="12"/>
  <c r="Z44" i="12"/>
  <c r="Z7" i="12"/>
  <c r="K5" i="31"/>
  <c r="K6" i="31"/>
  <c r="K7" i="31"/>
  <c r="K8" i="31"/>
  <c r="K9" i="31"/>
  <c r="K10" i="31"/>
  <c r="K11" i="31"/>
  <c r="K14" i="31"/>
  <c r="K15" i="31"/>
  <c r="K16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6" i="31"/>
  <c r="K37" i="31"/>
  <c r="K38" i="31"/>
  <c r="K39" i="31"/>
  <c r="K40" i="31"/>
  <c r="K41" i="31"/>
  <c r="K4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E5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" i="31"/>
  <c r="U12" i="12"/>
  <c r="F8" i="12"/>
  <c r="G8" i="12"/>
  <c r="H8" i="12"/>
  <c r="I8" i="12"/>
  <c r="F9" i="12"/>
  <c r="G9" i="12"/>
  <c r="H9" i="12"/>
  <c r="I9" i="12"/>
  <c r="F10" i="12"/>
  <c r="G10" i="12"/>
  <c r="H10" i="12"/>
  <c r="I10" i="12"/>
  <c r="F11" i="12"/>
  <c r="G11" i="12"/>
  <c r="H11" i="12"/>
  <c r="I11" i="12"/>
  <c r="F12" i="12"/>
  <c r="G12" i="12"/>
  <c r="H12" i="12"/>
  <c r="I12" i="12"/>
  <c r="F13" i="12"/>
  <c r="G13" i="12"/>
  <c r="H13" i="12"/>
  <c r="I13" i="12"/>
  <c r="F14" i="12"/>
  <c r="G14" i="12"/>
  <c r="H14" i="12"/>
  <c r="I14" i="12"/>
  <c r="F15" i="12"/>
  <c r="G15" i="12"/>
  <c r="H15" i="12"/>
  <c r="I15" i="12"/>
  <c r="F16" i="12"/>
  <c r="G16" i="12"/>
  <c r="H16" i="12"/>
  <c r="I16" i="12"/>
  <c r="F17" i="12"/>
  <c r="G17" i="12"/>
  <c r="H17" i="12"/>
  <c r="I17" i="12"/>
  <c r="F18" i="12"/>
  <c r="G18" i="12"/>
  <c r="H18" i="12"/>
  <c r="I18" i="12"/>
  <c r="F19" i="12"/>
  <c r="G19" i="12"/>
  <c r="H19" i="12"/>
  <c r="I19" i="12"/>
  <c r="F20" i="12"/>
  <c r="G20" i="12"/>
  <c r="H20" i="12"/>
  <c r="I20" i="12"/>
  <c r="F21" i="12"/>
  <c r="G21" i="12"/>
  <c r="H21" i="12"/>
  <c r="I21" i="12"/>
  <c r="F22" i="12"/>
  <c r="G22" i="12"/>
  <c r="H22" i="12"/>
  <c r="I22" i="12"/>
  <c r="F23" i="12"/>
  <c r="G23" i="12"/>
  <c r="H23" i="12"/>
  <c r="I23" i="12"/>
  <c r="F24" i="12"/>
  <c r="G24" i="12"/>
  <c r="H24" i="12"/>
  <c r="I24" i="12"/>
  <c r="F25" i="12"/>
  <c r="G25" i="12"/>
  <c r="H25" i="12"/>
  <c r="I25" i="12"/>
  <c r="F26" i="12"/>
  <c r="G26" i="12"/>
  <c r="H26" i="12"/>
  <c r="I26" i="12"/>
  <c r="F27" i="12"/>
  <c r="G27" i="12"/>
  <c r="H27" i="12"/>
  <c r="I27" i="12"/>
  <c r="F28" i="12"/>
  <c r="G28" i="12"/>
  <c r="H28" i="12"/>
  <c r="I28" i="12"/>
  <c r="F29" i="12"/>
  <c r="G29" i="12"/>
  <c r="H29" i="12"/>
  <c r="I29" i="12"/>
  <c r="F30" i="12"/>
  <c r="G30" i="12"/>
  <c r="H30" i="12"/>
  <c r="I30" i="12"/>
  <c r="F31" i="12"/>
  <c r="G31" i="12"/>
  <c r="H31" i="12"/>
  <c r="I31" i="12"/>
  <c r="F32" i="12"/>
  <c r="G32" i="12"/>
  <c r="H32" i="12"/>
  <c r="I32" i="12"/>
  <c r="F33" i="12"/>
  <c r="G33" i="12"/>
  <c r="H33" i="12"/>
  <c r="I33" i="12"/>
  <c r="F34" i="12"/>
  <c r="G34" i="12"/>
  <c r="H34" i="12"/>
  <c r="I34" i="12"/>
  <c r="F35" i="12"/>
  <c r="G35" i="12"/>
  <c r="H35" i="12"/>
  <c r="I35" i="12"/>
  <c r="F36" i="12"/>
  <c r="G36" i="12"/>
  <c r="H36" i="12"/>
  <c r="I36" i="12"/>
  <c r="F37" i="12"/>
  <c r="G37" i="12"/>
  <c r="H37" i="12"/>
  <c r="I37" i="12"/>
  <c r="F38" i="12"/>
  <c r="G38" i="12"/>
  <c r="H38" i="12"/>
  <c r="I38" i="12"/>
  <c r="F39" i="12"/>
  <c r="G39" i="12"/>
  <c r="H39" i="12"/>
  <c r="I39" i="12"/>
  <c r="F40" i="12"/>
  <c r="G40" i="12"/>
  <c r="H40" i="12"/>
  <c r="I40" i="12"/>
  <c r="F41" i="12"/>
  <c r="G41" i="12"/>
  <c r="H41" i="12"/>
  <c r="I41" i="12"/>
  <c r="F42" i="12"/>
  <c r="G42" i="12"/>
  <c r="H42" i="12"/>
  <c r="I42" i="12"/>
  <c r="F43" i="12"/>
  <c r="G43" i="12"/>
  <c r="H43" i="12"/>
  <c r="I43" i="12"/>
  <c r="F44" i="12"/>
  <c r="G44" i="12"/>
  <c r="H44" i="12"/>
  <c r="I44" i="12"/>
  <c r="I7" i="12"/>
  <c r="H7" i="12"/>
  <c r="G7" i="12"/>
  <c r="F7" i="12"/>
  <c r="BZ23" i="32"/>
  <c r="BZ24" i="32"/>
  <c r="BZ25" i="32"/>
  <c r="BZ26" i="32"/>
  <c r="BZ27" i="32"/>
  <c r="BZ28" i="32"/>
  <c r="BZ29" i="32"/>
  <c r="BZ30" i="32"/>
  <c r="BZ31" i="32"/>
  <c r="BZ32" i="32"/>
  <c r="BZ33" i="32"/>
  <c r="BZ34" i="32"/>
  <c r="BZ35" i="32"/>
  <c r="BZ36" i="32"/>
  <c r="BZ37" i="32"/>
  <c r="BZ38" i="32"/>
  <c r="BZ39" i="32"/>
  <c r="BZ40" i="32"/>
  <c r="BZ41" i="32"/>
  <c r="BY39" i="32"/>
  <c r="BY37" i="32"/>
  <c r="BY38" i="32"/>
  <c r="BY36" i="32"/>
  <c r="BY34" i="32"/>
  <c r="BY33" i="32"/>
  <c r="BY32" i="32"/>
  <c r="BY31" i="32"/>
  <c r="BY27" i="32"/>
  <c r="BY41" i="32"/>
  <c r="BY40" i="32"/>
  <c r="BY35" i="32"/>
  <c r="BY30" i="32"/>
  <c r="BY26" i="32"/>
  <c r="BY25" i="32"/>
  <c r="BY29" i="32"/>
  <c r="BY28" i="32"/>
  <c r="BY24" i="32"/>
  <c r="BY23" i="32"/>
  <c r="BY22" i="32"/>
  <c r="BY21" i="32"/>
  <c r="BY20" i="32"/>
  <c r="BY19" i="32"/>
  <c r="BY18" i="32"/>
  <c r="BY16" i="32"/>
  <c r="BY15" i="32"/>
  <c r="BY14" i="32"/>
  <c r="BY13" i="32"/>
  <c r="BY12" i="32"/>
  <c r="BY11" i="32"/>
  <c r="BY9" i="32"/>
  <c r="BZ8" i="32"/>
  <c r="BY8" i="32"/>
  <c r="BY7" i="32"/>
  <c r="BY6" i="32"/>
  <c r="BY5" i="32"/>
  <c r="BZ5" i="32"/>
  <c r="BZ6" i="32"/>
  <c r="BZ7" i="32"/>
  <c r="BZ9" i="32"/>
  <c r="BY10" i="32"/>
  <c r="BZ10" i="32"/>
  <c r="BZ11" i="32"/>
  <c r="BZ12" i="32"/>
  <c r="BZ13" i="32"/>
  <c r="BZ14" i="32"/>
  <c r="BZ15" i="32"/>
  <c r="BZ16" i="32"/>
  <c r="BY17" i="32"/>
  <c r="BZ17" i="32"/>
  <c r="BZ18" i="32"/>
  <c r="BZ19" i="32"/>
  <c r="BZ20" i="32"/>
  <c r="BZ21" i="32"/>
  <c r="BZ22" i="32"/>
  <c r="BZ4" i="32"/>
  <c r="BY4" i="32"/>
  <c r="DK42" i="32" l="1"/>
  <c r="DJ42" i="32"/>
  <c r="DI42" i="32"/>
  <c r="DH42" i="32"/>
  <c r="DG42" i="32"/>
  <c r="DF42" i="32"/>
  <c r="DE42" i="32"/>
  <c r="DD42" i="32"/>
  <c r="DC42" i="32"/>
  <c r="DB42" i="32"/>
  <c r="DA42" i="32"/>
  <c r="CZ42" i="32"/>
  <c r="CY42" i="32"/>
  <c r="CX42" i="32"/>
  <c r="CW42" i="32"/>
  <c r="CV42" i="32"/>
  <c r="CU42" i="32"/>
  <c r="CT42" i="32"/>
  <c r="CS42" i="32"/>
  <c r="CR42" i="32"/>
  <c r="CQ42" i="32"/>
  <c r="CP42" i="32"/>
  <c r="CO42" i="32"/>
  <c r="CN42" i="32"/>
  <c r="CM42" i="32"/>
  <c r="CL42" i="32"/>
  <c r="CK42" i="32"/>
  <c r="CJ42" i="32"/>
  <c r="CI42" i="32"/>
  <c r="CH42" i="32"/>
  <c r="CD26" i="32" l="1"/>
  <c r="L43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8" i="14"/>
  <c r="K9" i="14"/>
  <c r="K7" i="14"/>
  <c r="I7" i="14"/>
  <c r="I8" i="14"/>
  <c r="I9" i="14"/>
  <c r="I10" i="14"/>
  <c r="I11" i="14"/>
  <c r="I12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13" i="14"/>
  <c r="P36" i="13"/>
  <c r="L37" i="13"/>
  <c r="K37" i="13"/>
  <c r="K36" i="13"/>
  <c r="K28" i="13"/>
  <c r="K12" i="13"/>
  <c r="L12" i="13"/>
  <c r="K9" i="13"/>
  <c r="V7" i="13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7" i="11"/>
  <c r="J48" i="24" l="1"/>
  <c r="H51" i="24"/>
  <c r="I51" i="24"/>
  <c r="I49" i="24"/>
  <c r="I50" i="24"/>
  <c r="I48" i="24"/>
  <c r="I24" i="24"/>
  <c r="I25" i="24"/>
  <c r="I40" i="24"/>
  <c r="I41" i="24"/>
  <c r="H49" i="24"/>
  <c r="H50" i="24"/>
  <c r="H48" i="24"/>
  <c r="AB51" i="12"/>
  <c r="Z51" i="12"/>
  <c r="AA51" i="12"/>
  <c r="Y51" i="12"/>
  <c r="G49" i="24"/>
  <c r="J49" i="24" s="1"/>
  <c r="G50" i="24"/>
  <c r="J50" i="24" s="1"/>
  <c r="G48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7" i="24"/>
  <c r="E45" i="24"/>
  <c r="F45" i="24"/>
  <c r="D45" i="24"/>
  <c r="C45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7" i="24"/>
  <c r="L51" i="14"/>
  <c r="L48" i="14"/>
  <c r="L49" i="14"/>
  <c r="L50" i="14"/>
  <c r="K49" i="14"/>
  <c r="K50" i="14"/>
  <c r="K48" i="14"/>
  <c r="D51" i="14"/>
  <c r="E51" i="14"/>
  <c r="F51" i="14"/>
  <c r="H51" i="14"/>
  <c r="J51" i="14"/>
  <c r="K51" i="14"/>
  <c r="C51" i="14"/>
  <c r="L8" i="14"/>
  <c r="I8" i="24" s="1"/>
  <c r="L9" i="14"/>
  <c r="I9" i="24" s="1"/>
  <c r="L10" i="14"/>
  <c r="I10" i="24" s="1"/>
  <c r="L11" i="14"/>
  <c r="I11" i="24" s="1"/>
  <c r="L12" i="14"/>
  <c r="I12" i="24" s="1"/>
  <c r="L13" i="14"/>
  <c r="I13" i="24" s="1"/>
  <c r="L14" i="14"/>
  <c r="I14" i="24" s="1"/>
  <c r="L15" i="14"/>
  <c r="I15" i="24" s="1"/>
  <c r="L16" i="14"/>
  <c r="I16" i="24" s="1"/>
  <c r="L17" i="14"/>
  <c r="I17" i="24" s="1"/>
  <c r="L18" i="14"/>
  <c r="I18" i="24" s="1"/>
  <c r="L19" i="14"/>
  <c r="I19" i="24" s="1"/>
  <c r="L20" i="14"/>
  <c r="I20" i="24" s="1"/>
  <c r="L21" i="14"/>
  <c r="I21" i="24" s="1"/>
  <c r="L22" i="14"/>
  <c r="I22" i="24" s="1"/>
  <c r="L23" i="14"/>
  <c r="I23" i="24" s="1"/>
  <c r="L24" i="14"/>
  <c r="L25" i="14"/>
  <c r="L26" i="14"/>
  <c r="I26" i="24" s="1"/>
  <c r="L27" i="14"/>
  <c r="I27" i="24" s="1"/>
  <c r="L28" i="14"/>
  <c r="I28" i="24" s="1"/>
  <c r="L29" i="14"/>
  <c r="I29" i="24" s="1"/>
  <c r="L30" i="14"/>
  <c r="I30" i="24" s="1"/>
  <c r="L31" i="14"/>
  <c r="I31" i="24" s="1"/>
  <c r="L32" i="14"/>
  <c r="I32" i="24" s="1"/>
  <c r="L33" i="14"/>
  <c r="I33" i="24" s="1"/>
  <c r="L34" i="14"/>
  <c r="I34" i="24" s="1"/>
  <c r="L35" i="14"/>
  <c r="I35" i="24" s="1"/>
  <c r="L36" i="14"/>
  <c r="I36" i="24" s="1"/>
  <c r="L37" i="14"/>
  <c r="I37" i="24" s="1"/>
  <c r="L38" i="14"/>
  <c r="I38" i="24" s="1"/>
  <c r="L39" i="14"/>
  <c r="I39" i="24" s="1"/>
  <c r="L40" i="14"/>
  <c r="L41" i="14"/>
  <c r="L42" i="14"/>
  <c r="I42" i="24" s="1"/>
  <c r="I43" i="24"/>
  <c r="L7" i="14"/>
  <c r="I7" i="24" s="1"/>
  <c r="D45" i="14"/>
  <c r="E45" i="14"/>
  <c r="F45" i="14"/>
  <c r="G45" i="14"/>
  <c r="H45" i="14"/>
  <c r="J45" i="14"/>
  <c r="K45" i="14"/>
  <c r="C45" i="14"/>
  <c r="Q47" i="34"/>
  <c r="D47" i="34"/>
  <c r="E47" i="34"/>
  <c r="F47" i="34"/>
  <c r="G47" i="34"/>
  <c r="H47" i="34"/>
  <c r="I47" i="34"/>
  <c r="J47" i="34"/>
  <c r="K47" i="34"/>
  <c r="L47" i="34"/>
  <c r="M47" i="34"/>
  <c r="N47" i="34"/>
  <c r="O47" i="34"/>
  <c r="P47" i="34"/>
  <c r="C47" i="34"/>
  <c r="Q42" i="34"/>
  <c r="D42" i="34"/>
  <c r="E42" i="34"/>
  <c r="F42" i="34"/>
  <c r="G42" i="34"/>
  <c r="H42" i="34"/>
  <c r="I42" i="34"/>
  <c r="J42" i="34"/>
  <c r="K42" i="34"/>
  <c r="L42" i="34"/>
  <c r="M42" i="34"/>
  <c r="N42" i="34"/>
  <c r="O42" i="34"/>
  <c r="P42" i="34"/>
  <c r="C42" i="34"/>
  <c r="H45" i="13"/>
  <c r="I45" i="13"/>
  <c r="K45" i="13"/>
  <c r="L45" i="13"/>
  <c r="O45" i="13"/>
  <c r="P45" i="13"/>
  <c r="Q45" i="13"/>
  <c r="R45" i="13"/>
  <c r="S45" i="13"/>
  <c r="T45" i="13"/>
  <c r="U45" i="13"/>
  <c r="G45" i="13"/>
  <c r="D45" i="13"/>
  <c r="C45" i="13"/>
  <c r="X50" i="16"/>
  <c r="E50" i="16"/>
  <c r="F50" i="16"/>
  <c r="G50" i="16"/>
  <c r="J50" i="16"/>
  <c r="D50" i="16"/>
  <c r="C50" i="16"/>
  <c r="M45" i="16"/>
  <c r="N45" i="16"/>
  <c r="O45" i="16"/>
  <c r="X45" i="16"/>
  <c r="Y45" i="16"/>
  <c r="W45" i="16"/>
  <c r="V45" i="16"/>
  <c r="Q45" i="16"/>
  <c r="R45" i="16"/>
  <c r="S45" i="16"/>
  <c r="P45" i="16"/>
  <c r="G45" i="16"/>
  <c r="H45" i="16"/>
  <c r="I45" i="16"/>
  <c r="J45" i="16"/>
  <c r="K45" i="16"/>
  <c r="L45" i="16"/>
  <c r="C45" i="16"/>
  <c r="F45" i="16"/>
  <c r="E45" i="16"/>
  <c r="D45" i="16"/>
  <c r="G51" i="24" l="1"/>
  <c r="J51" i="24"/>
  <c r="L45" i="14"/>
  <c r="I45" i="24"/>
  <c r="V8" i="13"/>
  <c r="X8" i="13"/>
  <c r="Y8" i="13" s="1"/>
  <c r="V9" i="13"/>
  <c r="X9" i="13"/>
  <c r="V10" i="13"/>
  <c r="X10" i="13"/>
  <c r="V11" i="13"/>
  <c r="X11" i="13"/>
  <c r="V12" i="13"/>
  <c r="W12" i="13" s="1"/>
  <c r="Y12" i="13" s="1"/>
  <c r="H12" i="24" s="1"/>
  <c r="X12" i="13"/>
  <c r="V13" i="13"/>
  <c r="W13" i="13" s="1"/>
  <c r="Y13" i="13" s="1"/>
  <c r="H13" i="24" s="1"/>
  <c r="X13" i="13"/>
  <c r="V17" i="13"/>
  <c r="X17" i="13"/>
  <c r="V18" i="13"/>
  <c r="X18" i="13"/>
  <c r="V19" i="13"/>
  <c r="W19" i="13" s="1"/>
  <c r="Y19" i="13" s="1"/>
  <c r="H19" i="24" s="1"/>
  <c r="X19" i="13"/>
  <c r="V21" i="13"/>
  <c r="W21" i="13" s="1"/>
  <c r="Y21" i="13" s="1"/>
  <c r="H21" i="24" s="1"/>
  <c r="X21" i="13"/>
  <c r="V22" i="13"/>
  <c r="X22" i="13"/>
  <c r="V23" i="13"/>
  <c r="X23" i="13"/>
  <c r="V24" i="13"/>
  <c r="X24" i="13"/>
  <c r="V25" i="13"/>
  <c r="W25" i="13" s="1"/>
  <c r="Y25" i="13" s="1"/>
  <c r="H25" i="24" s="1"/>
  <c r="X25" i="13"/>
  <c r="V26" i="13"/>
  <c r="W26" i="13" s="1"/>
  <c r="Y26" i="13" s="1"/>
  <c r="H26" i="24" s="1"/>
  <c r="X26" i="13"/>
  <c r="V27" i="13"/>
  <c r="X27" i="13"/>
  <c r="V28" i="13"/>
  <c r="X28" i="13"/>
  <c r="V29" i="13"/>
  <c r="W29" i="13" s="1"/>
  <c r="Y29" i="13" s="1"/>
  <c r="H29" i="24" s="1"/>
  <c r="X29" i="13"/>
  <c r="V30" i="13"/>
  <c r="W30" i="13" s="1"/>
  <c r="Y30" i="13" s="1"/>
  <c r="H30" i="24" s="1"/>
  <c r="X30" i="13"/>
  <c r="V31" i="13"/>
  <c r="W31" i="13" s="1"/>
  <c r="Y31" i="13" s="1"/>
  <c r="H31" i="24" s="1"/>
  <c r="X31" i="13"/>
  <c r="V32" i="13"/>
  <c r="X32" i="13"/>
  <c r="V33" i="13"/>
  <c r="X33" i="13"/>
  <c r="V34" i="13"/>
  <c r="X34" i="13"/>
  <c r="V35" i="13"/>
  <c r="X35" i="13"/>
  <c r="V36" i="13"/>
  <c r="W36" i="13" s="1"/>
  <c r="Y36" i="13" s="1"/>
  <c r="H36" i="24" s="1"/>
  <c r="X36" i="13"/>
  <c r="V37" i="13"/>
  <c r="X37" i="13"/>
  <c r="V39" i="13"/>
  <c r="W39" i="13" s="1"/>
  <c r="Y39" i="13" s="1"/>
  <c r="H39" i="24" s="1"/>
  <c r="X39" i="13"/>
  <c r="V40" i="13"/>
  <c r="W40" i="13" s="1"/>
  <c r="Y40" i="13" s="1"/>
  <c r="H40" i="24" s="1"/>
  <c r="X40" i="13"/>
  <c r="V41" i="13"/>
  <c r="W41" i="13" s="1"/>
  <c r="Y41" i="13" s="1"/>
  <c r="H41" i="24" s="1"/>
  <c r="X41" i="13"/>
  <c r="V42" i="13"/>
  <c r="W42" i="13" s="1"/>
  <c r="Y42" i="13" s="1"/>
  <c r="H42" i="24" s="1"/>
  <c r="X42" i="13"/>
  <c r="V43" i="13"/>
  <c r="X43" i="13"/>
  <c r="V44" i="13"/>
  <c r="X44" i="13"/>
  <c r="X7" i="13"/>
  <c r="Y7" i="13" s="1"/>
  <c r="J7" i="13"/>
  <c r="W7" i="13" s="1"/>
  <c r="H8" i="24" l="1"/>
  <c r="X45" i="13"/>
  <c r="V45" i="13"/>
  <c r="P42" i="20"/>
  <c r="M42" i="20"/>
  <c r="D42" i="20"/>
  <c r="E42" i="20"/>
  <c r="F42" i="20"/>
  <c r="G42" i="20"/>
  <c r="H42" i="20"/>
  <c r="I42" i="20"/>
  <c r="J42" i="20"/>
  <c r="K42" i="20"/>
  <c r="L42" i="20"/>
  <c r="N42" i="20"/>
  <c r="O42" i="20"/>
  <c r="C42" i="20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7" i="12"/>
  <c r="C49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BB49" i="19"/>
  <c r="BC49" i="19"/>
  <c r="BD49" i="19"/>
  <c r="BE49" i="19"/>
  <c r="BF49" i="19"/>
  <c r="BG49" i="19"/>
  <c r="BH49" i="19"/>
  <c r="BI49" i="19"/>
  <c r="BJ49" i="19"/>
  <c r="BK49" i="19"/>
  <c r="BL49" i="19"/>
  <c r="BM49" i="19"/>
  <c r="BN49" i="19"/>
  <c r="BO49" i="19"/>
  <c r="BP49" i="19"/>
  <c r="BQ49" i="19"/>
  <c r="BR49" i="19"/>
  <c r="BS49" i="19"/>
  <c r="BT49" i="19"/>
  <c r="BU49" i="19"/>
  <c r="BV49" i="19"/>
  <c r="BW49" i="19"/>
  <c r="BX49" i="19"/>
  <c r="BY49" i="19"/>
  <c r="BZ49" i="19"/>
  <c r="CA49" i="19"/>
  <c r="CB49" i="19"/>
  <c r="CC49" i="19"/>
  <c r="CD49" i="19"/>
  <c r="CE49" i="19"/>
  <c r="CF49" i="19"/>
  <c r="CG49" i="19"/>
  <c r="CH49" i="19"/>
  <c r="CI49" i="19"/>
  <c r="CJ49" i="19"/>
  <c r="CK49" i="19"/>
  <c r="CL49" i="19"/>
  <c r="CM49" i="19"/>
  <c r="CN49" i="19"/>
  <c r="CO49" i="19"/>
  <c r="CP49" i="19"/>
  <c r="CQ49" i="19"/>
  <c r="CR49" i="19"/>
  <c r="CS49" i="19"/>
  <c r="CT49" i="19"/>
  <c r="CU49" i="19"/>
  <c r="CV49" i="19"/>
  <c r="CW49" i="19"/>
  <c r="CX49" i="19"/>
  <c r="CY49" i="19"/>
  <c r="CZ49" i="19"/>
  <c r="DA49" i="19"/>
  <c r="DB49" i="19"/>
  <c r="DC49" i="19"/>
  <c r="DD49" i="19"/>
  <c r="DE49" i="19"/>
  <c r="DF49" i="19"/>
  <c r="DG49" i="19"/>
  <c r="DH49" i="19"/>
  <c r="DI49" i="19"/>
  <c r="DJ49" i="19"/>
  <c r="DK49" i="19"/>
  <c r="DL49" i="19"/>
  <c r="DM49" i="19"/>
  <c r="DN49" i="19"/>
  <c r="DO49" i="19"/>
  <c r="DP49" i="19"/>
  <c r="DQ49" i="19"/>
  <c r="DR49" i="19"/>
  <c r="DS49" i="19"/>
  <c r="DT49" i="19"/>
  <c r="DU49" i="19"/>
  <c r="DV49" i="19"/>
  <c r="DW49" i="19"/>
  <c r="DX49" i="19"/>
  <c r="DY49" i="19"/>
  <c r="DZ49" i="19"/>
  <c r="EA49" i="19"/>
  <c r="EB49" i="19"/>
  <c r="EC49" i="19"/>
  <c r="ED49" i="19"/>
  <c r="EE49" i="19"/>
  <c r="EF49" i="19"/>
  <c r="EG49" i="19"/>
  <c r="EH49" i="19"/>
  <c r="EI49" i="19"/>
  <c r="EJ49" i="19"/>
  <c r="EK49" i="19"/>
  <c r="EL49" i="19"/>
  <c r="EM49" i="19"/>
  <c r="EN49" i="19"/>
  <c r="EO49" i="19"/>
  <c r="EP49" i="19"/>
  <c r="EQ49" i="19"/>
  <c r="ER49" i="19"/>
  <c r="ES49" i="19"/>
  <c r="ET49" i="19"/>
  <c r="EU49" i="19"/>
  <c r="EV49" i="19"/>
  <c r="EW49" i="19"/>
  <c r="EX49" i="19"/>
  <c r="EY49" i="19"/>
  <c r="EZ49" i="19"/>
  <c r="FA49" i="19"/>
  <c r="FB49" i="19"/>
  <c r="FC49" i="19"/>
  <c r="FD49" i="19"/>
  <c r="FE49" i="19"/>
  <c r="FF49" i="19"/>
  <c r="FG49" i="19"/>
  <c r="FH49" i="19"/>
  <c r="FI49" i="19"/>
  <c r="FJ49" i="19"/>
  <c r="FK49" i="19"/>
  <c r="FL49" i="19"/>
  <c r="FM49" i="19"/>
  <c r="FN49" i="19"/>
  <c r="FO49" i="19"/>
  <c r="FP49" i="19"/>
  <c r="FQ49" i="19"/>
  <c r="FR49" i="19"/>
  <c r="FS49" i="19"/>
  <c r="FT49" i="19"/>
  <c r="FU49" i="19"/>
  <c r="FV49" i="19"/>
  <c r="FW49" i="19"/>
  <c r="FX49" i="19"/>
  <c r="FY49" i="19"/>
  <c r="FZ49" i="19"/>
  <c r="GA49" i="19"/>
  <c r="GB49" i="19"/>
  <c r="GC49" i="19"/>
  <c r="GD49" i="19"/>
  <c r="GE49" i="19"/>
  <c r="GF49" i="19"/>
  <c r="GG49" i="19"/>
  <c r="GH49" i="19"/>
  <c r="GI49" i="19"/>
  <c r="GJ49" i="19"/>
  <c r="GK49" i="19"/>
  <c r="GL49" i="19"/>
  <c r="GX49" i="19"/>
  <c r="GU49" i="19"/>
  <c r="GR49" i="19"/>
  <c r="GO49" i="19"/>
  <c r="GN49" i="19"/>
  <c r="GP49" i="19"/>
  <c r="GQ49" i="19"/>
  <c r="GS49" i="19"/>
  <c r="GT49" i="19"/>
  <c r="GV49" i="19"/>
  <c r="GW49" i="19"/>
  <c r="GM49" i="19"/>
  <c r="GX43" i="19"/>
  <c r="GU43" i="19"/>
  <c r="GR43" i="19"/>
  <c r="GO43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O43" i="19"/>
  <c r="BP43" i="19"/>
  <c r="BQ43" i="19"/>
  <c r="BR43" i="19"/>
  <c r="BS43" i="19"/>
  <c r="BT43" i="19"/>
  <c r="BU43" i="19"/>
  <c r="BV43" i="19"/>
  <c r="BW43" i="19"/>
  <c r="BX43" i="19"/>
  <c r="BY43" i="19"/>
  <c r="BZ43" i="19"/>
  <c r="CA43" i="19"/>
  <c r="CB43" i="19"/>
  <c r="CC43" i="19"/>
  <c r="CD43" i="19"/>
  <c r="CE43" i="19"/>
  <c r="CF43" i="19"/>
  <c r="CG43" i="19"/>
  <c r="CH43" i="19"/>
  <c r="CI43" i="19"/>
  <c r="CJ43" i="19"/>
  <c r="CK43" i="19"/>
  <c r="CL43" i="19"/>
  <c r="CM43" i="19"/>
  <c r="CN43" i="19"/>
  <c r="CO43" i="19"/>
  <c r="CP43" i="19"/>
  <c r="CQ43" i="19"/>
  <c r="CR43" i="19"/>
  <c r="CS43" i="19"/>
  <c r="CT43" i="19"/>
  <c r="CU43" i="19"/>
  <c r="CV43" i="19"/>
  <c r="CW43" i="19"/>
  <c r="CX43" i="19"/>
  <c r="CY43" i="19"/>
  <c r="CZ43" i="19"/>
  <c r="DA43" i="19"/>
  <c r="DB43" i="19"/>
  <c r="DC43" i="19"/>
  <c r="DD43" i="19"/>
  <c r="DE43" i="19"/>
  <c r="DF43" i="19"/>
  <c r="DG43" i="19"/>
  <c r="DH43" i="19"/>
  <c r="DI43" i="19"/>
  <c r="DJ43" i="19"/>
  <c r="DK43" i="19"/>
  <c r="DL43" i="19"/>
  <c r="DM43" i="19"/>
  <c r="DN43" i="19"/>
  <c r="DO43" i="19"/>
  <c r="DP43" i="19"/>
  <c r="DQ43" i="19"/>
  <c r="DR43" i="19"/>
  <c r="DS43" i="19"/>
  <c r="DT43" i="19"/>
  <c r="DU43" i="19"/>
  <c r="DV43" i="19"/>
  <c r="DW43" i="19"/>
  <c r="DX43" i="19"/>
  <c r="DY43" i="19"/>
  <c r="DZ43" i="19"/>
  <c r="EA43" i="19"/>
  <c r="EB43" i="19"/>
  <c r="EC43" i="19"/>
  <c r="ED43" i="19"/>
  <c r="EE43" i="19"/>
  <c r="EF43" i="19"/>
  <c r="EG43" i="19"/>
  <c r="EH43" i="19"/>
  <c r="EI43" i="19"/>
  <c r="EJ43" i="19"/>
  <c r="EK43" i="19"/>
  <c r="EL43" i="19"/>
  <c r="EM43" i="19"/>
  <c r="EN43" i="19"/>
  <c r="EO43" i="19"/>
  <c r="EP43" i="19"/>
  <c r="EQ43" i="19"/>
  <c r="ER43" i="19"/>
  <c r="ES43" i="19"/>
  <c r="ET43" i="19"/>
  <c r="EU43" i="19"/>
  <c r="EV43" i="19"/>
  <c r="EW43" i="19"/>
  <c r="EX43" i="19"/>
  <c r="EY43" i="19"/>
  <c r="EZ43" i="19"/>
  <c r="FA43" i="19"/>
  <c r="FB43" i="19"/>
  <c r="FC43" i="19"/>
  <c r="FD43" i="19"/>
  <c r="FE43" i="19"/>
  <c r="FF43" i="19"/>
  <c r="FG43" i="19"/>
  <c r="FH43" i="19"/>
  <c r="FI43" i="19"/>
  <c r="FJ43" i="19"/>
  <c r="FK43" i="19"/>
  <c r="FL43" i="19"/>
  <c r="FM43" i="19"/>
  <c r="FN43" i="19"/>
  <c r="FO43" i="19"/>
  <c r="FP43" i="19"/>
  <c r="FQ43" i="19"/>
  <c r="FR43" i="19"/>
  <c r="FS43" i="19"/>
  <c r="FT43" i="19"/>
  <c r="FU43" i="19"/>
  <c r="FV43" i="19"/>
  <c r="FW43" i="19"/>
  <c r="FX43" i="19"/>
  <c r="FY43" i="19"/>
  <c r="FZ43" i="19"/>
  <c r="GA43" i="19"/>
  <c r="GB43" i="19"/>
  <c r="GC43" i="19"/>
  <c r="GD43" i="19"/>
  <c r="GE43" i="19"/>
  <c r="GF43" i="19"/>
  <c r="GG43" i="19"/>
  <c r="GH43" i="19"/>
  <c r="GI43" i="19"/>
  <c r="GJ43" i="19"/>
  <c r="GK43" i="19"/>
  <c r="GL43" i="19"/>
  <c r="GM43" i="19"/>
  <c r="GN43" i="19"/>
  <c r="GP43" i="19"/>
  <c r="GQ43" i="19"/>
  <c r="GS43" i="19"/>
  <c r="GT43" i="19"/>
  <c r="GV43" i="19"/>
  <c r="GW43" i="19"/>
  <c r="C43" i="19"/>
  <c r="CD48" i="32" l="1"/>
  <c r="CD45" i="32"/>
  <c r="L48" i="32"/>
  <c r="M48" i="32"/>
  <c r="N48" i="32"/>
  <c r="K48" i="32"/>
  <c r="CC48" i="32"/>
  <c r="CB48" i="32"/>
  <c r="CG42" i="32"/>
  <c r="CD42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U42" i="32"/>
  <c r="V42" i="32"/>
  <c r="W42" i="32"/>
  <c r="X42" i="32"/>
  <c r="Y42" i="32"/>
  <c r="Z42" i="32"/>
  <c r="AA42" i="32"/>
  <c r="AB42" i="32"/>
  <c r="AC42" i="32"/>
  <c r="AD42" i="32"/>
  <c r="AE42" i="32"/>
  <c r="AF42" i="32"/>
  <c r="AG42" i="32"/>
  <c r="AH42" i="32"/>
  <c r="AI42" i="32"/>
  <c r="AJ42" i="32"/>
  <c r="AK42" i="32"/>
  <c r="AL42" i="32"/>
  <c r="AM42" i="32"/>
  <c r="AN42" i="32"/>
  <c r="AO42" i="32"/>
  <c r="AP42" i="32"/>
  <c r="AQ42" i="32"/>
  <c r="AR42" i="32"/>
  <c r="AS42" i="32"/>
  <c r="AT42" i="32"/>
  <c r="AU42" i="32"/>
  <c r="AV42" i="32"/>
  <c r="AW42" i="32"/>
  <c r="AX42" i="32"/>
  <c r="AY42" i="32"/>
  <c r="AZ42" i="32"/>
  <c r="BA42" i="32"/>
  <c r="BB42" i="32"/>
  <c r="BC42" i="32"/>
  <c r="BD42" i="32"/>
  <c r="BE42" i="32"/>
  <c r="BF42" i="32"/>
  <c r="BG42" i="32"/>
  <c r="BH42" i="32"/>
  <c r="BI42" i="32"/>
  <c r="BJ42" i="32"/>
  <c r="BK42" i="32"/>
  <c r="BL42" i="32"/>
  <c r="BM42" i="32"/>
  <c r="BN42" i="32"/>
  <c r="BO42" i="32"/>
  <c r="BP42" i="32"/>
  <c r="BQ42" i="32"/>
  <c r="BR42" i="32"/>
  <c r="BS42" i="32"/>
  <c r="BT42" i="32"/>
  <c r="BU42" i="32"/>
  <c r="BV42" i="32"/>
  <c r="BW42" i="32"/>
  <c r="BX42" i="32"/>
  <c r="BY42" i="32"/>
  <c r="CB42" i="32"/>
  <c r="CC42" i="32"/>
  <c r="CE42" i="32"/>
  <c r="CF42" i="32"/>
  <c r="C42" i="32"/>
  <c r="H7" i="24" l="1"/>
  <c r="E48" i="31"/>
  <c r="D48" i="31"/>
  <c r="C48" i="31"/>
  <c r="T51" i="12"/>
  <c r="T49" i="12"/>
  <c r="T50" i="12"/>
  <c r="T48" i="12"/>
  <c r="J50" i="12"/>
  <c r="C49" i="12"/>
  <c r="C50" i="12"/>
  <c r="C48" i="12"/>
  <c r="P49" i="12"/>
  <c r="P51" i="12" s="1"/>
  <c r="P50" i="12"/>
  <c r="P48" i="12"/>
  <c r="G51" i="12"/>
  <c r="F51" i="12"/>
  <c r="Q45" i="12"/>
  <c r="W45" i="12"/>
  <c r="X45" i="12"/>
  <c r="K42" i="31"/>
  <c r="H42" i="31"/>
  <c r="E42" i="31"/>
  <c r="J42" i="31"/>
  <c r="I42" i="31"/>
  <c r="G42" i="31"/>
  <c r="F42" i="31"/>
  <c r="D42" i="31"/>
  <c r="C42" i="31"/>
  <c r="E48" i="29"/>
  <c r="D48" i="29"/>
  <c r="C48" i="29"/>
  <c r="K42" i="29"/>
  <c r="H42" i="29"/>
  <c r="E42" i="29"/>
  <c r="D42" i="29"/>
  <c r="F42" i="29"/>
  <c r="G42" i="29"/>
  <c r="I42" i="29"/>
  <c r="J42" i="29"/>
  <c r="C42" i="29"/>
  <c r="F51" i="11"/>
  <c r="G51" i="11"/>
  <c r="D51" i="11"/>
  <c r="D45" i="11"/>
  <c r="E45" i="11"/>
  <c r="F45" i="11"/>
  <c r="C45" i="11"/>
  <c r="G49" i="11"/>
  <c r="G50" i="11"/>
  <c r="G48" i="11"/>
  <c r="F50" i="11"/>
  <c r="F49" i="11"/>
  <c r="F48" i="11"/>
  <c r="G8" i="11"/>
  <c r="G9" i="11"/>
  <c r="G10" i="11"/>
  <c r="G11" i="11"/>
  <c r="G12" i="11"/>
  <c r="G13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7" i="11"/>
  <c r="U51" i="10"/>
  <c r="D51" i="10"/>
  <c r="E51" i="10"/>
  <c r="F51" i="10"/>
  <c r="G51" i="10"/>
  <c r="H51" i="10"/>
  <c r="I51" i="10"/>
  <c r="J51" i="10"/>
  <c r="K51" i="10"/>
  <c r="P51" i="10"/>
  <c r="R51" i="10"/>
  <c r="S51" i="10"/>
  <c r="T51" i="10"/>
  <c r="C51" i="10"/>
  <c r="U49" i="10"/>
  <c r="U50" i="10"/>
  <c r="U48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P45" i="10"/>
  <c r="R45" i="10"/>
  <c r="S45" i="10"/>
  <c r="T45" i="10"/>
  <c r="D45" i="10"/>
  <c r="E45" i="10"/>
  <c r="F45" i="10"/>
  <c r="G45" i="10"/>
  <c r="H45" i="10"/>
  <c r="I45" i="10"/>
  <c r="J45" i="10"/>
  <c r="K45" i="10"/>
  <c r="L45" i="10"/>
  <c r="C45" i="10"/>
  <c r="E34" i="12" l="1"/>
  <c r="E35" i="12"/>
  <c r="E36" i="12"/>
  <c r="E37" i="12"/>
  <c r="E39" i="12"/>
  <c r="E40" i="12"/>
  <c r="E41" i="12"/>
  <c r="E42" i="12"/>
  <c r="E43" i="12"/>
  <c r="E44" i="12"/>
  <c r="D33" i="12"/>
  <c r="D35" i="12"/>
  <c r="D36" i="12"/>
  <c r="D37" i="12"/>
  <c r="D38" i="12"/>
  <c r="D39" i="12"/>
  <c r="D40" i="12"/>
  <c r="D41" i="12"/>
  <c r="D42" i="12"/>
  <c r="D43" i="12"/>
  <c r="D44" i="12"/>
  <c r="C39" i="12"/>
  <c r="C40" i="12"/>
  <c r="C41" i="12"/>
  <c r="C42" i="12"/>
  <c r="C43" i="12"/>
  <c r="C44" i="12"/>
  <c r="D34" i="12"/>
  <c r="C34" i="12"/>
  <c r="C35" i="12"/>
  <c r="C36" i="12"/>
  <c r="C37" i="12"/>
  <c r="C38" i="12"/>
  <c r="R8" i="12"/>
  <c r="R45" i="12" s="1"/>
  <c r="C29" i="13" l="1"/>
  <c r="J51" i="21" l="1"/>
  <c r="I51" i="21"/>
  <c r="H51" i="21"/>
  <c r="G51" i="21"/>
  <c r="F51" i="21"/>
  <c r="E51" i="21"/>
  <c r="D51" i="21"/>
  <c r="C51" i="21"/>
  <c r="J45" i="21"/>
  <c r="I45" i="21"/>
  <c r="G45" i="21"/>
  <c r="F45" i="21"/>
  <c r="D45" i="21"/>
  <c r="C45" i="21"/>
  <c r="X52" i="9"/>
  <c r="W50" i="9"/>
  <c r="X50" i="9" s="1"/>
  <c r="W51" i="9"/>
  <c r="W52" i="9" s="1"/>
  <c r="X51" i="9"/>
  <c r="W49" i="9"/>
  <c r="X49" i="9"/>
  <c r="V52" i="9"/>
  <c r="U52" i="9"/>
  <c r="T52" i="9"/>
  <c r="S52" i="9"/>
  <c r="L52" i="9"/>
  <c r="I52" i="9"/>
  <c r="F52" i="9"/>
  <c r="C52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I46" i="9"/>
  <c r="D46" i="9"/>
  <c r="E46" i="9"/>
  <c r="F46" i="9"/>
  <c r="G46" i="9"/>
  <c r="H46" i="9"/>
  <c r="C46" i="9"/>
  <c r="W9" i="9"/>
  <c r="X9" i="9" s="1"/>
  <c r="W10" i="9"/>
  <c r="X10" i="9" s="1"/>
  <c r="W11" i="9"/>
  <c r="X11" i="9" s="1"/>
  <c r="W12" i="9"/>
  <c r="X12" i="9" s="1"/>
  <c r="W13" i="9"/>
  <c r="X13" i="9" s="1"/>
  <c r="W14" i="9"/>
  <c r="X14" i="9" s="1"/>
  <c r="W15" i="9"/>
  <c r="X15" i="9" s="1"/>
  <c r="G14" i="11" s="1"/>
  <c r="G45" i="11" s="1"/>
  <c r="W16" i="9"/>
  <c r="X16" i="9" s="1"/>
  <c r="W17" i="9"/>
  <c r="X17" i="9" s="1"/>
  <c r="W18" i="9"/>
  <c r="X18" i="9" s="1"/>
  <c r="W19" i="9"/>
  <c r="X19" i="9" s="1"/>
  <c r="W20" i="9"/>
  <c r="X20" i="9" s="1"/>
  <c r="W21" i="9"/>
  <c r="X21" i="9" s="1"/>
  <c r="W22" i="9"/>
  <c r="X22" i="9"/>
  <c r="W23" i="9"/>
  <c r="X23" i="9" s="1"/>
  <c r="W24" i="9"/>
  <c r="X24" i="9"/>
  <c r="W25" i="9"/>
  <c r="X25" i="9" s="1"/>
  <c r="W26" i="9"/>
  <c r="X26" i="9"/>
  <c r="W27" i="9"/>
  <c r="X27" i="9" s="1"/>
  <c r="W28" i="9"/>
  <c r="X28" i="9" s="1"/>
  <c r="W29" i="9"/>
  <c r="X29" i="9" s="1"/>
  <c r="W30" i="9"/>
  <c r="X30" i="9"/>
  <c r="W31" i="9"/>
  <c r="X31" i="9" s="1"/>
  <c r="W32" i="9"/>
  <c r="X32" i="9" s="1"/>
  <c r="W33" i="9"/>
  <c r="X33" i="9" s="1"/>
  <c r="W34" i="9"/>
  <c r="X34" i="9" s="1"/>
  <c r="W35" i="9"/>
  <c r="X35" i="9" s="1"/>
  <c r="W36" i="9"/>
  <c r="X36" i="9" s="1"/>
  <c r="W37" i="9"/>
  <c r="X37" i="9" s="1"/>
  <c r="W38" i="9"/>
  <c r="X38" i="9"/>
  <c r="W39" i="9"/>
  <c r="X39" i="9" s="1"/>
  <c r="W40" i="9"/>
  <c r="X40" i="9"/>
  <c r="W41" i="9"/>
  <c r="X41" i="9" s="1"/>
  <c r="W42" i="9"/>
  <c r="X42" i="9"/>
  <c r="W43" i="9"/>
  <c r="X43" i="9" s="1"/>
  <c r="W44" i="9"/>
  <c r="X44" i="9" s="1"/>
  <c r="W45" i="9"/>
  <c r="X45" i="9" s="1"/>
  <c r="W8" i="9"/>
  <c r="X8" i="9" s="1"/>
  <c r="W46" i="9" l="1"/>
  <c r="X46" i="9"/>
  <c r="J27" i="13" l="1"/>
  <c r="W27" i="13" s="1"/>
  <c r="Y27" i="13" s="1"/>
  <c r="H27" i="24" s="1"/>
  <c r="J28" i="13"/>
  <c r="W28" i="13" s="1"/>
  <c r="Y28" i="13" s="1"/>
  <c r="H28" i="24" s="1"/>
  <c r="J31" i="13" l="1"/>
  <c r="J32" i="13"/>
  <c r="W32" i="13" s="1"/>
  <c r="Y32" i="13" s="1"/>
  <c r="H32" i="24" s="1"/>
  <c r="J33" i="13"/>
  <c r="W33" i="13" s="1"/>
  <c r="Y33" i="13" s="1"/>
  <c r="H33" i="24" s="1"/>
  <c r="J34" i="13"/>
  <c r="W34" i="13" s="1"/>
  <c r="Y34" i="13" s="1"/>
  <c r="H34" i="24" s="1"/>
  <c r="J35" i="13"/>
  <c r="W35" i="13" s="1"/>
  <c r="Y35" i="13" s="1"/>
  <c r="H35" i="24" s="1"/>
  <c r="J36" i="13"/>
  <c r="J37" i="13"/>
  <c r="W37" i="13" s="1"/>
  <c r="Y37" i="13" s="1"/>
  <c r="H37" i="24" s="1"/>
  <c r="J39" i="13"/>
  <c r="J40" i="13"/>
  <c r="J41" i="13"/>
  <c r="J42" i="13"/>
  <c r="J43" i="13"/>
  <c r="W43" i="13" s="1"/>
  <c r="Y43" i="13" s="1"/>
  <c r="H43" i="24" s="1"/>
  <c r="D39" i="13" l="1"/>
  <c r="D32" i="13" l="1"/>
  <c r="D36" i="13" l="1"/>
  <c r="J19" i="14" l="1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18" i="14"/>
  <c r="J8" i="14"/>
  <c r="J9" i="14"/>
  <c r="G12" i="13"/>
  <c r="D28" i="13"/>
  <c r="C28" i="13"/>
  <c r="D9" i="13"/>
  <c r="W9" i="13"/>
  <c r="Y9" i="13" s="1"/>
  <c r="H9" i="24" s="1"/>
  <c r="D21" i="13" l="1"/>
  <c r="J44" i="13"/>
  <c r="W44" i="13" s="1"/>
  <c r="Y44" i="13" s="1"/>
  <c r="H44" i="24" s="1"/>
  <c r="D23" i="13" l="1"/>
  <c r="J18" i="13"/>
  <c r="W18" i="13" l="1"/>
  <c r="J23" i="13"/>
  <c r="W23" i="13" s="1"/>
  <c r="Y23" i="13" s="1"/>
  <c r="H23" i="24" s="1"/>
  <c r="Y18" i="13" l="1"/>
  <c r="J16" i="13"/>
  <c r="H18" i="24" l="1"/>
  <c r="J29" i="13"/>
  <c r="J21" i="13" l="1"/>
  <c r="C7" i="13" l="1"/>
  <c r="J8" i="13" l="1"/>
  <c r="W8" i="13" l="1"/>
  <c r="J24" i="13"/>
  <c r="W24" i="13" s="1"/>
  <c r="Y24" i="13" s="1"/>
  <c r="H24" i="24" s="1"/>
  <c r="J30" i="13" l="1"/>
  <c r="J12" i="13" l="1"/>
  <c r="J22" i="13" l="1"/>
  <c r="W22" i="13" s="1"/>
  <c r="Y22" i="13" s="1"/>
  <c r="H22" i="24" s="1"/>
  <c r="J15" i="13" l="1"/>
  <c r="J19" i="13" l="1"/>
  <c r="J11" i="13"/>
  <c r="W11" i="13" s="1"/>
  <c r="Y11" i="13" s="1"/>
  <c r="H11" i="24" s="1"/>
  <c r="J10" i="13" l="1"/>
  <c r="W10" i="13" l="1"/>
  <c r="J25" i="13"/>
  <c r="Y10" i="13" l="1"/>
  <c r="J10" i="14"/>
  <c r="J11" i="14"/>
  <c r="J12" i="14"/>
  <c r="J13" i="14"/>
  <c r="J14" i="14"/>
  <c r="J15" i="14"/>
  <c r="J16" i="14"/>
  <c r="J17" i="14"/>
  <c r="J48" i="14"/>
  <c r="J49" i="14"/>
  <c r="J50" i="14"/>
  <c r="J7" i="14"/>
  <c r="P46" i="34"/>
  <c r="Q46" i="34" s="1"/>
  <c r="O46" i="34"/>
  <c r="Q45" i="34"/>
  <c r="P45" i="34"/>
  <c r="O45" i="34"/>
  <c r="P44" i="34"/>
  <c r="Q44" i="34" s="1"/>
  <c r="O44" i="34"/>
  <c r="P41" i="34"/>
  <c r="Q41" i="34" s="1"/>
  <c r="O41" i="34"/>
  <c r="P40" i="34"/>
  <c r="Q40" i="34" s="1"/>
  <c r="O40" i="34"/>
  <c r="Q39" i="34"/>
  <c r="P39" i="34"/>
  <c r="O39" i="34"/>
  <c r="P38" i="34"/>
  <c r="Q38" i="34" s="1"/>
  <c r="O38" i="34"/>
  <c r="P37" i="34"/>
  <c r="Q37" i="34" s="1"/>
  <c r="O37" i="34"/>
  <c r="P36" i="34"/>
  <c r="Q36" i="34" s="1"/>
  <c r="O36" i="34"/>
  <c r="Q35" i="34"/>
  <c r="P35" i="34"/>
  <c r="O35" i="34"/>
  <c r="P34" i="34"/>
  <c r="Q34" i="34" s="1"/>
  <c r="O34" i="34"/>
  <c r="P33" i="34"/>
  <c r="Q33" i="34" s="1"/>
  <c r="O33" i="34"/>
  <c r="P32" i="34"/>
  <c r="Q32" i="34" s="1"/>
  <c r="O32" i="34"/>
  <c r="Q31" i="34"/>
  <c r="P31" i="34"/>
  <c r="O31" i="34"/>
  <c r="P30" i="34"/>
  <c r="Q30" i="34" s="1"/>
  <c r="O30" i="34"/>
  <c r="P29" i="34"/>
  <c r="Q29" i="34" s="1"/>
  <c r="O29" i="34"/>
  <c r="P28" i="34"/>
  <c r="Q28" i="34" s="1"/>
  <c r="O28" i="34"/>
  <c r="Q27" i="34"/>
  <c r="P27" i="34"/>
  <c r="O27" i="34"/>
  <c r="P26" i="34"/>
  <c r="Q26" i="34" s="1"/>
  <c r="O26" i="34"/>
  <c r="P25" i="34"/>
  <c r="Q25" i="34" s="1"/>
  <c r="O25" i="34"/>
  <c r="P24" i="34"/>
  <c r="Q24" i="34" s="1"/>
  <c r="O24" i="34"/>
  <c r="Q23" i="34"/>
  <c r="P23" i="34"/>
  <c r="O23" i="34"/>
  <c r="P22" i="34"/>
  <c r="Q22" i="34" s="1"/>
  <c r="O22" i="34"/>
  <c r="P21" i="34"/>
  <c r="Q21" i="34" s="1"/>
  <c r="O21" i="34"/>
  <c r="P20" i="34"/>
  <c r="Q20" i="34" s="1"/>
  <c r="O20" i="34"/>
  <c r="Q19" i="34"/>
  <c r="P19" i="34"/>
  <c r="O19" i="34"/>
  <c r="P18" i="34"/>
  <c r="Q18" i="34" s="1"/>
  <c r="O18" i="34"/>
  <c r="P17" i="34"/>
  <c r="Q17" i="34" s="1"/>
  <c r="O17" i="34"/>
  <c r="P16" i="34"/>
  <c r="Q16" i="34" s="1"/>
  <c r="O16" i="34"/>
  <c r="Q15" i="34"/>
  <c r="P15" i="34"/>
  <c r="O15" i="34"/>
  <c r="P14" i="34"/>
  <c r="Q14" i="34" s="1"/>
  <c r="O14" i="34"/>
  <c r="P13" i="34"/>
  <c r="Q13" i="34" s="1"/>
  <c r="O13" i="34"/>
  <c r="P12" i="34"/>
  <c r="Q12" i="34" s="1"/>
  <c r="O12" i="34"/>
  <c r="Q11" i="34"/>
  <c r="P11" i="34"/>
  <c r="O11" i="34"/>
  <c r="P10" i="34"/>
  <c r="Q10" i="34" s="1"/>
  <c r="O10" i="34"/>
  <c r="P9" i="34"/>
  <c r="Q9" i="34" s="1"/>
  <c r="O9" i="34"/>
  <c r="P8" i="34"/>
  <c r="Q8" i="34" s="1"/>
  <c r="O8" i="34"/>
  <c r="Q7" i="34"/>
  <c r="P7" i="34"/>
  <c r="O7" i="34"/>
  <c r="P6" i="34"/>
  <c r="Q6" i="34" s="1"/>
  <c r="O6" i="34"/>
  <c r="P5" i="34"/>
  <c r="Q5" i="34" s="1"/>
  <c r="O5" i="34"/>
  <c r="P4" i="34"/>
  <c r="Q4" i="34" s="1"/>
  <c r="O4" i="34"/>
  <c r="K49" i="12"/>
  <c r="K50" i="12"/>
  <c r="K48" i="12"/>
  <c r="K51" i="12" s="1"/>
  <c r="K11" i="12"/>
  <c r="L12" i="12"/>
  <c r="L13" i="12"/>
  <c r="L15" i="12"/>
  <c r="L17" i="12"/>
  <c r="L18" i="12"/>
  <c r="L19" i="12"/>
  <c r="K21" i="12"/>
  <c r="L21" i="12"/>
  <c r="L24" i="12"/>
  <c r="K25" i="12"/>
  <c r="L25" i="12"/>
  <c r="L26" i="12"/>
  <c r="L28" i="12"/>
  <c r="L29" i="12"/>
  <c r="K30" i="12"/>
  <c r="L30" i="12"/>
  <c r="L35" i="12"/>
  <c r="K36" i="12"/>
  <c r="L37" i="12"/>
  <c r="L39" i="12"/>
  <c r="K41" i="12"/>
  <c r="L41" i="12"/>
  <c r="L7" i="12"/>
  <c r="BY46" i="32"/>
  <c r="BZ46" i="32"/>
  <c r="BY47" i="32"/>
  <c r="BY48" i="32" s="1"/>
  <c r="CA48" i="32" s="1"/>
  <c r="BZ47" i="32"/>
  <c r="BZ48" i="32" s="1"/>
  <c r="BZ45" i="32"/>
  <c r="BY45" i="32"/>
  <c r="CF41" i="32"/>
  <c r="CE41" i="32"/>
  <c r="CC41" i="32"/>
  <c r="CB41" i="32"/>
  <c r="CF40" i="32"/>
  <c r="CE40" i="32"/>
  <c r="CC40" i="32"/>
  <c r="CB40" i="32"/>
  <c r="CF39" i="32"/>
  <c r="CE39" i="32"/>
  <c r="CC39" i="32"/>
  <c r="CB39" i="32"/>
  <c r="CF38" i="32"/>
  <c r="CE38" i="32"/>
  <c r="CC38" i="32"/>
  <c r="CB38" i="32"/>
  <c r="CF37" i="32"/>
  <c r="CG37" i="32" s="1"/>
  <c r="L40" i="12" s="1"/>
  <c r="CE37" i="32"/>
  <c r="CC37" i="32"/>
  <c r="CB37" i="32"/>
  <c r="CF36" i="32"/>
  <c r="CE36" i="32"/>
  <c r="CC36" i="32"/>
  <c r="CD36" i="32" s="1"/>
  <c r="K39" i="12" s="1"/>
  <c r="CB36" i="32"/>
  <c r="CF35" i="32"/>
  <c r="CE35" i="32"/>
  <c r="CG35" i="32" s="1"/>
  <c r="L38" i="12" s="1"/>
  <c r="CC35" i="32"/>
  <c r="CB35" i="32"/>
  <c r="CF34" i="32"/>
  <c r="CE34" i="32"/>
  <c r="CC34" i="32"/>
  <c r="CB34" i="32"/>
  <c r="CF33" i="32"/>
  <c r="CE33" i="32"/>
  <c r="CC33" i="32"/>
  <c r="CB33" i="32"/>
  <c r="CF32" i="32"/>
  <c r="CE32" i="32"/>
  <c r="CC32" i="32"/>
  <c r="CB32" i="32"/>
  <c r="CF31" i="32"/>
  <c r="CE31" i="32"/>
  <c r="CG31" i="32" s="1"/>
  <c r="L34" i="12" s="1"/>
  <c r="CC31" i="32"/>
  <c r="CB31" i="32"/>
  <c r="CF30" i="32"/>
  <c r="CE30" i="32"/>
  <c r="CC30" i="32"/>
  <c r="CB30" i="32"/>
  <c r="CF29" i="32"/>
  <c r="CE29" i="32"/>
  <c r="CC29" i="32"/>
  <c r="CB29" i="32"/>
  <c r="CF28" i="32"/>
  <c r="CE28" i="32"/>
  <c r="CC28" i="32"/>
  <c r="CB28" i="32"/>
  <c r="CF27" i="32"/>
  <c r="CE27" i="32"/>
  <c r="CC27" i="32"/>
  <c r="CB27" i="32"/>
  <c r="CF26" i="32"/>
  <c r="CE26" i="32"/>
  <c r="CC26" i="32"/>
  <c r="CB26" i="32"/>
  <c r="CF25" i="32"/>
  <c r="CE25" i="32"/>
  <c r="CC25" i="32"/>
  <c r="CB25" i="32"/>
  <c r="CF24" i="32"/>
  <c r="CE24" i="32"/>
  <c r="CC24" i="32"/>
  <c r="CB24" i="32"/>
  <c r="CF23" i="32"/>
  <c r="CE23" i="32"/>
  <c r="CC23" i="32"/>
  <c r="CB23" i="32"/>
  <c r="CF22" i="32"/>
  <c r="CE22" i="32"/>
  <c r="CC22" i="32"/>
  <c r="CB22" i="32"/>
  <c r="CF21" i="32"/>
  <c r="CE21" i="32"/>
  <c r="CC21" i="32"/>
  <c r="CB21" i="32"/>
  <c r="CF20" i="32"/>
  <c r="CE20" i="32"/>
  <c r="CC20" i="32"/>
  <c r="CB20" i="32"/>
  <c r="CF19" i="32"/>
  <c r="CE19" i="32"/>
  <c r="CC19" i="32"/>
  <c r="CB19" i="32"/>
  <c r="CF18" i="32"/>
  <c r="CE18" i="32"/>
  <c r="CC18" i="32"/>
  <c r="CB18" i="32"/>
  <c r="CF17" i="32"/>
  <c r="CE17" i="32"/>
  <c r="CG17" i="32" s="1"/>
  <c r="L20" i="12" s="1"/>
  <c r="CC17" i="32"/>
  <c r="CB17" i="32"/>
  <c r="CF16" i="32"/>
  <c r="CE16" i="32"/>
  <c r="CC16" i="32"/>
  <c r="CB16" i="32"/>
  <c r="CF15" i="32"/>
  <c r="CE15" i="32"/>
  <c r="CC15" i="32"/>
  <c r="CB15" i="32"/>
  <c r="CF14" i="32"/>
  <c r="CE14" i="32"/>
  <c r="CC14" i="32"/>
  <c r="CB14" i="32"/>
  <c r="CF13" i="32"/>
  <c r="CE13" i="32"/>
  <c r="CC13" i="32"/>
  <c r="CB13" i="32"/>
  <c r="CF12" i="32"/>
  <c r="CE12" i="32"/>
  <c r="CC12" i="32"/>
  <c r="CB12" i="32"/>
  <c r="CF11" i="32"/>
  <c r="CE11" i="32"/>
  <c r="CC11" i="32"/>
  <c r="CB11" i="32"/>
  <c r="CF10" i="32"/>
  <c r="CE10" i="32"/>
  <c r="CC10" i="32"/>
  <c r="CB10" i="32"/>
  <c r="CF9" i="32"/>
  <c r="CE9" i="32"/>
  <c r="CC9" i="32"/>
  <c r="CB9" i="32"/>
  <c r="CF8" i="32"/>
  <c r="CE8" i="32"/>
  <c r="CC8" i="32"/>
  <c r="CB8" i="32"/>
  <c r="CF7" i="32"/>
  <c r="CE7" i="32"/>
  <c r="CC7" i="32"/>
  <c r="CB7" i="32"/>
  <c r="CF6" i="32"/>
  <c r="CE6" i="32"/>
  <c r="CC6" i="32"/>
  <c r="CB6" i="32"/>
  <c r="CF5" i="32"/>
  <c r="CE5" i="32"/>
  <c r="CC5" i="32"/>
  <c r="CB5" i="32"/>
  <c r="CF4" i="32"/>
  <c r="CE4" i="32"/>
  <c r="CC4" i="32"/>
  <c r="CB4" i="32"/>
  <c r="H10" i="24" l="1"/>
  <c r="BZ42" i="32"/>
  <c r="CA42" i="32" s="1"/>
  <c r="CA5" i="32"/>
  <c r="J8" i="12" s="1"/>
  <c r="CD20" i="32"/>
  <c r="K23" i="12" s="1"/>
  <c r="J28" i="12"/>
  <c r="K29" i="12"/>
  <c r="CD28" i="32"/>
  <c r="K31" i="12" s="1"/>
  <c r="CD5" i="32"/>
  <c r="K8" i="12" s="1"/>
  <c r="CA6" i="32"/>
  <c r="J9" i="12" s="1"/>
  <c r="CG6" i="32"/>
  <c r="L9" i="12" s="1"/>
  <c r="CD7" i="32"/>
  <c r="K10" i="12" s="1"/>
  <c r="CA8" i="32"/>
  <c r="J11" i="12" s="1"/>
  <c r="CG8" i="32"/>
  <c r="L11" i="12" s="1"/>
  <c r="CD15" i="32"/>
  <c r="K18" i="12" s="1"/>
  <c r="CD19" i="32"/>
  <c r="K22" i="12" s="1"/>
  <c r="CG20" i="32"/>
  <c r="L23" i="12" s="1"/>
  <c r="CA26" i="32"/>
  <c r="J29" i="12" s="1"/>
  <c r="CG28" i="32"/>
  <c r="L31" i="12" s="1"/>
  <c r="CA30" i="32"/>
  <c r="J33" i="12" s="1"/>
  <c r="CG5" i="32"/>
  <c r="L8" i="12" s="1"/>
  <c r="CD6" i="32"/>
  <c r="K9" i="12" s="1"/>
  <c r="CG7" i="32"/>
  <c r="L10" i="12" s="1"/>
  <c r="CA9" i="32"/>
  <c r="J12" i="12" s="1"/>
  <c r="CD10" i="32"/>
  <c r="K13" i="12" s="1"/>
  <c r="CG11" i="32"/>
  <c r="L14" i="12" s="1"/>
  <c r="CA13" i="32"/>
  <c r="J16" i="12" s="1"/>
  <c r="CA15" i="32"/>
  <c r="J18" i="12" s="1"/>
  <c r="CD16" i="32"/>
  <c r="K19" i="12" s="1"/>
  <c r="CA36" i="32"/>
  <c r="J39" i="12" s="1"/>
  <c r="CD37" i="32"/>
  <c r="K40" i="12" s="1"/>
  <c r="CA38" i="32"/>
  <c r="J41" i="12" s="1"/>
  <c r="CA40" i="32"/>
  <c r="J43" i="12" s="1"/>
  <c r="CG40" i="32"/>
  <c r="L43" i="12" s="1"/>
  <c r="K44" i="12"/>
  <c r="CA45" i="32"/>
  <c r="J48" i="12" s="1"/>
  <c r="CA20" i="32"/>
  <c r="J23" i="12" s="1"/>
  <c r="K28" i="12"/>
  <c r="CA28" i="32"/>
  <c r="J31" i="12" s="1"/>
  <c r="CA46" i="32"/>
  <c r="J49" i="12" s="1"/>
  <c r="CA37" i="32"/>
  <c r="J40" i="12" s="1"/>
  <c r="CA4" i="32"/>
  <c r="J7" i="12" s="1"/>
  <c r="CA12" i="32"/>
  <c r="J15" i="12" s="1"/>
  <c r="CD13" i="32"/>
  <c r="K16" i="12" s="1"/>
  <c r="CA17" i="32"/>
  <c r="J20" i="12" s="1"/>
  <c r="CA29" i="32"/>
  <c r="J32" i="12" s="1"/>
  <c r="CG30" i="32"/>
  <c r="L33" i="12" s="1"/>
  <c r="CD31" i="32"/>
  <c r="K34" i="12" s="1"/>
  <c r="J44" i="12"/>
  <c r="CD4" i="32"/>
  <c r="K7" i="12" s="1"/>
  <c r="CD14" i="32"/>
  <c r="K17" i="12" s="1"/>
  <c r="CD17" i="32"/>
  <c r="K20" i="12" s="1"/>
  <c r="CA22" i="32"/>
  <c r="J25" i="12" s="1"/>
  <c r="CG24" i="32"/>
  <c r="L27" i="12" s="1"/>
  <c r="CA31" i="32"/>
  <c r="J34" i="12" s="1"/>
  <c r="CA7" i="32"/>
  <c r="J10" i="12" s="1"/>
  <c r="CD9" i="32"/>
  <c r="K12" i="12" s="1"/>
  <c r="CA10" i="32"/>
  <c r="J13" i="12" s="1"/>
  <c r="CD11" i="32"/>
  <c r="K14" i="12" s="1"/>
  <c r="CG13" i="32"/>
  <c r="L16" i="12" s="1"/>
  <c r="CA16" i="32"/>
  <c r="J19" i="12" s="1"/>
  <c r="CA19" i="32"/>
  <c r="J22" i="12" s="1"/>
  <c r="CG19" i="32"/>
  <c r="L22" i="12" s="1"/>
  <c r="CD21" i="32"/>
  <c r="K24" i="12" s="1"/>
  <c r="CD23" i="32"/>
  <c r="K26" i="12" s="1"/>
  <c r="CA24" i="32"/>
  <c r="J27" i="12" s="1"/>
  <c r="CG29" i="32"/>
  <c r="L32" i="12" s="1"/>
  <c r="CD30" i="32"/>
  <c r="K33" i="12" s="1"/>
  <c r="CA32" i="32"/>
  <c r="J35" i="12" s="1"/>
  <c r="CA34" i="32"/>
  <c r="J37" i="12" s="1"/>
  <c r="CD35" i="32"/>
  <c r="K38" i="12" s="1"/>
  <c r="CA39" i="32"/>
  <c r="CG39" i="32"/>
  <c r="L42" i="12" s="1"/>
  <c r="CD40" i="32"/>
  <c r="K43" i="12" s="1"/>
  <c r="CA11" i="32"/>
  <c r="J14" i="12" s="1"/>
  <c r="S14" i="12" s="1"/>
  <c r="CD12" i="32"/>
  <c r="K15" i="12" s="1"/>
  <c r="CA14" i="32"/>
  <c r="J17" i="12" s="1"/>
  <c r="CA18" i="32"/>
  <c r="J21" i="12" s="1"/>
  <c r="CA21" i="32"/>
  <c r="J24" i="12" s="1"/>
  <c r="CA23" i="32"/>
  <c r="J26" i="12" s="1"/>
  <c r="CD24" i="32"/>
  <c r="K27" i="12" s="1"/>
  <c r="CA27" i="32"/>
  <c r="J30" i="12" s="1"/>
  <c r="CD29" i="32"/>
  <c r="K32" i="12" s="1"/>
  <c r="CD32" i="32"/>
  <c r="K35" i="12" s="1"/>
  <c r="CA33" i="32"/>
  <c r="J36" i="12" s="1"/>
  <c r="CG33" i="32"/>
  <c r="L36" i="12" s="1"/>
  <c r="CD34" i="32"/>
  <c r="K37" i="12" s="1"/>
  <c r="CA35" i="32"/>
  <c r="J38" i="12" s="1"/>
  <c r="CD39" i="32"/>
  <c r="K42" i="12" s="1"/>
  <c r="L44" i="12"/>
  <c r="J13" i="13"/>
  <c r="J14" i="13"/>
  <c r="J17" i="13"/>
  <c r="J20" i="13"/>
  <c r="J26" i="13"/>
  <c r="T8" i="12"/>
  <c r="U8" i="12"/>
  <c r="V8" i="12"/>
  <c r="T9" i="12"/>
  <c r="U9" i="12"/>
  <c r="V9" i="12"/>
  <c r="T27" i="12"/>
  <c r="AA27" i="12" s="1"/>
  <c r="G27" i="24" s="1"/>
  <c r="U27" i="12"/>
  <c r="V27" i="12"/>
  <c r="T29" i="12"/>
  <c r="U29" i="12"/>
  <c r="V29" i="12"/>
  <c r="U32" i="12"/>
  <c r="V32" i="12"/>
  <c r="T34" i="12"/>
  <c r="AA34" i="12" s="1"/>
  <c r="G34" i="24" s="1"/>
  <c r="U34" i="12"/>
  <c r="V34" i="12"/>
  <c r="T38" i="12"/>
  <c r="T42" i="12"/>
  <c r="U43" i="12"/>
  <c r="V43" i="12"/>
  <c r="T44" i="12"/>
  <c r="W17" i="13" l="1"/>
  <c r="J45" i="13"/>
  <c r="AA8" i="12"/>
  <c r="G8" i="24" s="1"/>
  <c r="AA29" i="12"/>
  <c r="G29" i="24" s="1"/>
  <c r="AA9" i="12"/>
  <c r="G9" i="24" s="1"/>
  <c r="L45" i="12"/>
  <c r="S48" i="12"/>
  <c r="J51" i="12"/>
  <c r="J45" i="12"/>
  <c r="Y9" i="12"/>
  <c r="Y34" i="12"/>
  <c r="Y27" i="12"/>
  <c r="K45" i="12"/>
  <c r="Y29" i="12"/>
  <c r="Y8" i="12"/>
  <c r="Y17" i="13" l="1"/>
  <c r="W45" i="13"/>
  <c r="BR44" i="33"/>
  <c r="BQ44" i="33"/>
  <c r="BP44" i="33"/>
  <c r="BM44" i="33"/>
  <c r="BJ44" i="33"/>
  <c r="BG44" i="33"/>
  <c r="BD44" i="33"/>
  <c r="BA44" i="33"/>
  <c r="AX44" i="33"/>
  <c r="AU44" i="33"/>
  <c r="AR44" i="33"/>
  <c r="AO44" i="33"/>
  <c r="AL44" i="33"/>
  <c r="AI44" i="33"/>
  <c r="AF44" i="33"/>
  <c r="AC44" i="33"/>
  <c r="Z44" i="33"/>
  <c r="W44" i="33"/>
  <c r="T44" i="33"/>
  <c r="Q44" i="33"/>
  <c r="N44" i="33"/>
  <c r="K44" i="33"/>
  <c r="H44" i="33"/>
  <c r="E44" i="33"/>
  <c r="BR43" i="33"/>
  <c r="BQ43" i="33"/>
  <c r="BP43" i="33"/>
  <c r="BM43" i="33"/>
  <c r="BJ43" i="33"/>
  <c r="BG43" i="33"/>
  <c r="BD43" i="33"/>
  <c r="BA43" i="33"/>
  <c r="AX43" i="33"/>
  <c r="AU43" i="33"/>
  <c r="AR43" i="33"/>
  <c r="AO43" i="33"/>
  <c r="AL43" i="33"/>
  <c r="AI43" i="33"/>
  <c r="AF43" i="33"/>
  <c r="AC43" i="33"/>
  <c r="Z43" i="33"/>
  <c r="W43" i="33"/>
  <c r="T43" i="33"/>
  <c r="Q43" i="33"/>
  <c r="N43" i="33"/>
  <c r="K43" i="33"/>
  <c r="H43" i="33"/>
  <c r="E43" i="33"/>
  <c r="BR42" i="33"/>
  <c r="BQ42" i="33"/>
  <c r="BP42" i="33"/>
  <c r="BM42" i="33"/>
  <c r="BJ42" i="33"/>
  <c r="BG42" i="33"/>
  <c r="BD42" i="33"/>
  <c r="BA42" i="33"/>
  <c r="AX42" i="33"/>
  <c r="AU42" i="33"/>
  <c r="AR42" i="33"/>
  <c r="AO42" i="33"/>
  <c r="AL42" i="33"/>
  <c r="AI42" i="33"/>
  <c r="AF42" i="33"/>
  <c r="AC42" i="33"/>
  <c r="Z42" i="33"/>
  <c r="W42" i="33"/>
  <c r="T42" i="33"/>
  <c r="Q42" i="33"/>
  <c r="N42" i="33"/>
  <c r="K42" i="33"/>
  <c r="H42" i="33"/>
  <c r="E42" i="33"/>
  <c r="BR41" i="33"/>
  <c r="BQ41" i="33"/>
  <c r="BP41" i="33"/>
  <c r="BM41" i="33"/>
  <c r="BJ41" i="33"/>
  <c r="BG41" i="33"/>
  <c r="BD41" i="33"/>
  <c r="BA41" i="33"/>
  <c r="AX41" i="33"/>
  <c r="AU41" i="33"/>
  <c r="AR41" i="33"/>
  <c r="AO41" i="33"/>
  <c r="AL41" i="33"/>
  <c r="AI41" i="33"/>
  <c r="AF41" i="33"/>
  <c r="AC41" i="33"/>
  <c r="Z41" i="33"/>
  <c r="W41" i="33"/>
  <c r="T41" i="33"/>
  <c r="Q41" i="33"/>
  <c r="N41" i="33"/>
  <c r="K41" i="33"/>
  <c r="H41" i="33"/>
  <c r="E41" i="33"/>
  <c r="BR40" i="33"/>
  <c r="BQ40" i="33"/>
  <c r="BP40" i="33"/>
  <c r="BM40" i="33"/>
  <c r="BJ40" i="33"/>
  <c r="BG40" i="33"/>
  <c r="BD40" i="33"/>
  <c r="BA40" i="33"/>
  <c r="AX40" i="33"/>
  <c r="AU40" i="33"/>
  <c r="AR40" i="33"/>
  <c r="AO40" i="33"/>
  <c r="AL40" i="33"/>
  <c r="AI40" i="33"/>
  <c r="AF40" i="33"/>
  <c r="AC40" i="33"/>
  <c r="Z40" i="33"/>
  <c r="W40" i="33"/>
  <c r="T40" i="33"/>
  <c r="Q40" i="33"/>
  <c r="N40" i="33"/>
  <c r="K40" i="33"/>
  <c r="H40" i="33"/>
  <c r="E40" i="33"/>
  <c r="BR39" i="33"/>
  <c r="BQ39" i="33"/>
  <c r="BP39" i="33"/>
  <c r="BM39" i="33"/>
  <c r="BJ39" i="33"/>
  <c r="BG39" i="33"/>
  <c r="BD39" i="33"/>
  <c r="BA39" i="33"/>
  <c r="AX39" i="33"/>
  <c r="AU39" i="33"/>
  <c r="AR39" i="33"/>
  <c r="AO39" i="33"/>
  <c r="AL39" i="33"/>
  <c r="AI39" i="33"/>
  <c r="AF39" i="33"/>
  <c r="AC39" i="33"/>
  <c r="Z39" i="33"/>
  <c r="W39" i="33"/>
  <c r="T39" i="33"/>
  <c r="Q39" i="33"/>
  <c r="N39" i="33"/>
  <c r="K39" i="33"/>
  <c r="H39" i="33"/>
  <c r="E39" i="33"/>
  <c r="BR38" i="33"/>
  <c r="BQ38" i="33"/>
  <c r="BP38" i="33"/>
  <c r="BM38" i="33"/>
  <c r="BJ38" i="33"/>
  <c r="BG38" i="33"/>
  <c r="BD38" i="33"/>
  <c r="BA38" i="33"/>
  <c r="AX38" i="33"/>
  <c r="AU38" i="33"/>
  <c r="AR38" i="33"/>
  <c r="AO38" i="33"/>
  <c r="AL38" i="33"/>
  <c r="AI38" i="33"/>
  <c r="AF38" i="33"/>
  <c r="AC38" i="33"/>
  <c r="Z38" i="33"/>
  <c r="W38" i="33"/>
  <c r="T38" i="33"/>
  <c r="Q38" i="33"/>
  <c r="N38" i="33"/>
  <c r="K38" i="33"/>
  <c r="H38" i="33"/>
  <c r="E38" i="33"/>
  <c r="BR37" i="33"/>
  <c r="BQ37" i="33"/>
  <c r="BP37" i="33"/>
  <c r="BM37" i="33"/>
  <c r="BJ37" i="33"/>
  <c r="BG37" i="33"/>
  <c r="BD37" i="33"/>
  <c r="BA37" i="33"/>
  <c r="AX37" i="33"/>
  <c r="AU37" i="33"/>
  <c r="AR37" i="33"/>
  <c r="AO37" i="33"/>
  <c r="AL37" i="33"/>
  <c r="AI37" i="33"/>
  <c r="AF37" i="33"/>
  <c r="AC37" i="33"/>
  <c r="Z37" i="33"/>
  <c r="W37" i="33"/>
  <c r="T37" i="33"/>
  <c r="Q37" i="33"/>
  <c r="N37" i="33"/>
  <c r="K37" i="33"/>
  <c r="H37" i="33"/>
  <c r="E37" i="33"/>
  <c r="BR36" i="33"/>
  <c r="BQ36" i="33"/>
  <c r="BP36" i="33"/>
  <c r="BM36" i="33"/>
  <c r="BJ36" i="33"/>
  <c r="BG36" i="33"/>
  <c r="BD36" i="33"/>
  <c r="BA36" i="33"/>
  <c r="AX36" i="33"/>
  <c r="AU36" i="33"/>
  <c r="AR36" i="33"/>
  <c r="AO36" i="33"/>
  <c r="AL36" i="33"/>
  <c r="AI36" i="33"/>
  <c r="AF36" i="33"/>
  <c r="AC36" i="33"/>
  <c r="Z36" i="33"/>
  <c r="W36" i="33"/>
  <c r="T36" i="33"/>
  <c r="Q36" i="33"/>
  <c r="N36" i="33"/>
  <c r="K36" i="33"/>
  <c r="H36" i="33"/>
  <c r="E36" i="33"/>
  <c r="BR35" i="33"/>
  <c r="BQ35" i="33"/>
  <c r="BP35" i="33"/>
  <c r="BM35" i="33"/>
  <c r="BJ35" i="33"/>
  <c r="BG35" i="33"/>
  <c r="BD35" i="33"/>
  <c r="BA35" i="33"/>
  <c r="AX35" i="33"/>
  <c r="AU35" i="33"/>
  <c r="AR35" i="33"/>
  <c r="AO35" i="33"/>
  <c r="AL35" i="33"/>
  <c r="AI35" i="33"/>
  <c r="AF35" i="33"/>
  <c r="AC35" i="33"/>
  <c r="Z35" i="33"/>
  <c r="W35" i="33"/>
  <c r="T35" i="33"/>
  <c r="Q35" i="33"/>
  <c r="N35" i="33"/>
  <c r="K35" i="33"/>
  <c r="H35" i="33"/>
  <c r="E35" i="33"/>
  <c r="BR34" i="33"/>
  <c r="BQ34" i="33"/>
  <c r="BP34" i="33"/>
  <c r="BM34" i="33"/>
  <c r="BJ34" i="33"/>
  <c r="BG34" i="33"/>
  <c r="BD34" i="33"/>
  <c r="BA34" i="33"/>
  <c r="AX34" i="33"/>
  <c r="AU34" i="33"/>
  <c r="AR34" i="33"/>
  <c r="AO34" i="33"/>
  <c r="AL34" i="33"/>
  <c r="AI34" i="33"/>
  <c r="AF34" i="33"/>
  <c r="AC34" i="33"/>
  <c r="Z34" i="33"/>
  <c r="W34" i="33"/>
  <c r="T34" i="33"/>
  <c r="Q34" i="33"/>
  <c r="N34" i="33"/>
  <c r="K34" i="33"/>
  <c r="H34" i="33"/>
  <c r="E34" i="33"/>
  <c r="BR33" i="33"/>
  <c r="BQ33" i="33"/>
  <c r="BP33" i="33"/>
  <c r="BM33" i="33"/>
  <c r="BJ33" i="33"/>
  <c r="BG33" i="33"/>
  <c r="BD33" i="33"/>
  <c r="BA33" i="33"/>
  <c r="AX33" i="33"/>
  <c r="AU33" i="33"/>
  <c r="AR33" i="33"/>
  <c r="AO33" i="33"/>
  <c r="AL33" i="33"/>
  <c r="AI33" i="33"/>
  <c r="AF33" i="33"/>
  <c r="AC33" i="33"/>
  <c r="Z33" i="33"/>
  <c r="W33" i="33"/>
  <c r="T33" i="33"/>
  <c r="Q33" i="33"/>
  <c r="N33" i="33"/>
  <c r="K33" i="33"/>
  <c r="H33" i="33"/>
  <c r="E33" i="33"/>
  <c r="BR32" i="33"/>
  <c r="BQ32" i="33"/>
  <c r="BP32" i="33"/>
  <c r="BM32" i="33"/>
  <c r="BJ32" i="33"/>
  <c r="BG32" i="33"/>
  <c r="BD32" i="33"/>
  <c r="BA32" i="33"/>
  <c r="AX32" i="33"/>
  <c r="AU32" i="33"/>
  <c r="AR32" i="33"/>
  <c r="AO32" i="33"/>
  <c r="AL32" i="33"/>
  <c r="AI32" i="33"/>
  <c r="AF32" i="33"/>
  <c r="AC32" i="33"/>
  <c r="Z32" i="33"/>
  <c r="W32" i="33"/>
  <c r="T32" i="33"/>
  <c r="Q32" i="33"/>
  <c r="N32" i="33"/>
  <c r="K32" i="33"/>
  <c r="H32" i="33"/>
  <c r="E32" i="33"/>
  <c r="BR31" i="33"/>
  <c r="BQ31" i="33"/>
  <c r="BP31" i="33"/>
  <c r="BM31" i="33"/>
  <c r="BJ31" i="33"/>
  <c r="BG31" i="33"/>
  <c r="BD31" i="33"/>
  <c r="BA31" i="33"/>
  <c r="AX31" i="33"/>
  <c r="AU31" i="33"/>
  <c r="AR31" i="33"/>
  <c r="AO31" i="33"/>
  <c r="AL31" i="33"/>
  <c r="AI31" i="33"/>
  <c r="AF31" i="33"/>
  <c r="AC31" i="33"/>
  <c r="Z31" i="33"/>
  <c r="W31" i="33"/>
  <c r="T31" i="33"/>
  <c r="Q31" i="33"/>
  <c r="N31" i="33"/>
  <c r="K31" i="33"/>
  <c r="H31" i="33"/>
  <c r="E31" i="33"/>
  <c r="BR30" i="33"/>
  <c r="BQ30" i="33"/>
  <c r="BP30" i="33"/>
  <c r="BM30" i="33"/>
  <c r="BJ30" i="33"/>
  <c r="BG30" i="33"/>
  <c r="BD30" i="33"/>
  <c r="BA30" i="33"/>
  <c r="AX30" i="33"/>
  <c r="AU30" i="33"/>
  <c r="AR30" i="33"/>
  <c r="AO30" i="33"/>
  <c r="AL30" i="33"/>
  <c r="AI30" i="33"/>
  <c r="AF30" i="33"/>
  <c r="AC30" i="33"/>
  <c r="Z30" i="33"/>
  <c r="W30" i="33"/>
  <c r="T30" i="33"/>
  <c r="Q30" i="33"/>
  <c r="N30" i="33"/>
  <c r="K30" i="33"/>
  <c r="H30" i="33"/>
  <c r="E30" i="33"/>
  <c r="BR29" i="33"/>
  <c r="BQ29" i="33"/>
  <c r="BP29" i="33"/>
  <c r="BM29" i="33"/>
  <c r="BJ29" i="33"/>
  <c r="BG29" i="33"/>
  <c r="BD29" i="33"/>
  <c r="BA29" i="33"/>
  <c r="AX29" i="33"/>
  <c r="AU29" i="33"/>
  <c r="AR29" i="33"/>
  <c r="AO29" i="33"/>
  <c r="AL29" i="33"/>
  <c r="AI29" i="33"/>
  <c r="AF29" i="33"/>
  <c r="AC29" i="33"/>
  <c r="Z29" i="33"/>
  <c r="W29" i="33"/>
  <c r="T29" i="33"/>
  <c r="Q29" i="33"/>
  <c r="N29" i="33"/>
  <c r="K29" i="33"/>
  <c r="H29" i="33"/>
  <c r="E29" i="33"/>
  <c r="BR28" i="33"/>
  <c r="BQ28" i="33"/>
  <c r="BP28" i="33"/>
  <c r="BM28" i="33"/>
  <c r="BJ28" i="33"/>
  <c r="BG28" i="33"/>
  <c r="BD28" i="33"/>
  <c r="BA28" i="33"/>
  <c r="AX28" i="33"/>
  <c r="AU28" i="33"/>
  <c r="AR28" i="33"/>
  <c r="AO28" i="33"/>
  <c r="AL28" i="33"/>
  <c r="AI28" i="33"/>
  <c r="AF28" i="33"/>
  <c r="AC28" i="33"/>
  <c r="Z28" i="33"/>
  <c r="W28" i="33"/>
  <c r="T28" i="33"/>
  <c r="Q28" i="33"/>
  <c r="N28" i="33"/>
  <c r="K28" i="33"/>
  <c r="H28" i="33"/>
  <c r="E28" i="33"/>
  <c r="BR27" i="33"/>
  <c r="BQ27" i="33"/>
  <c r="BP27" i="33"/>
  <c r="BM27" i="33"/>
  <c r="BJ27" i="33"/>
  <c r="BG27" i="33"/>
  <c r="BD27" i="33"/>
  <c r="BA27" i="33"/>
  <c r="AX27" i="33"/>
  <c r="AU27" i="33"/>
  <c r="AR27" i="33"/>
  <c r="AO27" i="33"/>
  <c r="AL27" i="33"/>
  <c r="AI27" i="33"/>
  <c r="AF27" i="33"/>
  <c r="AC27" i="33"/>
  <c r="Z27" i="33"/>
  <c r="W27" i="33"/>
  <c r="T27" i="33"/>
  <c r="Q27" i="33"/>
  <c r="N27" i="33"/>
  <c r="K27" i="33"/>
  <c r="H27" i="33"/>
  <c r="E27" i="33"/>
  <c r="BR26" i="33"/>
  <c r="BQ26" i="33"/>
  <c r="BP26" i="33"/>
  <c r="BM26" i="33"/>
  <c r="BJ26" i="33"/>
  <c r="BG26" i="33"/>
  <c r="BD26" i="33"/>
  <c r="BA26" i="33"/>
  <c r="AX26" i="33"/>
  <c r="AU26" i="33"/>
  <c r="AR26" i="33"/>
  <c r="AO26" i="33"/>
  <c r="AL26" i="33"/>
  <c r="AI26" i="33"/>
  <c r="AF26" i="33"/>
  <c r="AC26" i="33"/>
  <c r="Z26" i="33"/>
  <c r="W26" i="33"/>
  <c r="T26" i="33"/>
  <c r="Q26" i="33"/>
  <c r="N26" i="33"/>
  <c r="K26" i="33"/>
  <c r="H26" i="33"/>
  <c r="E26" i="33"/>
  <c r="BR25" i="33"/>
  <c r="BS25" i="33" s="1"/>
  <c r="BQ25" i="33"/>
  <c r="BP25" i="33"/>
  <c r="BM25" i="33"/>
  <c r="BJ25" i="33"/>
  <c r="BG25" i="33"/>
  <c r="BD25" i="33"/>
  <c r="BA25" i="33"/>
  <c r="AX25" i="33"/>
  <c r="AU25" i="33"/>
  <c r="AR25" i="33"/>
  <c r="AO25" i="33"/>
  <c r="AL25" i="33"/>
  <c r="AI25" i="33"/>
  <c r="AF25" i="33"/>
  <c r="AC25" i="33"/>
  <c r="Z25" i="33"/>
  <c r="W25" i="33"/>
  <c r="T25" i="33"/>
  <c r="Q25" i="33"/>
  <c r="N25" i="33"/>
  <c r="K25" i="33"/>
  <c r="H25" i="33"/>
  <c r="E25" i="33"/>
  <c r="BR24" i="33"/>
  <c r="BS24" i="33" s="1"/>
  <c r="BQ24" i="33"/>
  <c r="BP24" i="33"/>
  <c r="BM24" i="33"/>
  <c r="BJ24" i="33"/>
  <c r="BG24" i="33"/>
  <c r="BD24" i="33"/>
  <c r="BA24" i="33"/>
  <c r="AX24" i="33"/>
  <c r="AU24" i="33"/>
  <c r="AR24" i="33"/>
  <c r="AO24" i="33"/>
  <c r="AL24" i="33"/>
  <c r="AI24" i="33"/>
  <c r="AF24" i="33"/>
  <c r="AC24" i="33"/>
  <c r="Z24" i="33"/>
  <c r="W24" i="33"/>
  <c r="T24" i="33"/>
  <c r="Q24" i="33"/>
  <c r="N24" i="33"/>
  <c r="K24" i="33"/>
  <c r="H24" i="33"/>
  <c r="E24" i="33"/>
  <c r="BR23" i="33"/>
  <c r="BS23" i="33" s="1"/>
  <c r="BQ23" i="33"/>
  <c r="BP23" i="33"/>
  <c r="BM23" i="33"/>
  <c r="BJ23" i="33"/>
  <c r="BG23" i="33"/>
  <c r="BD23" i="33"/>
  <c r="BA23" i="33"/>
  <c r="AX23" i="33"/>
  <c r="AU23" i="33"/>
  <c r="AR23" i="33"/>
  <c r="AO23" i="33"/>
  <c r="AL23" i="33"/>
  <c r="AI23" i="33"/>
  <c r="AF23" i="33"/>
  <c r="AC23" i="33"/>
  <c r="Z23" i="33"/>
  <c r="W23" i="33"/>
  <c r="T23" i="33"/>
  <c r="Q23" i="33"/>
  <c r="N23" i="33"/>
  <c r="K23" i="33"/>
  <c r="H23" i="33"/>
  <c r="E23" i="33"/>
  <c r="BR22" i="33"/>
  <c r="BS22" i="33" s="1"/>
  <c r="BQ22" i="33"/>
  <c r="BP22" i="33"/>
  <c r="BM22" i="33"/>
  <c r="BJ22" i="33"/>
  <c r="BG22" i="33"/>
  <c r="BD22" i="33"/>
  <c r="BA22" i="33"/>
  <c r="AX22" i="33"/>
  <c r="AU22" i="33"/>
  <c r="AR22" i="33"/>
  <c r="AO22" i="33"/>
  <c r="AL22" i="33"/>
  <c r="AI22" i="33"/>
  <c r="AF22" i="33"/>
  <c r="AC22" i="33"/>
  <c r="Z22" i="33"/>
  <c r="W22" i="33"/>
  <c r="T22" i="33"/>
  <c r="Q22" i="33"/>
  <c r="N22" i="33"/>
  <c r="K22" i="33"/>
  <c r="H22" i="33"/>
  <c r="E22" i="33"/>
  <c r="BR21" i="33"/>
  <c r="BQ21" i="33"/>
  <c r="BP21" i="33"/>
  <c r="BM21" i="33"/>
  <c r="BJ21" i="33"/>
  <c r="BG21" i="33"/>
  <c r="BD21" i="33"/>
  <c r="BA21" i="33"/>
  <c r="AX21" i="33"/>
  <c r="AU21" i="33"/>
  <c r="AR21" i="33"/>
  <c r="AO21" i="33"/>
  <c r="AL21" i="33"/>
  <c r="AI21" i="33"/>
  <c r="AF21" i="33"/>
  <c r="AC21" i="33"/>
  <c r="Z21" i="33"/>
  <c r="W21" i="33"/>
  <c r="T21" i="33"/>
  <c r="Q21" i="33"/>
  <c r="N21" i="33"/>
  <c r="K21" i="33"/>
  <c r="H21" i="33"/>
  <c r="E21" i="33"/>
  <c r="BR20" i="33"/>
  <c r="BQ20" i="33"/>
  <c r="BP20" i="33"/>
  <c r="BM20" i="33"/>
  <c r="BJ20" i="33"/>
  <c r="BG20" i="33"/>
  <c r="BD20" i="33"/>
  <c r="BA20" i="33"/>
  <c r="AX20" i="33"/>
  <c r="AU20" i="33"/>
  <c r="AR20" i="33"/>
  <c r="AO20" i="33"/>
  <c r="AL20" i="33"/>
  <c r="AI20" i="33"/>
  <c r="AF20" i="33"/>
  <c r="AC20" i="33"/>
  <c r="Z20" i="33"/>
  <c r="W20" i="33"/>
  <c r="T20" i="33"/>
  <c r="Q20" i="33"/>
  <c r="N20" i="33"/>
  <c r="K20" i="33"/>
  <c r="H20" i="33"/>
  <c r="E20" i="33"/>
  <c r="BR19" i="33"/>
  <c r="BQ19" i="33"/>
  <c r="BP19" i="33"/>
  <c r="BM19" i="33"/>
  <c r="BJ19" i="33"/>
  <c r="BG19" i="33"/>
  <c r="BD19" i="33"/>
  <c r="BA19" i="33"/>
  <c r="AX19" i="33"/>
  <c r="AU19" i="33"/>
  <c r="AR19" i="33"/>
  <c r="AO19" i="33"/>
  <c r="AL19" i="33"/>
  <c r="AI19" i="33"/>
  <c r="AF19" i="33"/>
  <c r="AC19" i="33"/>
  <c r="Z19" i="33"/>
  <c r="W19" i="33"/>
  <c r="T19" i="33"/>
  <c r="Q19" i="33"/>
  <c r="N19" i="33"/>
  <c r="K19" i="33"/>
  <c r="H19" i="33"/>
  <c r="E19" i="33"/>
  <c r="BR18" i="33"/>
  <c r="BQ18" i="33"/>
  <c r="BP18" i="33"/>
  <c r="BM18" i="33"/>
  <c r="BJ18" i="33"/>
  <c r="BG18" i="33"/>
  <c r="BD18" i="33"/>
  <c r="BA18" i="33"/>
  <c r="AX18" i="33"/>
  <c r="AU18" i="33"/>
  <c r="AR18" i="33"/>
  <c r="AO18" i="33"/>
  <c r="AL18" i="33"/>
  <c r="AI18" i="33"/>
  <c r="AF18" i="33"/>
  <c r="AC18" i="33"/>
  <c r="Z18" i="33"/>
  <c r="W18" i="33"/>
  <c r="T18" i="33"/>
  <c r="Q18" i="33"/>
  <c r="N18" i="33"/>
  <c r="K18" i="33"/>
  <c r="H18" i="33"/>
  <c r="E18" i="33"/>
  <c r="BR17" i="33"/>
  <c r="BS17" i="33" s="1"/>
  <c r="BQ17" i="33"/>
  <c r="BP17" i="33"/>
  <c r="BM17" i="33"/>
  <c r="BJ17" i="33"/>
  <c r="BG17" i="33"/>
  <c r="BD17" i="33"/>
  <c r="BA17" i="33"/>
  <c r="AX17" i="33"/>
  <c r="AU17" i="33"/>
  <c r="AR17" i="33"/>
  <c r="AO17" i="33"/>
  <c r="AL17" i="33"/>
  <c r="AI17" i="33"/>
  <c r="AF17" i="33"/>
  <c r="AC17" i="33"/>
  <c r="Z17" i="33"/>
  <c r="W17" i="33"/>
  <c r="T17" i="33"/>
  <c r="Q17" i="33"/>
  <c r="N17" i="33"/>
  <c r="K17" i="33"/>
  <c r="H17" i="33"/>
  <c r="E17" i="33"/>
  <c r="BR16" i="33"/>
  <c r="BS16" i="33" s="1"/>
  <c r="BQ16" i="33"/>
  <c r="BP16" i="33"/>
  <c r="BM16" i="33"/>
  <c r="BJ16" i="33"/>
  <c r="BG16" i="33"/>
  <c r="BD16" i="33"/>
  <c r="BA16" i="33"/>
  <c r="AX16" i="33"/>
  <c r="AU16" i="33"/>
  <c r="AR16" i="33"/>
  <c r="AO16" i="33"/>
  <c r="AL16" i="33"/>
  <c r="AI16" i="33"/>
  <c r="AF16" i="33"/>
  <c r="AC16" i="33"/>
  <c r="Z16" i="33"/>
  <c r="W16" i="33"/>
  <c r="T16" i="33"/>
  <c r="Q16" i="33"/>
  <c r="N16" i="33"/>
  <c r="K16" i="33"/>
  <c r="H16" i="33"/>
  <c r="E16" i="33"/>
  <c r="BR15" i="33"/>
  <c r="BS15" i="33" s="1"/>
  <c r="BQ15" i="33"/>
  <c r="BP15" i="33"/>
  <c r="BM15" i="33"/>
  <c r="BJ15" i="33"/>
  <c r="BG15" i="33"/>
  <c r="BD15" i="33"/>
  <c r="BA15" i="33"/>
  <c r="AX15" i="33"/>
  <c r="AU15" i="33"/>
  <c r="AR15" i="33"/>
  <c r="AO15" i="33"/>
  <c r="AL15" i="33"/>
  <c r="AI15" i="33"/>
  <c r="AF15" i="33"/>
  <c r="AC15" i="33"/>
  <c r="Z15" i="33"/>
  <c r="W15" i="33"/>
  <c r="T15" i="33"/>
  <c r="Q15" i="33"/>
  <c r="N15" i="33"/>
  <c r="K15" i="33"/>
  <c r="H15" i="33"/>
  <c r="E15" i="33"/>
  <c r="BR14" i="33"/>
  <c r="BS14" i="33" s="1"/>
  <c r="BQ14" i="33"/>
  <c r="BP14" i="33"/>
  <c r="BM14" i="33"/>
  <c r="BJ14" i="33"/>
  <c r="BG14" i="33"/>
  <c r="BD14" i="33"/>
  <c r="BA14" i="33"/>
  <c r="AX14" i="33"/>
  <c r="AU14" i="33"/>
  <c r="AR14" i="33"/>
  <c r="AO14" i="33"/>
  <c r="AL14" i="33"/>
  <c r="AI14" i="33"/>
  <c r="AF14" i="33"/>
  <c r="AC14" i="33"/>
  <c r="Z14" i="33"/>
  <c r="W14" i="33"/>
  <c r="T14" i="33"/>
  <c r="Q14" i="33"/>
  <c r="N14" i="33"/>
  <c r="K14" i="33"/>
  <c r="H14" i="33"/>
  <c r="E14" i="33"/>
  <c r="BR13" i="33"/>
  <c r="BQ13" i="33"/>
  <c r="BS13" i="33" s="1"/>
  <c r="BP13" i="33"/>
  <c r="BM13" i="33"/>
  <c r="BJ13" i="33"/>
  <c r="BG13" i="33"/>
  <c r="BD13" i="33"/>
  <c r="BA13" i="33"/>
  <c r="AX13" i="33"/>
  <c r="AU13" i="33"/>
  <c r="AR13" i="33"/>
  <c r="AO13" i="33"/>
  <c r="AL13" i="33"/>
  <c r="AI13" i="33"/>
  <c r="AF13" i="33"/>
  <c r="AC13" i="33"/>
  <c r="Z13" i="33"/>
  <c r="W13" i="33"/>
  <c r="T13" i="33"/>
  <c r="Q13" i="33"/>
  <c r="N13" i="33"/>
  <c r="K13" i="33"/>
  <c r="H13" i="33"/>
  <c r="E13" i="33"/>
  <c r="BR12" i="33"/>
  <c r="BQ12" i="33"/>
  <c r="BP12" i="33"/>
  <c r="BM12" i="33"/>
  <c r="BJ12" i="33"/>
  <c r="BG12" i="33"/>
  <c r="BD12" i="33"/>
  <c r="BA12" i="33"/>
  <c r="AX12" i="33"/>
  <c r="AU12" i="33"/>
  <c r="AR12" i="33"/>
  <c r="AO12" i="33"/>
  <c r="AL12" i="33"/>
  <c r="AI12" i="33"/>
  <c r="AF12" i="33"/>
  <c r="AC12" i="33"/>
  <c r="Z12" i="33"/>
  <c r="W12" i="33"/>
  <c r="T12" i="33"/>
  <c r="Q12" i="33"/>
  <c r="N12" i="33"/>
  <c r="K12" i="33"/>
  <c r="H12" i="33"/>
  <c r="E12" i="33"/>
  <c r="BR11" i="33"/>
  <c r="BQ11" i="33"/>
  <c r="BP11" i="33"/>
  <c r="BM11" i="33"/>
  <c r="BJ11" i="33"/>
  <c r="BG11" i="33"/>
  <c r="BD11" i="33"/>
  <c r="BA11" i="33"/>
  <c r="AX11" i="33"/>
  <c r="AU11" i="33"/>
  <c r="AR11" i="33"/>
  <c r="AO11" i="33"/>
  <c r="AL11" i="33"/>
  <c r="AI11" i="33"/>
  <c r="AF11" i="33"/>
  <c r="AC11" i="33"/>
  <c r="Z11" i="33"/>
  <c r="W11" i="33"/>
  <c r="T11" i="33"/>
  <c r="Q11" i="33"/>
  <c r="N11" i="33"/>
  <c r="K11" i="33"/>
  <c r="H11" i="33"/>
  <c r="E11" i="33"/>
  <c r="BR10" i="33"/>
  <c r="BQ10" i="33"/>
  <c r="BP10" i="33"/>
  <c r="BM10" i="33"/>
  <c r="BJ10" i="33"/>
  <c r="BG10" i="33"/>
  <c r="BD10" i="33"/>
  <c r="BA10" i="33"/>
  <c r="AX10" i="33"/>
  <c r="AU10" i="33"/>
  <c r="AR10" i="33"/>
  <c r="AO10" i="33"/>
  <c r="AL10" i="33"/>
  <c r="AI10" i="33"/>
  <c r="AF10" i="33"/>
  <c r="AC10" i="33"/>
  <c r="Z10" i="33"/>
  <c r="W10" i="33"/>
  <c r="T10" i="33"/>
  <c r="Q10" i="33"/>
  <c r="N10" i="33"/>
  <c r="K10" i="33"/>
  <c r="H10" i="33"/>
  <c r="E10" i="33"/>
  <c r="BR9" i="33"/>
  <c r="BQ9" i="33"/>
  <c r="BP9" i="33"/>
  <c r="BM9" i="33"/>
  <c r="BJ9" i="33"/>
  <c r="BG9" i="33"/>
  <c r="BD9" i="33"/>
  <c r="BA9" i="33"/>
  <c r="AX9" i="33"/>
  <c r="AU9" i="33"/>
  <c r="AR9" i="33"/>
  <c r="AO9" i="33"/>
  <c r="AL9" i="33"/>
  <c r="AI9" i="33"/>
  <c r="AF9" i="33"/>
  <c r="AC9" i="33"/>
  <c r="Z9" i="33"/>
  <c r="W9" i="33"/>
  <c r="T9" i="33"/>
  <c r="Q9" i="33"/>
  <c r="N9" i="33"/>
  <c r="K9" i="33"/>
  <c r="H9" i="33"/>
  <c r="E9" i="33"/>
  <c r="BR8" i="33"/>
  <c r="BQ8" i="33"/>
  <c r="BP8" i="33"/>
  <c r="BM8" i="33"/>
  <c r="BJ8" i="33"/>
  <c r="BG8" i="33"/>
  <c r="BD8" i="33"/>
  <c r="BA8" i="33"/>
  <c r="AX8" i="33"/>
  <c r="AU8" i="33"/>
  <c r="AR8" i="33"/>
  <c r="AO8" i="33"/>
  <c r="AL8" i="33"/>
  <c r="AI8" i="33"/>
  <c r="AF8" i="33"/>
  <c r="AC8" i="33"/>
  <c r="Z8" i="33"/>
  <c r="W8" i="33"/>
  <c r="T8" i="33"/>
  <c r="Q8" i="33"/>
  <c r="N8" i="33"/>
  <c r="K8" i="33"/>
  <c r="H8" i="33"/>
  <c r="E8" i="33"/>
  <c r="BR7" i="33"/>
  <c r="BQ7" i="33"/>
  <c r="BP7" i="33"/>
  <c r="BM7" i="33"/>
  <c r="BJ7" i="33"/>
  <c r="BG7" i="33"/>
  <c r="BD7" i="33"/>
  <c r="BA7" i="33"/>
  <c r="AX7" i="33"/>
  <c r="AU7" i="33"/>
  <c r="AR7" i="33"/>
  <c r="AO7" i="33"/>
  <c r="AL7" i="33"/>
  <c r="AI7" i="33"/>
  <c r="AF7" i="33"/>
  <c r="AC7" i="33"/>
  <c r="Z7" i="33"/>
  <c r="W7" i="33"/>
  <c r="T7" i="33"/>
  <c r="Q7" i="33"/>
  <c r="N7" i="33"/>
  <c r="K7" i="33"/>
  <c r="H7" i="33"/>
  <c r="E7" i="33"/>
  <c r="N31" i="12"/>
  <c r="O31" i="12"/>
  <c r="C8" i="12"/>
  <c r="D8" i="12"/>
  <c r="E8" i="12"/>
  <c r="C9" i="12"/>
  <c r="D9" i="12"/>
  <c r="E9" i="12"/>
  <c r="C10" i="12"/>
  <c r="D10" i="12"/>
  <c r="E10" i="12"/>
  <c r="C11" i="12"/>
  <c r="D11" i="12"/>
  <c r="E11" i="12"/>
  <c r="C12" i="12"/>
  <c r="D12" i="12"/>
  <c r="E12" i="12"/>
  <c r="D13" i="12"/>
  <c r="E13" i="12"/>
  <c r="C14" i="12"/>
  <c r="D14" i="12"/>
  <c r="E14" i="12"/>
  <c r="C16" i="12"/>
  <c r="D16" i="12"/>
  <c r="C17" i="12"/>
  <c r="D17" i="12"/>
  <c r="E17" i="12"/>
  <c r="C18" i="12"/>
  <c r="D18" i="12"/>
  <c r="E18" i="12"/>
  <c r="C19" i="12"/>
  <c r="D19" i="12"/>
  <c r="E19" i="12"/>
  <c r="C20" i="12"/>
  <c r="D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29" i="12"/>
  <c r="D29" i="12"/>
  <c r="E29" i="12"/>
  <c r="C30" i="12"/>
  <c r="D30" i="12"/>
  <c r="E30" i="12"/>
  <c r="C31" i="12"/>
  <c r="D31" i="12"/>
  <c r="E31" i="12"/>
  <c r="C32" i="12"/>
  <c r="D32" i="12"/>
  <c r="E32" i="12"/>
  <c r="C33" i="12"/>
  <c r="E33" i="12"/>
  <c r="N30" i="12"/>
  <c r="H17" i="24" l="1"/>
  <c r="H45" i="24" s="1"/>
  <c r="Y45" i="13"/>
  <c r="BS7" i="33"/>
  <c r="BS8" i="33"/>
  <c r="BS9" i="33"/>
  <c r="BS21" i="33"/>
  <c r="BS18" i="33"/>
  <c r="BS19" i="33"/>
  <c r="BS20" i="33"/>
  <c r="BS10" i="33"/>
  <c r="BS11" i="33"/>
  <c r="BS12" i="33"/>
  <c r="BS26" i="33"/>
  <c r="BS27" i="33"/>
  <c r="BS28" i="33"/>
  <c r="BS29" i="33"/>
  <c r="BS30" i="33"/>
  <c r="BS33" i="33"/>
  <c r="BS34" i="33"/>
  <c r="BS35" i="33"/>
  <c r="BS36" i="33"/>
  <c r="BS37" i="33"/>
  <c r="BS41" i="33"/>
  <c r="BS43" i="33"/>
  <c r="BS44" i="33"/>
  <c r="BS38" i="33"/>
  <c r="BS39" i="33"/>
  <c r="BS40" i="33"/>
  <c r="BS42" i="33"/>
  <c r="BS31" i="33"/>
  <c r="BS32" i="33"/>
  <c r="N8" i="12"/>
  <c r="O8" i="12"/>
  <c r="N9" i="12"/>
  <c r="O9" i="12"/>
  <c r="N10" i="12"/>
  <c r="O10" i="12"/>
  <c r="N11" i="12"/>
  <c r="O11" i="12"/>
  <c r="N12" i="12"/>
  <c r="O12" i="12"/>
  <c r="N13" i="12"/>
  <c r="O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O30" i="12"/>
  <c r="N32" i="12"/>
  <c r="O32" i="12"/>
  <c r="N33" i="12"/>
  <c r="O33" i="12"/>
  <c r="N34" i="12"/>
  <c r="S34" i="12" s="1"/>
  <c r="J34" i="24" s="1"/>
  <c r="O34" i="12"/>
  <c r="N35" i="12"/>
  <c r="S35" i="12" s="1"/>
  <c r="O35" i="12"/>
  <c r="N36" i="12"/>
  <c r="O36" i="12"/>
  <c r="N37" i="12"/>
  <c r="O37" i="12"/>
  <c r="N38" i="12"/>
  <c r="O38" i="12"/>
  <c r="S38" i="12" s="1"/>
  <c r="N39" i="12"/>
  <c r="S39" i="12" s="1"/>
  <c r="O39" i="12"/>
  <c r="N40" i="12"/>
  <c r="O40" i="12"/>
  <c r="N41" i="12"/>
  <c r="S41" i="12" s="1"/>
  <c r="O41" i="12"/>
  <c r="N42" i="12"/>
  <c r="S42" i="12" s="1"/>
  <c r="Z42" i="12" s="1"/>
  <c r="AB42" i="12" s="1"/>
  <c r="O42" i="12"/>
  <c r="N43" i="12"/>
  <c r="S43" i="12" s="1"/>
  <c r="O43" i="12"/>
  <c r="N44" i="12"/>
  <c r="O44" i="12"/>
  <c r="O7" i="12"/>
  <c r="O45" i="12" s="1"/>
  <c r="N7" i="12"/>
  <c r="F49" i="12"/>
  <c r="G49" i="12"/>
  <c r="F50" i="12"/>
  <c r="G50" i="12"/>
  <c r="G48" i="12"/>
  <c r="F48" i="12"/>
  <c r="I45" i="12"/>
  <c r="E7" i="12"/>
  <c r="E45" i="12" s="1"/>
  <c r="D7" i="12"/>
  <c r="C7" i="12"/>
  <c r="GW48" i="19"/>
  <c r="GV48" i="19"/>
  <c r="GT48" i="19"/>
  <c r="GS48" i="19"/>
  <c r="GQ48" i="19"/>
  <c r="GP48" i="19"/>
  <c r="GN48" i="19"/>
  <c r="GM48" i="19"/>
  <c r="GW47" i="19"/>
  <c r="GV47" i="19"/>
  <c r="GT47" i="19"/>
  <c r="GS47" i="19"/>
  <c r="GQ47" i="19"/>
  <c r="GP47" i="19"/>
  <c r="GN47" i="19"/>
  <c r="GM47" i="19"/>
  <c r="GW46" i="19"/>
  <c r="GV46" i="19"/>
  <c r="GT46" i="19"/>
  <c r="GS46" i="19"/>
  <c r="GQ46" i="19"/>
  <c r="GP46" i="19"/>
  <c r="GN46" i="19"/>
  <c r="GM46" i="19"/>
  <c r="GW42" i="19"/>
  <c r="GV42" i="19"/>
  <c r="GT42" i="19"/>
  <c r="GS42" i="19"/>
  <c r="GQ42" i="19"/>
  <c r="GP42" i="19"/>
  <c r="GN42" i="19"/>
  <c r="GM42" i="19"/>
  <c r="GW41" i="19"/>
  <c r="GV41" i="19"/>
  <c r="GT41" i="19"/>
  <c r="GS41" i="19"/>
  <c r="GQ41" i="19"/>
  <c r="GP41" i="19"/>
  <c r="GN41" i="19"/>
  <c r="GM41" i="19"/>
  <c r="GW40" i="19"/>
  <c r="GV40" i="19"/>
  <c r="GT40" i="19"/>
  <c r="GS40" i="19"/>
  <c r="GQ40" i="19"/>
  <c r="GP40" i="19"/>
  <c r="GN40" i="19"/>
  <c r="GM40" i="19"/>
  <c r="GW39" i="19"/>
  <c r="GV39" i="19"/>
  <c r="GT39" i="19"/>
  <c r="GS39" i="19"/>
  <c r="GQ39" i="19"/>
  <c r="GP39" i="19"/>
  <c r="GN39" i="19"/>
  <c r="GM39" i="19"/>
  <c r="GW38" i="19"/>
  <c r="GV38" i="19"/>
  <c r="GT38" i="19"/>
  <c r="GS38" i="19"/>
  <c r="GQ38" i="19"/>
  <c r="GP38" i="19"/>
  <c r="GN38" i="19"/>
  <c r="GM38" i="19"/>
  <c r="GW37" i="19"/>
  <c r="GV37" i="19"/>
  <c r="GT37" i="19"/>
  <c r="GS37" i="19"/>
  <c r="GQ37" i="19"/>
  <c r="GP37" i="19"/>
  <c r="GN37" i="19"/>
  <c r="GM37" i="19"/>
  <c r="GW36" i="19"/>
  <c r="GV36" i="19"/>
  <c r="GT36" i="19"/>
  <c r="GS36" i="19"/>
  <c r="GQ36" i="19"/>
  <c r="GP36" i="19"/>
  <c r="GN36" i="19"/>
  <c r="GM36" i="19"/>
  <c r="GW35" i="19"/>
  <c r="GV35" i="19"/>
  <c r="GT35" i="19"/>
  <c r="GS35" i="19"/>
  <c r="GQ35" i="19"/>
  <c r="GP35" i="19"/>
  <c r="GN35" i="19"/>
  <c r="GM35" i="19"/>
  <c r="GW34" i="19"/>
  <c r="GV34" i="19"/>
  <c r="GT34" i="19"/>
  <c r="GS34" i="19"/>
  <c r="GQ34" i="19"/>
  <c r="GP34" i="19"/>
  <c r="GN34" i="19"/>
  <c r="GM34" i="19"/>
  <c r="GW33" i="19"/>
  <c r="GV33" i="19"/>
  <c r="GT33" i="19"/>
  <c r="GS33" i="19"/>
  <c r="GQ33" i="19"/>
  <c r="GP33" i="19"/>
  <c r="GN33" i="19"/>
  <c r="GM33" i="19"/>
  <c r="GW32" i="19"/>
  <c r="GV32" i="19"/>
  <c r="GT32" i="19"/>
  <c r="GS32" i="19"/>
  <c r="GQ32" i="19"/>
  <c r="GP32" i="19"/>
  <c r="GN32" i="19"/>
  <c r="GM32" i="19"/>
  <c r="GW31" i="19"/>
  <c r="GV31" i="19"/>
  <c r="GT31" i="19"/>
  <c r="GS31" i="19"/>
  <c r="GQ31" i="19"/>
  <c r="GP31" i="19"/>
  <c r="GN31" i="19"/>
  <c r="GM31" i="19"/>
  <c r="GW30" i="19"/>
  <c r="GV30" i="19"/>
  <c r="GT30" i="19"/>
  <c r="GS30" i="19"/>
  <c r="GQ30" i="19"/>
  <c r="GP30" i="19"/>
  <c r="GN30" i="19"/>
  <c r="GM30" i="19"/>
  <c r="GW29" i="19"/>
  <c r="GV29" i="19"/>
  <c r="GT29" i="19"/>
  <c r="GS29" i="19"/>
  <c r="GQ29" i="19"/>
  <c r="GP29" i="19"/>
  <c r="GN29" i="19"/>
  <c r="GM29" i="19"/>
  <c r="GW28" i="19"/>
  <c r="GV28" i="19"/>
  <c r="GT28" i="19"/>
  <c r="GS28" i="19"/>
  <c r="GQ28" i="19"/>
  <c r="GP28" i="19"/>
  <c r="GN28" i="19"/>
  <c r="GM28" i="19"/>
  <c r="GW27" i="19"/>
  <c r="GV27" i="19"/>
  <c r="GT27" i="19"/>
  <c r="GS27" i="19"/>
  <c r="GQ27" i="19"/>
  <c r="GP27" i="19"/>
  <c r="GN27" i="19"/>
  <c r="GM27" i="19"/>
  <c r="GO27" i="19" s="1"/>
  <c r="GW26" i="19"/>
  <c r="GV26" i="19"/>
  <c r="GT26" i="19"/>
  <c r="GS26" i="19"/>
  <c r="GQ26" i="19"/>
  <c r="GP26" i="19"/>
  <c r="GN26" i="19"/>
  <c r="GM26" i="19"/>
  <c r="GW25" i="19"/>
  <c r="GV25" i="19"/>
  <c r="GT25" i="19"/>
  <c r="GS25" i="19"/>
  <c r="GQ25" i="19"/>
  <c r="GP25" i="19"/>
  <c r="GN25" i="19"/>
  <c r="GM25" i="19"/>
  <c r="GW24" i="19"/>
  <c r="GV24" i="19"/>
  <c r="GT24" i="19"/>
  <c r="GS24" i="19"/>
  <c r="GQ24" i="19"/>
  <c r="GP24" i="19"/>
  <c r="GN24" i="19"/>
  <c r="GM24" i="19"/>
  <c r="GW23" i="19"/>
  <c r="GV23" i="19"/>
  <c r="GT23" i="19"/>
  <c r="GS23" i="19"/>
  <c r="GQ23" i="19"/>
  <c r="GP23" i="19"/>
  <c r="GN23" i="19"/>
  <c r="GM23" i="19"/>
  <c r="GW22" i="19"/>
  <c r="GV22" i="19"/>
  <c r="GT22" i="19"/>
  <c r="GS22" i="19"/>
  <c r="GQ22" i="19"/>
  <c r="GP22" i="19"/>
  <c r="GN22" i="19"/>
  <c r="GM22" i="19"/>
  <c r="GW21" i="19"/>
  <c r="GV21" i="19"/>
  <c r="GT21" i="19"/>
  <c r="GS21" i="19"/>
  <c r="GQ21" i="19"/>
  <c r="GP21" i="19"/>
  <c r="GN21" i="19"/>
  <c r="GM21" i="19"/>
  <c r="GW20" i="19"/>
  <c r="GV20" i="19"/>
  <c r="GT20" i="19"/>
  <c r="GS20" i="19"/>
  <c r="GQ20" i="19"/>
  <c r="GP20" i="19"/>
  <c r="GN20" i="19"/>
  <c r="GM20" i="19"/>
  <c r="GW19" i="19"/>
  <c r="GV19" i="19"/>
  <c r="GT19" i="19"/>
  <c r="GS19" i="19"/>
  <c r="GQ19" i="19"/>
  <c r="GP19" i="19"/>
  <c r="GN19" i="19"/>
  <c r="GM19" i="19"/>
  <c r="GW18" i="19"/>
  <c r="GV18" i="19"/>
  <c r="GT18" i="19"/>
  <c r="GS18" i="19"/>
  <c r="GQ18" i="19"/>
  <c r="GP18" i="19"/>
  <c r="GN18" i="19"/>
  <c r="GM18" i="19"/>
  <c r="GW17" i="19"/>
  <c r="GV17" i="19"/>
  <c r="GT17" i="19"/>
  <c r="GS17" i="19"/>
  <c r="GQ17" i="19"/>
  <c r="GR17" i="19" s="1"/>
  <c r="GP17" i="19"/>
  <c r="GN17" i="19"/>
  <c r="GM17" i="19"/>
  <c r="GW16" i="19"/>
  <c r="GV16" i="19"/>
  <c r="GT16" i="19"/>
  <c r="GS16" i="19"/>
  <c r="GQ16" i="19"/>
  <c r="GP16" i="19"/>
  <c r="GN16" i="19"/>
  <c r="GM16" i="19"/>
  <c r="GW15" i="19"/>
  <c r="GV15" i="19"/>
  <c r="GT15" i="19"/>
  <c r="GS15" i="19"/>
  <c r="GQ15" i="19"/>
  <c r="GP15" i="19"/>
  <c r="GN15" i="19"/>
  <c r="GM15" i="19"/>
  <c r="GW14" i="19"/>
  <c r="GV14" i="19"/>
  <c r="GT14" i="19"/>
  <c r="GS14" i="19"/>
  <c r="GQ14" i="19"/>
  <c r="GP14" i="19"/>
  <c r="GN14" i="19"/>
  <c r="GM14" i="19"/>
  <c r="GW13" i="19"/>
  <c r="GV13" i="19"/>
  <c r="GT13" i="19"/>
  <c r="GS13" i="19"/>
  <c r="GQ13" i="19"/>
  <c r="GP13" i="19"/>
  <c r="GN13" i="19"/>
  <c r="GM13" i="19"/>
  <c r="GW12" i="19"/>
  <c r="GV12" i="19"/>
  <c r="GT12" i="19"/>
  <c r="GS12" i="19"/>
  <c r="GQ12" i="19"/>
  <c r="GP12" i="19"/>
  <c r="GN12" i="19"/>
  <c r="GM12" i="19"/>
  <c r="GW11" i="19"/>
  <c r="GV11" i="19"/>
  <c r="GT11" i="19"/>
  <c r="GS11" i="19"/>
  <c r="GQ11" i="19"/>
  <c r="GP11" i="19"/>
  <c r="GN11" i="19"/>
  <c r="GM11" i="19"/>
  <c r="GW10" i="19"/>
  <c r="GV10" i="19"/>
  <c r="GT10" i="19"/>
  <c r="GS10" i="19"/>
  <c r="GQ10" i="19"/>
  <c r="GP10" i="19"/>
  <c r="GN10" i="19"/>
  <c r="GM10" i="19"/>
  <c r="GW9" i="19"/>
  <c r="GV9" i="19"/>
  <c r="GT9" i="19"/>
  <c r="GS9" i="19"/>
  <c r="GQ9" i="19"/>
  <c r="GP9" i="19"/>
  <c r="GN9" i="19"/>
  <c r="GM9" i="19"/>
  <c r="GW8" i="19"/>
  <c r="GV8" i="19"/>
  <c r="GT8" i="19"/>
  <c r="GS8" i="19"/>
  <c r="GQ8" i="19"/>
  <c r="GP8" i="19"/>
  <c r="GN8" i="19"/>
  <c r="GM8" i="19"/>
  <c r="GW7" i="19"/>
  <c r="GV7" i="19"/>
  <c r="GT7" i="19"/>
  <c r="GS7" i="19"/>
  <c r="GQ7" i="19"/>
  <c r="GP7" i="19"/>
  <c r="GN7" i="19"/>
  <c r="GM7" i="19"/>
  <c r="GW6" i="19"/>
  <c r="GV6" i="19"/>
  <c r="GT6" i="19"/>
  <c r="GS6" i="19"/>
  <c r="GQ6" i="19"/>
  <c r="GP6" i="19"/>
  <c r="GN6" i="19"/>
  <c r="GM6" i="19"/>
  <c r="GW5" i="19"/>
  <c r="GV5" i="19"/>
  <c r="GT5" i="19"/>
  <c r="GS5" i="19"/>
  <c r="GQ5" i="19"/>
  <c r="GP5" i="19"/>
  <c r="GN5" i="19"/>
  <c r="GM5" i="19"/>
  <c r="S37" i="12" l="1"/>
  <c r="S33" i="12"/>
  <c r="P45" i="12"/>
  <c r="S40" i="12"/>
  <c r="S36" i="12"/>
  <c r="C51" i="12"/>
  <c r="N45" i="12"/>
  <c r="GR23" i="19"/>
  <c r="GR24" i="19"/>
  <c r="GR26" i="19"/>
  <c r="GR27" i="19"/>
  <c r="GR29" i="19"/>
  <c r="GR31" i="19"/>
  <c r="GO26" i="19"/>
  <c r="S28" i="12" s="1"/>
  <c r="GO41" i="19"/>
  <c r="GO19" i="19"/>
  <c r="S21" i="12" s="1"/>
  <c r="GO25" i="19"/>
  <c r="GR35" i="19"/>
  <c r="GR36" i="19"/>
  <c r="GO13" i="19"/>
  <c r="GR37" i="19"/>
  <c r="GR39" i="19"/>
  <c r="GR41" i="19"/>
  <c r="GR42" i="19"/>
  <c r="GO32" i="19"/>
  <c r="GO33" i="19"/>
  <c r="GR6" i="19"/>
  <c r="G45" i="12" s="1"/>
  <c r="GR7" i="19"/>
  <c r="GR8" i="19"/>
  <c r="GR9" i="19"/>
  <c r="GR10" i="19"/>
  <c r="GR11" i="19"/>
  <c r="GR12" i="19"/>
  <c r="GR16" i="19"/>
  <c r="GR33" i="19"/>
  <c r="GO42" i="19"/>
  <c r="GO6" i="19"/>
  <c r="GO9" i="19"/>
  <c r="S11" i="12" s="1"/>
  <c r="GO14" i="19"/>
  <c r="S16" i="12" s="1"/>
  <c r="GO15" i="19"/>
  <c r="S17" i="12" s="1"/>
  <c r="GO16" i="19"/>
  <c r="S18" i="12" s="1"/>
  <c r="GO17" i="19"/>
  <c r="S19" i="12" s="1"/>
  <c r="GO30" i="19"/>
  <c r="S32" i="12" s="1"/>
  <c r="GO35" i="19"/>
  <c r="GO7" i="19"/>
  <c r="GO11" i="19"/>
  <c r="GO23" i="19"/>
  <c r="S25" i="12" s="1"/>
  <c r="GO37" i="19"/>
  <c r="GO40" i="19"/>
  <c r="GO8" i="19"/>
  <c r="S10" i="12" s="1"/>
  <c r="GO10" i="19"/>
  <c r="S12" i="12" s="1"/>
  <c r="GO20" i="19"/>
  <c r="S22" i="12" s="1"/>
  <c r="GO21" i="19"/>
  <c r="S23" i="12" s="1"/>
  <c r="GO22" i="19"/>
  <c r="S24" i="12" s="1"/>
  <c r="GO28" i="19"/>
  <c r="S30" i="12" s="1"/>
  <c r="GO29" i="19"/>
  <c r="S31" i="12" s="1"/>
  <c r="GO38" i="19"/>
  <c r="GO39" i="19"/>
  <c r="GO18" i="19"/>
  <c r="S20" i="12" s="1"/>
  <c r="GO34" i="19"/>
  <c r="GO36" i="19"/>
  <c r="GO12" i="19"/>
  <c r="GO24" i="19"/>
  <c r="S26" i="12" s="1"/>
  <c r="GO31" i="19"/>
  <c r="GU7" i="19"/>
  <c r="GO5" i="19"/>
  <c r="GU6" i="19"/>
  <c r="O41" i="20"/>
  <c r="N41" i="20"/>
  <c r="L41" i="20"/>
  <c r="M41" i="20" s="1"/>
  <c r="K41" i="20"/>
  <c r="P40" i="20"/>
  <c r="O40" i="20"/>
  <c r="N40" i="20"/>
  <c r="L40" i="20"/>
  <c r="M40" i="20" s="1"/>
  <c r="K40" i="20"/>
  <c r="O39" i="20"/>
  <c r="N39" i="20"/>
  <c r="L39" i="20"/>
  <c r="M39" i="20" s="1"/>
  <c r="K39" i="20"/>
  <c r="O38" i="20"/>
  <c r="N38" i="20"/>
  <c r="L38" i="20"/>
  <c r="M38" i="20" s="1"/>
  <c r="K38" i="20"/>
  <c r="O37" i="20"/>
  <c r="N37" i="20"/>
  <c r="P37" i="20" s="1"/>
  <c r="L37" i="20"/>
  <c r="M37" i="20" s="1"/>
  <c r="K37" i="20"/>
  <c r="O36" i="20"/>
  <c r="N36" i="20"/>
  <c r="L36" i="20"/>
  <c r="K36" i="20"/>
  <c r="O35" i="20"/>
  <c r="N35" i="20"/>
  <c r="L35" i="20"/>
  <c r="K35" i="20"/>
  <c r="O34" i="20"/>
  <c r="N34" i="20"/>
  <c r="L34" i="20"/>
  <c r="K34" i="20"/>
  <c r="O33" i="20"/>
  <c r="N33" i="20"/>
  <c r="L33" i="20"/>
  <c r="M33" i="20" s="1"/>
  <c r="K33" i="20"/>
  <c r="P32" i="20"/>
  <c r="O32" i="20"/>
  <c r="N32" i="20"/>
  <c r="L32" i="20"/>
  <c r="M32" i="20" s="1"/>
  <c r="K32" i="20"/>
  <c r="O31" i="20"/>
  <c r="N31" i="20"/>
  <c r="L31" i="20"/>
  <c r="K31" i="20"/>
  <c r="P30" i="20"/>
  <c r="O30" i="20"/>
  <c r="N30" i="20"/>
  <c r="L30" i="20"/>
  <c r="M30" i="20" s="1"/>
  <c r="K30" i="20"/>
  <c r="O29" i="20"/>
  <c r="N29" i="20"/>
  <c r="L29" i="20"/>
  <c r="K29" i="20"/>
  <c r="O28" i="20"/>
  <c r="N28" i="20"/>
  <c r="L28" i="20"/>
  <c r="M28" i="20" s="1"/>
  <c r="K28" i="20"/>
  <c r="O27" i="20"/>
  <c r="N27" i="20"/>
  <c r="L27" i="20"/>
  <c r="M27" i="20" s="1"/>
  <c r="K27" i="20"/>
  <c r="O26" i="20"/>
  <c r="N26" i="20"/>
  <c r="L26" i="20"/>
  <c r="K26" i="20"/>
  <c r="O25" i="20"/>
  <c r="N25" i="20"/>
  <c r="L25" i="20"/>
  <c r="K25" i="20"/>
  <c r="O24" i="20"/>
  <c r="N24" i="20"/>
  <c r="L24" i="20"/>
  <c r="M24" i="20" s="1"/>
  <c r="K24" i="20"/>
  <c r="O23" i="20"/>
  <c r="N23" i="20"/>
  <c r="L23" i="20"/>
  <c r="K23" i="20"/>
  <c r="O22" i="20"/>
  <c r="N22" i="20"/>
  <c r="L22" i="20"/>
  <c r="M22" i="20" s="1"/>
  <c r="K22" i="20"/>
  <c r="O21" i="20"/>
  <c r="N21" i="20"/>
  <c r="L21" i="20"/>
  <c r="K21" i="20"/>
  <c r="O20" i="20"/>
  <c r="N20" i="20"/>
  <c r="L20" i="20"/>
  <c r="M20" i="20" s="1"/>
  <c r="K20" i="20"/>
  <c r="O19" i="20"/>
  <c r="N19" i="20"/>
  <c r="L19" i="20"/>
  <c r="K19" i="20"/>
  <c r="O18" i="20"/>
  <c r="N18" i="20"/>
  <c r="L18" i="20"/>
  <c r="M18" i="20" s="1"/>
  <c r="K18" i="20"/>
  <c r="O17" i="20"/>
  <c r="N17" i="20"/>
  <c r="L17" i="20"/>
  <c r="K17" i="20"/>
  <c r="O16" i="20"/>
  <c r="N16" i="20"/>
  <c r="L16" i="20"/>
  <c r="M16" i="20" s="1"/>
  <c r="K16" i="20"/>
  <c r="O15" i="20"/>
  <c r="N15" i="20"/>
  <c r="L15" i="20"/>
  <c r="M15" i="20" s="1"/>
  <c r="K15" i="20"/>
  <c r="O14" i="20"/>
  <c r="N14" i="20"/>
  <c r="L14" i="20"/>
  <c r="K14" i="20"/>
  <c r="O13" i="20"/>
  <c r="N13" i="20"/>
  <c r="L13" i="20"/>
  <c r="K13" i="20"/>
  <c r="O12" i="20"/>
  <c r="N12" i="20"/>
  <c r="L12" i="20"/>
  <c r="K12" i="20"/>
  <c r="O11" i="20"/>
  <c r="N11" i="20"/>
  <c r="L11" i="20"/>
  <c r="M11" i="20" s="1"/>
  <c r="K11" i="20"/>
  <c r="O10" i="20"/>
  <c r="N10" i="20"/>
  <c r="L10" i="20"/>
  <c r="M10" i="20" s="1"/>
  <c r="K10" i="20"/>
  <c r="O9" i="20"/>
  <c r="N9" i="20"/>
  <c r="L9" i="20"/>
  <c r="M9" i="20" s="1"/>
  <c r="K9" i="20"/>
  <c r="P8" i="20"/>
  <c r="O8" i="20"/>
  <c r="N8" i="20"/>
  <c r="L8" i="20"/>
  <c r="M8" i="20" s="1"/>
  <c r="K8" i="20"/>
  <c r="O7" i="20"/>
  <c r="N7" i="20"/>
  <c r="L7" i="20"/>
  <c r="M7" i="20" s="1"/>
  <c r="K7" i="20"/>
  <c r="P6" i="20"/>
  <c r="O6" i="20"/>
  <c r="N6" i="20"/>
  <c r="L6" i="20"/>
  <c r="M6" i="20" s="1"/>
  <c r="K6" i="20"/>
  <c r="O5" i="20"/>
  <c r="P5" i="20" s="1"/>
  <c r="N5" i="20"/>
  <c r="L5" i="20"/>
  <c r="M5" i="20" s="1"/>
  <c r="K5" i="20"/>
  <c r="O4" i="20"/>
  <c r="N4" i="20"/>
  <c r="L4" i="20"/>
  <c r="M4" i="20" s="1"/>
  <c r="K4" i="20"/>
  <c r="F45" i="12" l="1"/>
  <c r="S29" i="12"/>
  <c r="J29" i="24" s="1"/>
  <c r="S9" i="12"/>
  <c r="J9" i="24" s="1"/>
  <c r="S8" i="12"/>
  <c r="J8" i="24" s="1"/>
  <c r="S27" i="12"/>
  <c r="J27" i="24" s="1"/>
  <c r="S7" i="12"/>
  <c r="S44" i="12"/>
  <c r="M38" i="10"/>
  <c r="N38" i="10"/>
  <c r="O38" i="10"/>
  <c r="W38" i="10" l="1"/>
  <c r="H38" i="11" s="1"/>
  <c r="I38" i="11" s="1"/>
  <c r="Q38" i="10"/>
  <c r="V38" i="10" s="1"/>
  <c r="H45" i="12"/>
  <c r="N37" i="10"/>
  <c r="N39" i="10"/>
  <c r="O39" i="10"/>
  <c r="U7" i="10" l="1"/>
  <c r="U45" i="10" l="1"/>
  <c r="V10" i="12"/>
  <c r="V11" i="12"/>
  <c r="V12" i="12"/>
  <c r="V13" i="12"/>
  <c r="V17" i="12"/>
  <c r="V18" i="12"/>
  <c r="V19" i="12"/>
  <c r="V21" i="12"/>
  <c r="V22" i="12"/>
  <c r="V23" i="12"/>
  <c r="V24" i="12"/>
  <c r="V25" i="12"/>
  <c r="V26" i="12"/>
  <c r="V28" i="12"/>
  <c r="V30" i="12"/>
  <c r="V31" i="12"/>
  <c r="V33" i="12"/>
  <c r="V35" i="12"/>
  <c r="V36" i="12"/>
  <c r="V37" i="12"/>
  <c r="V39" i="12"/>
  <c r="V40" i="12"/>
  <c r="V41" i="12"/>
  <c r="V42" i="12"/>
  <c r="V44" i="12"/>
  <c r="U10" i="12"/>
  <c r="U11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8" i="12"/>
  <c r="U30" i="12"/>
  <c r="U31" i="12"/>
  <c r="U33" i="12"/>
  <c r="U35" i="12"/>
  <c r="U36" i="12"/>
  <c r="U37" i="12"/>
  <c r="U38" i="12"/>
  <c r="AA38" i="12" s="1"/>
  <c r="G38" i="24" s="1"/>
  <c r="U39" i="12"/>
  <c r="U40" i="12"/>
  <c r="U41" i="12"/>
  <c r="U42" i="12"/>
  <c r="AA42" i="12" s="1"/>
  <c r="G42" i="24" s="1"/>
  <c r="U44" i="12"/>
  <c r="AA44" i="12" s="1"/>
  <c r="G44" i="24" s="1"/>
  <c r="U7" i="12"/>
  <c r="J5" i="29"/>
  <c r="J7" i="29"/>
  <c r="J9" i="29"/>
  <c r="J10" i="29"/>
  <c r="J15" i="29"/>
  <c r="J19" i="29"/>
  <c r="J24" i="29"/>
  <c r="J26" i="29"/>
  <c r="J27" i="29"/>
  <c r="J29" i="29"/>
  <c r="J32" i="29"/>
  <c r="J34" i="29"/>
  <c r="G34" i="29"/>
  <c r="G32" i="29"/>
  <c r="G29" i="29"/>
  <c r="G27" i="29"/>
  <c r="G26" i="29"/>
  <c r="G24" i="29"/>
  <c r="G19" i="29"/>
  <c r="G15" i="29"/>
  <c r="G13" i="29"/>
  <c r="G10" i="29"/>
  <c r="G9" i="29"/>
  <c r="G7" i="29"/>
  <c r="G5" i="29"/>
  <c r="D47" i="29"/>
  <c r="D34" i="29"/>
  <c r="D32" i="29"/>
  <c r="D29" i="29"/>
  <c r="D27" i="29"/>
  <c r="D26" i="29"/>
  <c r="D24" i="29"/>
  <c r="D19" i="29"/>
  <c r="D15" i="29"/>
  <c r="D13" i="29"/>
  <c r="D9" i="29"/>
  <c r="D7" i="29"/>
  <c r="D5" i="29"/>
  <c r="M49" i="10"/>
  <c r="N49" i="10"/>
  <c r="M50" i="10"/>
  <c r="N50" i="10"/>
  <c r="O50" i="10"/>
  <c r="O48" i="10"/>
  <c r="N48" i="10"/>
  <c r="M48" i="10"/>
  <c r="N51" i="10" l="1"/>
  <c r="W50" i="10"/>
  <c r="H50" i="11" s="1"/>
  <c r="I50" i="11" s="1"/>
  <c r="Q50" i="10"/>
  <c r="V50" i="10" s="1"/>
  <c r="W48" i="10"/>
  <c r="M51" i="10"/>
  <c r="Q48" i="10"/>
  <c r="U45" i="12"/>
  <c r="Y42" i="12"/>
  <c r="Y38" i="12"/>
  <c r="Y44" i="12"/>
  <c r="V7" i="12"/>
  <c r="V45" i="12" s="1"/>
  <c r="K49" i="21"/>
  <c r="N8" i="10"/>
  <c r="N10" i="10"/>
  <c r="M11" i="10"/>
  <c r="O11" i="10"/>
  <c r="M12" i="10"/>
  <c r="N12" i="10"/>
  <c r="M13" i="10"/>
  <c r="N13" i="10"/>
  <c r="O13" i="10"/>
  <c r="M15" i="10"/>
  <c r="N15" i="10"/>
  <c r="O15" i="10"/>
  <c r="N16" i="10"/>
  <c r="N17" i="10"/>
  <c r="M19" i="10"/>
  <c r="N19" i="10"/>
  <c r="O20" i="10"/>
  <c r="N21" i="10"/>
  <c r="O21" i="10"/>
  <c r="M22" i="10"/>
  <c r="N22" i="10"/>
  <c r="O22" i="10"/>
  <c r="M23" i="10"/>
  <c r="O24" i="10"/>
  <c r="O25" i="10"/>
  <c r="M26" i="10"/>
  <c r="N26" i="10"/>
  <c r="O26" i="10"/>
  <c r="M27" i="10"/>
  <c r="N27" i="10"/>
  <c r="M28" i="10"/>
  <c r="N28" i="10"/>
  <c r="M29" i="10"/>
  <c r="N29" i="10"/>
  <c r="O29" i="10"/>
  <c r="O30" i="10"/>
  <c r="N31" i="10"/>
  <c r="O31" i="10"/>
  <c r="M33" i="10"/>
  <c r="N33" i="10"/>
  <c r="O33" i="10"/>
  <c r="M34" i="10"/>
  <c r="N35" i="10"/>
  <c r="O35" i="10"/>
  <c r="M36" i="10"/>
  <c r="N36" i="10"/>
  <c r="O36" i="10"/>
  <c r="N40" i="10"/>
  <c r="O41" i="10"/>
  <c r="O43" i="10"/>
  <c r="W19" i="10" l="1"/>
  <c r="H19" i="11" s="1"/>
  <c r="I19" i="11" s="1"/>
  <c r="Q19" i="10"/>
  <c r="V19" i="10" s="1"/>
  <c r="W36" i="10"/>
  <c r="H36" i="11" s="1"/>
  <c r="I36" i="11" s="1"/>
  <c r="Q36" i="10"/>
  <c r="V36" i="10" s="1"/>
  <c r="W13" i="10"/>
  <c r="H13" i="11" s="1"/>
  <c r="I13" i="11" s="1"/>
  <c r="Q13" i="10"/>
  <c r="V13" i="10" s="1"/>
  <c r="K51" i="21"/>
  <c r="O49" i="10"/>
  <c r="V48" i="10"/>
  <c r="W26" i="10"/>
  <c r="H26" i="11" s="1"/>
  <c r="I26" i="11" s="1"/>
  <c r="Q26" i="10"/>
  <c r="V26" i="10" s="1"/>
  <c r="W22" i="10"/>
  <c r="H22" i="11" s="1"/>
  <c r="I22" i="11" s="1"/>
  <c r="Q22" i="10"/>
  <c r="V22" i="10" s="1"/>
  <c r="W15" i="10"/>
  <c r="H15" i="11" s="1"/>
  <c r="I15" i="11" s="1"/>
  <c r="Q15" i="10"/>
  <c r="V15" i="10" s="1"/>
  <c r="W33" i="10"/>
  <c r="H33" i="11" s="1"/>
  <c r="I33" i="11" s="1"/>
  <c r="Q33" i="10"/>
  <c r="V33" i="10" s="1"/>
  <c r="W29" i="10"/>
  <c r="H29" i="11" s="1"/>
  <c r="I29" i="11" s="1"/>
  <c r="Q29" i="10"/>
  <c r="V29" i="10" s="1"/>
  <c r="Q11" i="10"/>
  <c r="V11" i="10" s="1"/>
  <c r="H48" i="11"/>
  <c r="J38" i="24"/>
  <c r="J42" i="24"/>
  <c r="J44" i="24"/>
  <c r="O7" i="10"/>
  <c r="N7" i="10"/>
  <c r="M7" i="10"/>
  <c r="K8" i="21"/>
  <c r="O8" i="10" s="1"/>
  <c r="K9" i="21"/>
  <c r="O9" i="10" s="1"/>
  <c r="K10" i="21"/>
  <c r="O10" i="10" s="1"/>
  <c r="K12" i="21"/>
  <c r="O12" i="10" s="1"/>
  <c r="W12" i="10" s="1"/>
  <c r="H12" i="11" s="1"/>
  <c r="I12" i="11" s="1"/>
  <c r="K14" i="21"/>
  <c r="K17" i="21"/>
  <c r="O16" i="10" s="1"/>
  <c r="K18" i="21"/>
  <c r="O17" i="10" s="1"/>
  <c r="K19" i="21"/>
  <c r="O18" i="10" s="1"/>
  <c r="K20" i="21"/>
  <c r="O19" i="10" s="1"/>
  <c r="K24" i="21"/>
  <c r="O23" i="10" s="1"/>
  <c r="K28" i="21"/>
  <c r="O27" i="10" s="1"/>
  <c r="W27" i="10" s="1"/>
  <c r="H27" i="11" s="1"/>
  <c r="I27" i="11" s="1"/>
  <c r="K29" i="21"/>
  <c r="O28" i="10" s="1"/>
  <c r="W28" i="10" s="1"/>
  <c r="H28" i="11" s="1"/>
  <c r="I28" i="11" s="1"/>
  <c r="K33" i="21"/>
  <c r="O32" i="10" s="1"/>
  <c r="K35" i="21"/>
  <c r="O34" i="10" s="1"/>
  <c r="K38" i="21"/>
  <c r="O37" i="10" s="1"/>
  <c r="K41" i="21"/>
  <c r="O40" i="10" s="1"/>
  <c r="K43" i="21"/>
  <c r="O42" i="10" s="1"/>
  <c r="H9" i="21"/>
  <c r="H11" i="21"/>
  <c r="N11" i="10" s="1"/>
  <c r="W11" i="10" s="1"/>
  <c r="H11" i="11" s="1"/>
  <c r="I11" i="11" s="1"/>
  <c r="H14" i="21"/>
  <c r="N14" i="10" s="1"/>
  <c r="H19" i="21"/>
  <c r="N18" i="10" s="1"/>
  <c r="H21" i="21"/>
  <c r="N20" i="10" s="1"/>
  <c r="H24" i="21"/>
  <c r="N23" i="10" s="1"/>
  <c r="W23" i="10" s="1"/>
  <c r="H23" i="11" s="1"/>
  <c r="I23" i="11" s="1"/>
  <c r="H25" i="21"/>
  <c r="N24" i="10" s="1"/>
  <c r="H26" i="21"/>
  <c r="N25" i="10" s="1"/>
  <c r="H31" i="21"/>
  <c r="N30" i="10" s="1"/>
  <c r="H33" i="21"/>
  <c r="N32" i="10" s="1"/>
  <c r="H35" i="21"/>
  <c r="N34" i="10" s="1"/>
  <c r="W34" i="10" s="1"/>
  <c r="H34" i="11" s="1"/>
  <c r="I34" i="11" s="1"/>
  <c r="H42" i="21"/>
  <c r="N41" i="10" s="1"/>
  <c r="H43" i="21"/>
  <c r="N42" i="10" s="1"/>
  <c r="H44" i="21"/>
  <c r="N43" i="10" s="1"/>
  <c r="E8" i="21"/>
  <c r="E9" i="21"/>
  <c r="M9" i="10" s="1"/>
  <c r="E10" i="21"/>
  <c r="M10" i="10" s="1"/>
  <c r="E14" i="21"/>
  <c r="M14" i="10" s="1"/>
  <c r="E15" i="21"/>
  <c r="E17" i="21"/>
  <c r="M16" i="10" s="1"/>
  <c r="E18" i="21"/>
  <c r="M17" i="10" s="1"/>
  <c r="E19" i="21"/>
  <c r="M18" i="10" s="1"/>
  <c r="E21" i="21"/>
  <c r="M20" i="10" s="1"/>
  <c r="E22" i="21"/>
  <c r="M21" i="10" s="1"/>
  <c r="E25" i="21"/>
  <c r="M24" i="10" s="1"/>
  <c r="E26" i="21"/>
  <c r="M25" i="10" s="1"/>
  <c r="E31" i="21"/>
  <c r="M30" i="10" s="1"/>
  <c r="E32" i="21"/>
  <c r="M31" i="10" s="1"/>
  <c r="E33" i="21"/>
  <c r="M32" i="10" s="1"/>
  <c r="E36" i="21"/>
  <c r="M35" i="10" s="1"/>
  <c r="E38" i="21"/>
  <c r="M37" i="10" s="1"/>
  <c r="E40" i="21"/>
  <c r="M39" i="10" s="1"/>
  <c r="E41" i="21"/>
  <c r="M40" i="10" s="1"/>
  <c r="E42" i="21"/>
  <c r="M41" i="10" s="1"/>
  <c r="E43" i="21"/>
  <c r="M42" i="10" s="1"/>
  <c r="E44" i="21"/>
  <c r="M43" i="10" s="1"/>
  <c r="W37" i="10" l="1"/>
  <c r="H37" i="11" s="1"/>
  <c r="I37" i="11" s="1"/>
  <c r="Q37" i="10"/>
  <c r="V37" i="10" s="1"/>
  <c r="W20" i="10"/>
  <c r="H20" i="11" s="1"/>
  <c r="I20" i="11" s="1"/>
  <c r="Q20" i="10"/>
  <c r="V20" i="10" s="1"/>
  <c r="Q49" i="10"/>
  <c r="O51" i="10"/>
  <c r="W49" i="10"/>
  <c r="Q28" i="10"/>
  <c r="V28" i="10" s="1"/>
  <c r="W41" i="10"/>
  <c r="H41" i="11" s="1"/>
  <c r="I41" i="11" s="1"/>
  <c r="Q41" i="10"/>
  <c r="V41" i="10" s="1"/>
  <c r="W25" i="10"/>
  <c r="H25" i="11" s="1"/>
  <c r="I25" i="11" s="1"/>
  <c r="Q25" i="10"/>
  <c r="V25" i="10" s="1"/>
  <c r="W18" i="10"/>
  <c r="H18" i="11" s="1"/>
  <c r="I18" i="11" s="1"/>
  <c r="Q18" i="10"/>
  <c r="V18" i="10" s="1"/>
  <c r="W40" i="10"/>
  <c r="H40" i="11" s="1"/>
  <c r="I40" i="11" s="1"/>
  <c r="Q40" i="10"/>
  <c r="V40" i="10" s="1"/>
  <c r="W32" i="10"/>
  <c r="H32" i="11" s="1"/>
  <c r="I32" i="11" s="1"/>
  <c r="Q32" i="10"/>
  <c r="V32" i="10" s="1"/>
  <c r="W24" i="10"/>
  <c r="H24" i="11" s="1"/>
  <c r="I24" i="11" s="1"/>
  <c r="Q24" i="10"/>
  <c r="V24" i="10" s="1"/>
  <c r="W17" i="10"/>
  <c r="H17" i="11" s="1"/>
  <c r="I17" i="11" s="1"/>
  <c r="Q17" i="10"/>
  <c r="V17" i="10" s="1"/>
  <c r="W10" i="10"/>
  <c r="H10" i="11" s="1"/>
  <c r="I10" i="11" s="1"/>
  <c r="Q10" i="10"/>
  <c r="V10" i="10" s="1"/>
  <c r="H45" i="21"/>
  <c r="N44" i="10" s="1"/>
  <c r="N9" i="10"/>
  <c r="Q12" i="10"/>
  <c r="V12" i="10" s="1"/>
  <c r="Q23" i="10"/>
  <c r="V23" i="10" s="1"/>
  <c r="Q27" i="10"/>
  <c r="V27" i="10" s="1"/>
  <c r="W42" i="10"/>
  <c r="H42" i="11" s="1"/>
  <c r="I42" i="11" s="1"/>
  <c r="Q42" i="10"/>
  <c r="V42" i="10" s="1"/>
  <c r="W30" i="10"/>
  <c r="H30" i="11" s="1"/>
  <c r="I30" i="11" s="1"/>
  <c r="Q30" i="10"/>
  <c r="V30" i="10" s="1"/>
  <c r="E45" i="21"/>
  <c r="M44" i="10" s="1"/>
  <c r="M8" i="10"/>
  <c r="W7" i="10"/>
  <c r="H7" i="11" s="1"/>
  <c r="I7" i="11" s="1"/>
  <c r="Q7" i="10"/>
  <c r="V7" i="10" s="1"/>
  <c r="Q34" i="10"/>
  <c r="V34" i="10" s="1"/>
  <c r="W35" i="10"/>
  <c r="H35" i="11" s="1"/>
  <c r="I35" i="11" s="1"/>
  <c r="Q35" i="10"/>
  <c r="V35" i="10" s="1"/>
  <c r="N45" i="10"/>
  <c r="W43" i="10"/>
  <c r="H43" i="11" s="1"/>
  <c r="I43" i="11" s="1"/>
  <c r="Q43" i="10"/>
  <c r="V43" i="10" s="1"/>
  <c r="W39" i="10"/>
  <c r="H39" i="11" s="1"/>
  <c r="I39" i="11" s="1"/>
  <c r="Q39" i="10"/>
  <c r="V39" i="10" s="1"/>
  <c r="W31" i="10"/>
  <c r="H31" i="11" s="1"/>
  <c r="I31" i="11" s="1"/>
  <c r="Q31" i="10"/>
  <c r="V31" i="10" s="1"/>
  <c r="W21" i="10"/>
  <c r="H21" i="11" s="1"/>
  <c r="I21" i="11" s="1"/>
  <c r="Q21" i="10"/>
  <c r="V21" i="10" s="1"/>
  <c r="W16" i="10"/>
  <c r="H16" i="11" s="1"/>
  <c r="I16" i="11" s="1"/>
  <c r="Q16" i="10"/>
  <c r="V16" i="10" s="1"/>
  <c r="W9" i="10"/>
  <c r="H9" i="11" s="1"/>
  <c r="I9" i="11" s="1"/>
  <c r="Q9" i="10"/>
  <c r="V9" i="10" s="1"/>
  <c r="I48" i="11"/>
  <c r="K45" i="21"/>
  <c r="O44" i="10" s="1"/>
  <c r="Q44" i="10" s="1"/>
  <c r="O14" i="10"/>
  <c r="W14" i="10" s="1"/>
  <c r="H14" i="11" s="1"/>
  <c r="W8" i="10" l="1"/>
  <c r="H8" i="11" s="1"/>
  <c r="I8" i="11" s="1"/>
  <c r="Q8" i="10"/>
  <c r="V8" i="10" s="1"/>
  <c r="H49" i="11"/>
  <c r="W51" i="10"/>
  <c r="W44" i="10"/>
  <c r="H44" i="11" s="1"/>
  <c r="I44" i="11" s="1"/>
  <c r="M45" i="10"/>
  <c r="V49" i="10"/>
  <c r="V51" i="10" s="1"/>
  <c r="Q51" i="10"/>
  <c r="V44" i="10"/>
  <c r="O45" i="10"/>
  <c r="Q14" i="10"/>
  <c r="V14" i="10" s="1"/>
  <c r="T11" i="12"/>
  <c r="AA11" i="12" s="1"/>
  <c r="G11" i="24" s="1"/>
  <c r="K8" i="29"/>
  <c r="H8" i="29"/>
  <c r="E8" i="29"/>
  <c r="I49" i="11" l="1"/>
  <c r="H51" i="11"/>
  <c r="Q45" i="10"/>
  <c r="Y11" i="12"/>
  <c r="T22" i="12"/>
  <c r="AA22" i="12" s="1"/>
  <c r="G22" i="24" s="1"/>
  <c r="K19" i="29"/>
  <c r="H19" i="29"/>
  <c r="E19" i="29"/>
  <c r="I51" i="11" l="1"/>
  <c r="J11" i="24"/>
  <c r="V45" i="10"/>
  <c r="Y22" i="12"/>
  <c r="E46" i="31"/>
  <c r="E47" i="29"/>
  <c r="E46" i="29"/>
  <c r="J22" i="24" l="1"/>
  <c r="W45" i="10"/>
  <c r="S49" i="12"/>
  <c r="E45" i="29"/>
  <c r="I14" i="11" l="1"/>
  <c r="H45" i="11"/>
  <c r="S50" i="12"/>
  <c r="S51" i="12" s="1"/>
  <c r="I45" i="11" l="1"/>
  <c r="K41" i="29"/>
  <c r="H41" i="29"/>
  <c r="E41" i="29"/>
  <c r="T43" i="12" l="1"/>
  <c r="AA43" i="12" s="1"/>
  <c r="G43" i="24" s="1"/>
  <c r="K40" i="29"/>
  <c r="H40" i="29"/>
  <c r="E40" i="29"/>
  <c r="Y43" i="12" l="1"/>
  <c r="K39" i="29"/>
  <c r="H39" i="29"/>
  <c r="E39" i="29"/>
  <c r="J43" i="24" l="1"/>
  <c r="T41" i="12"/>
  <c r="AA41" i="12" s="1"/>
  <c r="G41" i="24" s="1"/>
  <c r="K38" i="29"/>
  <c r="H38" i="29"/>
  <c r="E38" i="29"/>
  <c r="Y41" i="12" l="1"/>
  <c r="T40" i="12"/>
  <c r="AA40" i="12" s="1"/>
  <c r="G40" i="24" s="1"/>
  <c r="K37" i="29"/>
  <c r="H37" i="29"/>
  <c r="E37" i="29"/>
  <c r="J41" i="24" l="1"/>
  <c r="Y40" i="12"/>
  <c r="T39" i="12"/>
  <c r="AA39" i="12" s="1"/>
  <c r="G39" i="24" s="1"/>
  <c r="K36" i="29"/>
  <c r="H36" i="29"/>
  <c r="E36" i="29"/>
  <c r="J40" i="24" l="1"/>
  <c r="Y39" i="12"/>
  <c r="T37" i="12"/>
  <c r="AA37" i="12" s="1"/>
  <c r="G37" i="24" s="1"/>
  <c r="K34" i="29"/>
  <c r="H34" i="29"/>
  <c r="E34" i="29"/>
  <c r="J39" i="24" l="1"/>
  <c r="Y37" i="12"/>
  <c r="T36" i="12"/>
  <c r="AA36" i="12" s="1"/>
  <c r="G36" i="24" s="1"/>
  <c r="K33" i="29"/>
  <c r="H33" i="29"/>
  <c r="E33" i="29"/>
  <c r="J37" i="24" l="1"/>
  <c r="Y36" i="12"/>
  <c r="T35" i="12"/>
  <c r="AA35" i="12" s="1"/>
  <c r="G35" i="24" s="1"/>
  <c r="K32" i="29"/>
  <c r="H32" i="29"/>
  <c r="E32" i="29"/>
  <c r="J36" i="24" l="1"/>
  <c r="Y35" i="12"/>
  <c r="K31" i="29"/>
  <c r="H31" i="29"/>
  <c r="E31" i="29"/>
  <c r="J35" i="24" l="1"/>
  <c r="T33" i="12"/>
  <c r="AA33" i="12" s="1"/>
  <c r="G33" i="24" s="1"/>
  <c r="K30" i="29"/>
  <c r="H30" i="29"/>
  <c r="E30" i="29"/>
  <c r="Y33" i="12" l="1"/>
  <c r="T32" i="12"/>
  <c r="AA32" i="12" s="1"/>
  <c r="G32" i="24" s="1"/>
  <c r="K29" i="29"/>
  <c r="H29" i="29"/>
  <c r="E29" i="29"/>
  <c r="J33" i="24" l="1"/>
  <c r="Y32" i="12"/>
  <c r="T31" i="12"/>
  <c r="AA31" i="12" s="1"/>
  <c r="G31" i="24" s="1"/>
  <c r="K28" i="29"/>
  <c r="H28" i="29"/>
  <c r="E28" i="29"/>
  <c r="J32" i="24" l="1"/>
  <c r="Y31" i="12"/>
  <c r="T30" i="12"/>
  <c r="AA30" i="12" s="1"/>
  <c r="G30" i="24" s="1"/>
  <c r="K27" i="29"/>
  <c r="H27" i="29"/>
  <c r="E27" i="29"/>
  <c r="J31" i="24" l="1"/>
  <c r="Y30" i="12"/>
  <c r="K26" i="29"/>
  <c r="H26" i="29"/>
  <c r="E26" i="29"/>
  <c r="J30" i="24" l="1"/>
  <c r="T28" i="12"/>
  <c r="AA28" i="12" s="1"/>
  <c r="G28" i="24" s="1"/>
  <c r="K25" i="29"/>
  <c r="H25" i="29"/>
  <c r="E25" i="29"/>
  <c r="Y28" i="12" l="1"/>
  <c r="T26" i="12"/>
  <c r="AA26" i="12" s="1"/>
  <c r="G26" i="24" s="1"/>
  <c r="K23" i="29"/>
  <c r="H23" i="29"/>
  <c r="E23" i="29"/>
  <c r="J28" i="24" l="1"/>
  <c r="Y26" i="12"/>
  <c r="T25" i="12"/>
  <c r="AA25" i="12" s="1"/>
  <c r="G25" i="24" s="1"/>
  <c r="K22" i="29"/>
  <c r="H22" i="29"/>
  <c r="E22" i="29"/>
  <c r="J26" i="24" l="1"/>
  <c r="Y25" i="12"/>
  <c r="T24" i="12"/>
  <c r="AA24" i="12" s="1"/>
  <c r="G24" i="24" s="1"/>
  <c r="K21" i="29"/>
  <c r="H21" i="29"/>
  <c r="E21" i="29"/>
  <c r="J25" i="24" l="1"/>
  <c r="Y24" i="12"/>
  <c r="T23" i="12"/>
  <c r="AA23" i="12" s="1"/>
  <c r="G23" i="24" s="1"/>
  <c r="K20" i="29"/>
  <c r="H20" i="29"/>
  <c r="E20" i="29"/>
  <c r="J24" i="24" l="1"/>
  <c r="Y23" i="12"/>
  <c r="T21" i="12"/>
  <c r="AA21" i="12" s="1"/>
  <c r="G21" i="24" s="1"/>
  <c r="K18" i="29"/>
  <c r="H18" i="29"/>
  <c r="E18" i="29"/>
  <c r="J23" i="24" l="1"/>
  <c r="Y21" i="12"/>
  <c r="T20" i="12"/>
  <c r="AA20" i="12" s="1"/>
  <c r="G20" i="24" s="1"/>
  <c r="H17" i="29"/>
  <c r="E17" i="29"/>
  <c r="J21" i="24" l="1"/>
  <c r="Y20" i="12"/>
  <c r="T19" i="12"/>
  <c r="AA19" i="12" s="1"/>
  <c r="G19" i="24" s="1"/>
  <c r="K16" i="29"/>
  <c r="H16" i="29"/>
  <c r="E16" i="29"/>
  <c r="J20" i="24" l="1"/>
  <c r="Y19" i="12"/>
  <c r="T18" i="12"/>
  <c r="AA18" i="12" s="1"/>
  <c r="G18" i="24" s="1"/>
  <c r="K15" i="29"/>
  <c r="H15" i="29"/>
  <c r="E15" i="29"/>
  <c r="J19" i="24" l="1"/>
  <c r="Y18" i="12"/>
  <c r="T17" i="12"/>
  <c r="AA17" i="12" s="1"/>
  <c r="G17" i="24" s="1"/>
  <c r="K14" i="29"/>
  <c r="H14" i="29"/>
  <c r="E14" i="29"/>
  <c r="J18" i="24" l="1"/>
  <c r="Y17" i="12"/>
  <c r="T16" i="12"/>
  <c r="AA16" i="12" s="1"/>
  <c r="G16" i="24" s="1"/>
  <c r="H13" i="29"/>
  <c r="E13" i="29"/>
  <c r="J17" i="24" l="1"/>
  <c r="Y16" i="12"/>
  <c r="T15" i="12"/>
  <c r="AA15" i="12" s="1"/>
  <c r="G15" i="24" s="1"/>
  <c r="H12" i="29"/>
  <c r="D15" i="12" s="1"/>
  <c r="D45" i="12" s="1"/>
  <c r="E12" i="29"/>
  <c r="C15" i="12" s="1"/>
  <c r="S15" i="12" s="1"/>
  <c r="J16" i="24" l="1"/>
  <c r="Y15" i="12"/>
  <c r="T14" i="12"/>
  <c r="AA14" i="12" s="1"/>
  <c r="G14" i="24" s="1"/>
  <c r="K11" i="29"/>
  <c r="H11" i="29"/>
  <c r="E11" i="29"/>
  <c r="J15" i="24" l="1"/>
  <c r="Y14" i="12"/>
  <c r="T13" i="12"/>
  <c r="AA13" i="12" s="1"/>
  <c r="G13" i="24" s="1"/>
  <c r="K10" i="29"/>
  <c r="H10" i="29"/>
  <c r="E10" i="29"/>
  <c r="C13" i="12" s="1"/>
  <c r="J14" i="24" l="1"/>
  <c r="S13" i="12"/>
  <c r="C45" i="12"/>
  <c r="Y13" i="12"/>
  <c r="T12" i="12"/>
  <c r="K9" i="29"/>
  <c r="H9" i="29"/>
  <c r="E9" i="29"/>
  <c r="AA12" i="12" l="1"/>
  <c r="G12" i="24" s="1"/>
  <c r="Y12" i="12"/>
  <c r="J13" i="24"/>
  <c r="S45" i="12"/>
  <c r="T10" i="12"/>
  <c r="AA10" i="12" s="1"/>
  <c r="G10" i="24" s="1"/>
  <c r="K7" i="29"/>
  <c r="H7" i="29"/>
  <c r="E7" i="29"/>
  <c r="J12" i="24" l="1"/>
  <c r="Y10" i="12"/>
  <c r="K6" i="29"/>
  <c r="H6" i="29"/>
  <c r="E6" i="29"/>
  <c r="J10" i="24" l="1"/>
  <c r="OF6" i="19"/>
  <c r="OA6" i="19"/>
  <c r="OG6" i="19"/>
  <c r="OH6" i="19" s="1"/>
  <c r="OC6" i="19"/>
  <c r="NZ6" i="19"/>
  <c r="NW6" i="19"/>
  <c r="K5" i="29"/>
  <c r="H5" i="29"/>
  <c r="E5" i="29"/>
  <c r="OB6" i="19" l="1"/>
  <c r="OD6" i="19"/>
  <c r="OE6" i="19" s="1"/>
  <c r="NX6" i="19"/>
  <c r="NY6" i="19" s="1"/>
  <c r="T7" i="12" l="1"/>
  <c r="K4" i="29"/>
  <c r="H4" i="29"/>
  <c r="E4" i="29"/>
  <c r="T45" i="12" l="1"/>
  <c r="AA7" i="12"/>
  <c r="G7" i="24" s="1"/>
  <c r="Y7" i="12"/>
  <c r="AA45" i="12" l="1"/>
  <c r="Y45" i="12"/>
  <c r="J7" i="24" l="1"/>
  <c r="G45" i="24"/>
  <c r="Z45" i="12"/>
  <c r="AB45" i="12"/>
  <c r="J45" i="24" l="1"/>
</calcChain>
</file>

<file path=xl/comments1.xml><?xml version="1.0" encoding="utf-8"?>
<comments xmlns="http://schemas.openxmlformats.org/spreadsheetml/2006/main">
  <authors>
    <author>Мазанская школа</author>
  </authors>
  <commentList>
    <comment ref="I23" authorId="0" shapeId="0">
      <text>
        <r>
          <rPr>
            <b/>
            <sz val="9"/>
            <color indexed="81"/>
            <rFont val="Tahoma"/>
            <family val="2"/>
            <charset val="204"/>
          </rPr>
          <t>Мазанская школа: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<sst xmlns="http://schemas.openxmlformats.org/spreadsheetml/2006/main" count="1806" uniqueCount="363">
  <si>
    <t>Раздел I</t>
  </si>
  <si>
    <t>Качество условий обеспечения образовательного процесса</t>
  </si>
  <si>
    <t xml:space="preserve">1.1.Учебно-методическое и материально-техническое обеспечение </t>
  </si>
  <si>
    <t>№ п/п</t>
  </si>
  <si>
    <t>Наименование общеобразовательной организации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</si>
  <si>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</si>
  <si>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</si>
  <si>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</si>
  <si>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</si>
  <si>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</si>
  <si>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</si>
  <si>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</si>
  <si>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</si>
  <si>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</si>
  <si>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</si>
  <si>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</si>
  <si>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</si>
  <si>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S1</t>
  </si>
  <si>
    <t>S2</t>
  </si>
  <si>
    <t>S1-S2</t>
  </si>
  <si>
    <t>1.2.2.1.</t>
  </si>
  <si>
    <t>1.2.2.2.</t>
  </si>
  <si>
    <t>1.2.5.1.</t>
  </si>
  <si>
    <t>1.2.5.2.</t>
  </si>
  <si>
    <t>1.2.6.1.</t>
  </si>
  <si>
    <t>1.2.6.2.</t>
  </si>
  <si>
    <t>"+"</t>
  </si>
  <si>
    <t>"-"</t>
  </si>
  <si>
    <t>1.3. Условия для удовлетворения образовательных потребностей</t>
  </si>
  <si>
    <t>К=1</t>
  </si>
  <si>
    <t>итог 1.1.</t>
  </si>
  <si>
    <t>итог 1.2.</t>
  </si>
  <si>
    <t>итого по разделу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</si>
  <si>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</si>
  <si>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</si>
  <si>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</si>
  <si>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0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</si>
  <si>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</si>
  <si>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</si>
  <si>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</si>
  <si>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</si>
  <si>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</si>
  <si>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</si>
  <si>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</si>
  <si>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</si>
  <si>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</si>
  <si>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2.1.3.4.</t>
  </si>
  <si>
    <t>2.1.4.1.</t>
  </si>
  <si>
    <t>2.1.4.2.</t>
  </si>
  <si>
    <t>2.1.5.1.</t>
  </si>
  <si>
    <t>2.1.5.2.</t>
  </si>
  <si>
    <t>муниципальный уровень</t>
  </si>
  <si>
    <t>федеральный уровень</t>
  </si>
  <si>
    <t>международный уровень</t>
  </si>
  <si>
    <t>2.2.1.4</t>
  </si>
  <si>
    <t>среднее</t>
  </si>
  <si>
    <t>2.2.2.1</t>
  </si>
  <si>
    <t>2.2.1.1</t>
  </si>
  <si>
    <t>2.2.1.2</t>
  </si>
  <si>
    <t>2.2.2.2</t>
  </si>
  <si>
    <t>2.2.1.3</t>
  </si>
  <si>
    <t>зачет с первого раза</t>
  </si>
  <si>
    <t>зачет по всем пяти критериям (абсолютный зачет)</t>
  </si>
  <si>
    <t>получивших абс зачет и набравших на ЕГЭ по русскому яз менее 50 баллов</t>
  </si>
  <si>
    <t>"незачёт" по критерию грамотн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</si>
  <si>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</si>
  <si>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</si>
  <si>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</si>
  <si>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</si>
  <si>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</si>
  <si>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</si>
  <si>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</si>
  <si>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</si>
  <si>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</si>
  <si>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</si>
  <si>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</si>
  <si>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</si>
  <si>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</si>
  <si>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1.2.10. Результативность участия пед.работников в конкурсах проф.мастерства:</t>
  </si>
  <si>
    <t>1.2.10.1.</t>
  </si>
  <si>
    <t>1.2.10.2.</t>
  </si>
  <si>
    <t>имеющих пед. стаж до 3 лет</t>
  </si>
  <si>
    <t>имеющих пед. стаж свыше 25 лет</t>
  </si>
  <si>
    <t>1.2.8. Доля пед.работников, привл. к проведению ВсОШ на региональном этапе в качестве членов жюри</t>
  </si>
  <si>
    <t>1.2.9. Доля пед.работников, привл. к проведению ГИА в форме ЕГЭ и ОГЭ в качестве экспертов предметных комиссий</t>
  </si>
  <si>
    <t>1.2.11. Обеспеченность кадрами для психолого-пед. сопровождения обр. процесса</t>
  </si>
  <si>
    <t>1.2.3. Выполнение плана курсовой подготовки</t>
  </si>
  <si>
    <t>1.2.1. Обеспеченность образовательного процесса пед. работниками</t>
  </si>
  <si>
    <t>1.2.2. Доля пед. работников, имеющих:</t>
  </si>
  <si>
    <t>1.2.4. Доля пед. работников, имеющих высшую и первую квалиф. категории</t>
  </si>
  <si>
    <t>повысили или сохранили прежнюю квал. категорию</t>
  </si>
  <si>
    <t>К=1,5</t>
  </si>
  <si>
    <t>среднее N=3</t>
  </si>
  <si>
    <t>сумма</t>
  </si>
  <si>
    <t>K=1,5</t>
  </si>
  <si>
    <t>среднее 1.1.</t>
  </si>
  <si>
    <t>итог 1.3.</t>
  </si>
  <si>
    <r>
      <t xml:space="preserve">2.1.2. Доля обучающихся, имеющих "2" по одному и более </t>
    </r>
    <r>
      <rPr>
        <sz val="10"/>
        <color indexed="8"/>
        <rFont val="Times New Roman"/>
        <family val="1"/>
        <charset val="204"/>
      </rPr>
      <t>предметам федерального компонента уч. плана (предметные результаты по итогам годового оценивания), в т.ч.:</t>
    </r>
  </si>
  <si>
    <t>2.1.3. Доля обучающихся-победителей и призеров ВсОШ</t>
  </si>
  <si>
    <t>региональный уровень</t>
  </si>
  <si>
    <t>среднее 2.1.</t>
  </si>
  <si>
    <t>итог 2.1.</t>
  </si>
  <si>
    <t>К=2</t>
  </si>
  <si>
    <t>2.2.1.Результаты итогового сочинения "+"</t>
  </si>
  <si>
    <t>2.2.2. ВПР-4  русский яз "+"</t>
  </si>
  <si>
    <t>"4" и "5"</t>
  </si>
  <si>
    <t>2.2.3. ВПР-4  математика "+"</t>
  </si>
  <si>
    <t>2.2.3.1</t>
  </si>
  <si>
    <t xml:space="preserve"> "+"</t>
  </si>
  <si>
    <t>2.2.1. Результаты итоговго сочинения "-"</t>
  </si>
  <si>
    <t>2.2.2. ВПР-4 русский яз"-"</t>
  </si>
  <si>
    <t>"2"</t>
  </si>
  <si>
    <t>2.2.3. ВПР-4  математика "-"</t>
  </si>
  <si>
    <t>2.2.3.2.</t>
  </si>
  <si>
    <t>2.2.4.2.</t>
  </si>
  <si>
    <t>итог 2.2.</t>
  </si>
  <si>
    <t>1.2.5. Доля пед. работников, которые по результатам аттестации:</t>
  </si>
  <si>
    <t>спорт. зал</t>
  </si>
  <si>
    <t>ИТОГО</t>
  </si>
  <si>
    <t>среднее 2.2.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</si>
  <si>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</si>
  <si>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"-"</t>
  </si>
  <si>
    <t>сведения о наличии выпускников</t>
  </si>
  <si>
    <t xml:space="preserve">2.2. Результаты ГИА, ВПР и других оценочных процедур (внешнее оценивание) </t>
  </si>
  <si>
    <t>2.3. Результаты надзорных и контрольных мероприятий</t>
  </si>
  <si>
    <t>итог 2.3.</t>
  </si>
  <si>
    <t>Роспотребнадзора</t>
  </si>
  <si>
    <t>МЧС</t>
  </si>
  <si>
    <t>Прокуратуры</t>
  </si>
  <si>
    <r>
      <t xml:space="preserve">Управления по надзору и контролю </t>
    </r>
    <r>
      <rPr>
        <sz val="12"/>
        <color indexed="8"/>
        <rFont val="Times New Roman"/>
        <family val="1"/>
        <charset val="204"/>
      </rPr>
      <t>за соблюдением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законодательства в сфере образования</t>
    </r>
    <r>
      <rPr>
        <sz val="12"/>
        <color indexed="8"/>
        <rFont val="Times New Roman"/>
        <family val="1"/>
        <charset val="204"/>
      </rPr>
      <t xml:space="preserve"> МОНМ РК</t>
    </r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</si>
  <si>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</si>
  <si>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</si>
  <si>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2.2. Результаты ГИА, ВПР и других оценочных процедур (внешнее оценивание)</t>
  </si>
  <si>
    <t>общая численность педагогических работников</t>
  </si>
  <si>
    <t>в т.ч.внешних совместителей</t>
  </si>
  <si>
    <t>соответствие средней заработной платы пед. работников целевым показателям Указа Президента РФ от 07.05.2017 г. №597</t>
  </si>
  <si>
    <t>общая численность обучающихся (чел.):</t>
  </si>
  <si>
    <t>обучавшихся в форме самообразования, получивших аттестат</t>
  </si>
  <si>
    <t>сведения о реализуемых ООП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</si>
  <si>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</si>
  <si>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</si>
  <si>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</si>
  <si>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</si>
  <si>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</si>
  <si>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</si>
  <si>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</si>
  <si>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</si>
  <si>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</si>
  <si>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</si>
  <si>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</si>
  <si>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</si>
  <si>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</si>
  <si>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</si>
  <si>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</si>
  <si>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</si>
  <si>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</si>
  <si>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</si>
  <si>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</si>
  <si>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</si>
  <si>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</si>
  <si>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</si>
  <si>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</si>
  <si>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</si>
  <si>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</si>
  <si>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</si>
  <si>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</si>
  <si>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</si>
  <si>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</si>
  <si>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</si>
  <si>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</si>
  <si>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</si>
  <si>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</si>
  <si>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</si>
  <si>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</si>
  <si>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</si>
  <si>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</si>
  <si>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</si>
  <si>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</si>
  <si>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</si>
  <si>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>1.2.7. Доля пед. работников, привл. к проведению аккредит, меропр по контролю (надзору) в кач экспертов</t>
  </si>
  <si>
    <t>высшее проф образование</t>
  </si>
  <si>
    <t>среднее проф образование</t>
  </si>
  <si>
    <t>понизили или лишились квал категории</t>
  </si>
  <si>
    <t>1.3.1.Доля обучающихся, охваченных профильным обучением</t>
  </si>
  <si>
    <t>1.3.2. Доля реализуемых часов внеурочной деятельности по уровням образования:</t>
  </si>
  <si>
    <t>1.3.2.1.</t>
  </si>
  <si>
    <t>1.3.2.2.</t>
  </si>
  <si>
    <t>2.2.6. Выпускников, набравших по результатам ЕГЭ более 80 баллов по одному и более предметам</t>
  </si>
  <si>
    <t>2.2.7. Доля медалистов относительно количества претендентов</t>
  </si>
  <si>
    <r>
      <t xml:space="preserve">2.2.7.2 Медалистов, набравших не менее 70 баллов при сдаче ЕГЭ </t>
    </r>
    <r>
      <rPr>
        <b/>
        <u/>
        <sz val="10"/>
        <rFont val="Times New Roman"/>
        <family val="1"/>
        <charset val="204"/>
      </rPr>
      <t>по всем выбранным предметам</t>
    </r>
  </si>
  <si>
    <t>2.2.4. Не  получивших аттестат об образовании (по итогам осн периода ГИА)</t>
  </si>
  <si>
    <t>2.2.5. Не преодолевших мин. порог баллов при прохождении ГИА</t>
  </si>
  <si>
    <t>2.2.4.1.</t>
  </si>
  <si>
    <t>2.2.5.1. по русскому яз.</t>
  </si>
  <si>
    <t>2.2.5.2. по математике</t>
  </si>
  <si>
    <t>2.3.1.1.</t>
  </si>
  <si>
    <t>2.3.1.2.</t>
  </si>
  <si>
    <t>2.3.1.3.</t>
  </si>
  <si>
    <t>2.3.1.4.</t>
  </si>
  <si>
    <t>К=-1,5</t>
  </si>
  <si>
    <t>математика</t>
  </si>
  <si>
    <t>русский язык</t>
  </si>
  <si>
    <t>средний балл по итогам ЕГЭ</t>
  </si>
  <si>
    <t>средний балл по итогам ОГЭ</t>
  </si>
  <si>
    <t>средний балл по итогам годового оценивания (11 кл)</t>
  </si>
  <si>
    <t>средний балл по итогам годового оценивания ( 9 кл)</t>
  </si>
  <si>
    <t>обучающихся, охваченных угл изуч отдельных предметов</t>
  </si>
  <si>
    <t>количество выпускников</t>
  </si>
  <si>
    <t>соответствие площади помещений, в которых осуществляется образовательная деятельность, СанПиН</t>
  </si>
  <si>
    <t>1.2.10.3.</t>
  </si>
  <si>
    <t>1.2.10.4.</t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</si>
  <si>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</si>
  <si>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</si>
  <si>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 </t>
    </r>
    <r>
      <rPr>
        <sz val="10"/>
        <color rgb="FF000000"/>
        <rFont val="Times New Roman"/>
        <family val="1"/>
        <charset val="204"/>
      </rPr>
      <t xml:space="preserve">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</si>
  <si>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</si>
  <si>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t>1.1.2.7.</t>
  </si>
  <si>
    <t>ОБЖ</t>
  </si>
  <si>
    <t>1.1.5. Наличие  психологического кабинета</t>
  </si>
  <si>
    <t>Предметные олимпиады 2018/2019 год</t>
  </si>
  <si>
    <t>№
п/п</t>
  </si>
  <si>
    <t>Математика</t>
  </si>
  <si>
    <t xml:space="preserve">Физика 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</si>
  <si>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</si>
  <si>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</si>
  <si>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</si>
  <si>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</si>
  <si>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</si>
  <si>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</si>
  <si>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</si>
  <si>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</si>
  <si>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</si>
  <si>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</si>
  <si>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</si>
  <si>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</si>
  <si>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</si>
  <si>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</si>
  <si>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</si>
  <si>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</si>
  <si>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</si>
  <si>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 xml:space="preserve">Экономика </t>
  </si>
  <si>
    <t>Обществознание</t>
  </si>
  <si>
    <t>Физкультура</t>
  </si>
  <si>
    <t>МХК</t>
  </si>
  <si>
    <t xml:space="preserve">кол-во принявших </t>
  </si>
  <si>
    <t>кол-во побед. и приз.</t>
  </si>
  <si>
    <t>доля</t>
  </si>
  <si>
    <t>S</t>
  </si>
  <si>
    <t>2.1.4.3.</t>
  </si>
  <si>
    <t>2.1.4.4.</t>
  </si>
  <si>
    <t>2.1.4. Доля обучающихся–победителей и призеров предметных конкурсов:</t>
  </si>
  <si>
    <t>2.1.5. Доля обучающихся–победителей и призеров конкурса-защиты научно-исслед. работ МАН "Искатель", Шаг в науку</t>
  </si>
  <si>
    <t>2.1.6. Доля обучающихся -победителей и призеров спортивных соревнований</t>
  </si>
  <si>
    <t>2.1.7. Доля обучающихся-претендентов на получение аттестата об образовании особого образца:</t>
  </si>
  <si>
    <t>2.1.8. Доля обучающихся, не допущенных к ГИА:</t>
  </si>
  <si>
    <t>2.1.8.1.</t>
  </si>
  <si>
    <t>2.1.8.2.</t>
  </si>
  <si>
    <t>2.1.7.1.</t>
  </si>
  <si>
    <t>2.1.7.2.</t>
  </si>
  <si>
    <t>2.3.1.Предписания надзорных органов:</t>
  </si>
  <si>
    <r>
      <t xml:space="preserve">2.3.4. "Сомнительные» результатами ВПР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</si>
  <si>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r>
      <t>2.3.4.Обращений граждан, в ходе рассмотрения которых изложенные факты подтверждены или подтверждены частично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(1 - если  да, 0- если нет)</t>
    </r>
  </si>
  <si>
    <r>
      <t xml:space="preserve">2.3.2.  ОО, в которых аккредитованы не все образовательные программы </t>
    </r>
    <r>
      <rPr>
        <i/>
        <sz val="12"/>
        <color rgb="FF000000"/>
        <rFont val="Times New Roman"/>
        <family val="1"/>
        <charset val="204"/>
      </rPr>
      <t xml:space="preserve">(ОО, в которых нет выпускников соответствующего уровня образования, не берутся в расчет)  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</si>
  <si>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t xml:space="preserve">2.4. Результаты Муниципальных мониторинговых исследований </t>
  </si>
  <si>
    <t>2.4.3.</t>
  </si>
  <si>
    <t>итого по разделу 2</t>
  </si>
  <si>
    <t>Доля экстернов, получивших неудовлетворительные оценки за обе диагностические работы (русский язык и математика)</t>
  </si>
  <si>
    <t>итог 2.4.</t>
  </si>
  <si>
    <t>К=3</t>
  </si>
  <si>
    <t>среднее N=4</t>
  </si>
  <si>
    <t>среднее 2.4..</t>
  </si>
  <si>
    <t>сумма 2.3.</t>
  </si>
  <si>
    <t>Охват приоритетных направлений деятельности психологической службы</t>
  </si>
  <si>
    <t xml:space="preserve">Участие в социально-психологических исследованиях, мониторингах республиканского уровня </t>
  </si>
  <si>
    <t>1.2.10. Результативность участия пед.работников в конкурсах проф.мастерства</t>
  </si>
  <si>
    <t>региональный (Республика Крым) уровень</t>
  </si>
  <si>
    <r>
      <t xml:space="preserve">2.2.7.1.Медалистов,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по результатам ЕГЭ при сдаче предметов по выбору, </t>
    </r>
    <r>
      <rPr>
        <b/>
        <u/>
        <sz val="10"/>
        <rFont val="Times New Roman"/>
        <family val="1"/>
        <charset val="204"/>
      </rPr>
      <t>относительно общего количества медалистов</t>
    </r>
  </si>
  <si>
    <t>Кол-во обуч</t>
  </si>
  <si>
    <t>МБОУ «Новоандреевская школа»</t>
  </si>
  <si>
    <t>МАН</t>
  </si>
  <si>
    <t>Шаг в науку</t>
  </si>
  <si>
    <r>
      <rPr>
        <b/>
        <sz val="10"/>
        <color rgb="FF000000"/>
        <rFont val="Times New Roman"/>
        <family val="1"/>
        <charset val="204"/>
      </rPr>
      <t xml:space="preserve">на муниципальном уровне </t>
    </r>
    <r>
      <rPr>
        <sz val="10"/>
        <color rgb="FF000000"/>
        <rFont val="Times New Roman"/>
        <family val="1"/>
        <charset val="204"/>
      </rPr>
      <t xml:space="preserve">количество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</si>
  <si>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на региональном уровне </t>
    </r>
    <r>
      <rPr>
        <sz val="10"/>
        <color rgb="FF000000"/>
        <rFont val="Times New Roman"/>
        <family val="1"/>
        <charset val="204"/>
      </rPr>
      <t xml:space="preserve">количество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</si>
  <si>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 количество</t>
    </r>
    <r>
      <rPr>
        <sz val="10"/>
        <color rgb="FF000000"/>
        <rFont val="Times New Roman"/>
        <family val="1"/>
        <charset val="204"/>
      </rPr>
      <t xml:space="preserve">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</si>
  <si>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t>Из них кол-во побед. и приз.</t>
  </si>
  <si>
    <t xml:space="preserve">Из них обуч. на "4" и "5" </t>
  </si>
  <si>
    <t xml:space="preserve">Из них обуч. на "2" </t>
  </si>
  <si>
    <t>40,000</t>
  </si>
  <si>
    <t>0.520</t>
  </si>
  <si>
    <t>0.720</t>
  </si>
  <si>
    <t>0.100</t>
  </si>
  <si>
    <t>3.571</t>
  </si>
  <si>
    <t>МБОУ «Константиновская школа"</t>
  </si>
  <si>
    <t>0.730</t>
  </si>
  <si>
    <t>/31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</si>
  <si>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2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</si>
  <si>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Название конкурса</t>
  </si>
  <si>
    <t>мини-футбол юноши</t>
  </si>
  <si>
    <t>мини-футбол девушки</t>
  </si>
  <si>
    <t>волейбол юноши</t>
  </si>
  <si>
    <t>волейбол девушки</t>
  </si>
  <si>
    <t>баскетбол девушки</t>
  </si>
  <si>
    <t>баскетбол юноши</t>
  </si>
  <si>
    <t>президентские состязания</t>
  </si>
  <si>
    <t>президентские спортивные игры</t>
  </si>
  <si>
    <t>шашки шахматы</t>
  </si>
  <si>
    <t>игры школьных спортивных клубов</t>
  </si>
  <si>
    <t>ВЕСЕЛЫЕ СТАРТЫ</t>
  </si>
  <si>
    <t>МУНИЦИПАЛЬНЫЙ (Республика Крым) уровень</t>
  </si>
  <si>
    <t>№</t>
  </si>
  <si>
    <t>Наименование школы</t>
  </si>
  <si>
    <t>кол-во участников</t>
  </si>
  <si>
    <t>кол-во победителей +призеров</t>
  </si>
  <si>
    <t>К</t>
  </si>
  <si>
    <t>МБОУ «Добровская школа-гимназия»</t>
  </si>
  <si>
    <t>МБОУ «Кольчугинская  школа№ 1»</t>
  </si>
  <si>
    <t>МБОУ «Кольчугинская  школа№ 2»</t>
  </si>
  <si>
    <t>МБОУ «Мирновская школа № 1»</t>
  </si>
  <si>
    <t>МБОУ «Мирновская школа № 2»</t>
  </si>
  <si>
    <t>МБОУ «Родниковская школа-гимназия»</t>
  </si>
  <si>
    <t>МБОУ «Скворцовская школа»</t>
  </si>
  <si>
    <t>Крым 21 век</t>
  </si>
  <si>
    <t xml:space="preserve">Отечество </t>
  </si>
  <si>
    <t>Конкурс исследовательских работ "Первооткрыватель" (1-4 классы)</t>
  </si>
  <si>
    <t>Конкурс "Язык-душа народа"</t>
  </si>
  <si>
    <t>Фестиваль "Родной язык бесценен,и неисчерпаему духовные богатства народа"</t>
  </si>
  <si>
    <t>Шаг к Олимпу</t>
  </si>
  <si>
    <t>1.ИСТОРИЯ СРЕДНЕВЕКОВОГО КРЫМА</t>
  </si>
  <si>
    <t>2.КОНКУРС МУЗЕЕВ</t>
  </si>
  <si>
    <t>3.КОНФЕРЕНЦИЯ "КРЫМ - НАШ ОБЩИЙ ДОМ"</t>
  </si>
  <si>
    <t>4.КОНФЕРЕНЦИЯ "ПРАВОСЛАВИЕ В КРЫМУ"</t>
  </si>
  <si>
    <t>5.КОНКУРС НА ЗНАНИЕ КОНСТИТУЦИИ РФ</t>
  </si>
  <si>
    <t xml:space="preserve">6.ЧЕЛОВЕК В ИСТОРИИ XX ВЕК </t>
  </si>
  <si>
    <t>7.ЮНЫЙ ПРАВОВЕД</t>
  </si>
  <si>
    <t>8.СУДЬБА МОЕЙ СЕМЬИ В СУДЬБЕ МОЕЙ СТРАНЫ</t>
  </si>
  <si>
    <t>9.ХОЧУ НАПИСАТЬ ЗАКОН</t>
  </si>
  <si>
    <t>10. В ЕДИНСТВЕ СИЛА</t>
  </si>
  <si>
    <t>11. ДЕНЬ РУБЛЯ</t>
  </si>
  <si>
    <t>12.ЕСЛИ БЫ Я БЫЛ ПРЕЗИДЕНТОМ</t>
  </si>
  <si>
    <t>#ВместеЯрче</t>
  </si>
  <si>
    <t>Российская астрономическая олимпиада "Малая Медведица"</t>
  </si>
  <si>
    <t>ХИМИЯ</t>
  </si>
  <si>
    <t>ИТОГ</t>
  </si>
  <si>
    <t xml:space="preserve"> </t>
  </si>
  <si>
    <t>2.3.5. Исполнительская дисциплина по итогом учебного года</t>
  </si>
  <si>
    <t>2.3.5. Исполнительская дисциплаина</t>
  </si>
  <si>
    <t>август</t>
  </si>
  <si>
    <t>сентябрь</t>
  </si>
  <si>
    <t>октябрь</t>
  </si>
  <si>
    <t>ноябрь</t>
  </si>
  <si>
    <t>декабрь</t>
  </si>
  <si>
    <t>январь-август</t>
  </si>
  <si>
    <t>кол-во</t>
  </si>
  <si>
    <t>сдано</t>
  </si>
  <si>
    <t>МБОУ «Кизиловская начальная школа-детский сад «Росинка»</t>
  </si>
  <si>
    <t>итог</t>
  </si>
  <si>
    <t>"С компьютером на ТЫ"</t>
  </si>
  <si>
    <t>КИТ Региональный</t>
  </si>
  <si>
    <t>Snilbot</t>
  </si>
  <si>
    <t>Крымский вундергеймер</t>
  </si>
  <si>
    <t>CrimeaCTF</t>
  </si>
  <si>
    <t>Олимпиада по веб-программированию</t>
  </si>
  <si>
    <t>КИТ Всероссийский</t>
  </si>
  <si>
    <t>МСОКО по итогам 2019-2020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</si>
</sst>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0070C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DEADA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CD5B5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rgb="FF993300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2F2F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10" borderId="0" applyNumberFormat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52" fillId="0" borderId="0" applyBorder="0" applyProtection="0"/>
  </cellStyleXfs>
  <cellXfs count="779">
    <xf numFmtId="0" fontId="0" fillId="0" borderId="0" xfId="0"/>
    <xf numFmtId="0" fontId="3" fillId="0" borderId="0" xfId="10" applyFont="1" applyAlignment="1">
      <alignment horizontal="center"/>
    </xf>
    <xf numFmtId="0" fontId="1" fillId="0" borderId="0" xfId="10"/>
    <xf numFmtId="0" fontId="3" fillId="0" borderId="0" xfId="10" applyFont="1" applyBorder="1" applyAlignment="1">
      <alignment horizontal="center"/>
    </xf>
    <xf numFmtId="0" fontId="5" fillId="4" borderId="1" xfId="10" applyNumberFormat="1" applyFont="1" applyFill="1" applyBorder="1" applyAlignment="1">
      <alignment horizontal="center" vertical="center"/>
    </xf>
    <xf numFmtId="0" fontId="5" fillId="4" borderId="1" xfId="10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center" vertical="center" wrapText="1"/>
    </xf>
    <xf numFmtId="0" fontId="7" fillId="0" borderId="0" xfId="10" applyFont="1" applyAlignment="1">
      <alignment horizontal="center" vertical="center"/>
    </xf>
    <xf numFmtId="0" fontId="1" fillId="0" borderId="0" xfId="8"/>
    <xf numFmtId="0" fontId="4" fillId="5" borderId="1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165" fontId="7" fillId="3" borderId="1" xfId="8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8" applyFont="1"/>
    <xf numFmtId="0" fontId="4" fillId="8" borderId="5" xfId="8" applyFont="1" applyFill="1" applyBorder="1" applyAlignment="1">
      <alignment horizontal="center" vertical="center" wrapText="1"/>
    </xf>
    <xf numFmtId="0" fontId="1" fillId="0" borderId="0" xfId="9"/>
    <xf numFmtId="165" fontId="4" fillId="6" borderId="1" xfId="9" applyNumberFormat="1" applyFont="1" applyFill="1" applyBorder="1" applyAlignment="1">
      <alignment horizontal="center" vertical="center" wrapText="1"/>
    </xf>
    <xf numFmtId="0" fontId="1" fillId="0" borderId="0" xfId="8" applyFill="1"/>
    <xf numFmtId="165" fontId="7" fillId="4" borderId="1" xfId="8" applyNumberFormat="1" applyFont="1" applyFill="1" applyBorder="1" applyAlignment="1">
      <alignment horizontal="center" vertical="center" wrapText="1"/>
    </xf>
    <xf numFmtId="0" fontId="14" fillId="4" borderId="1" xfId="8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0" fontId="1" fillId="0" borderId="0" xfId="10" applyAlignment="1">
      <alignment horizontal="left"/>
    </xf>
    <xf numFmtId="0" fontId="7" fillId="4" borderId="14" xfId="10" applyFont="1" applyFill="1" applyBorder="1" applyAlignment="1">
      <alignment horizontal="center" vertical="center" wrapText="1"/>
    </xf>
    <xf numFmtId="0" fontId="7" fillId="4" borderId="15" xfId="10" applyFont="1" applyFill="1" applyBorder="1" applyAlignment="1">
      <alignment horizontal="left" vertical="center" wrapText="1"/>
    </xf>
    <xf numFmtId="1" fontId="7" fillId="3" borderId="16" xfId="10" applyNumberFormat="1" applyFont="1" applyFill="1" applyBorder="1" applyAlignment="1">
      <alignment horizontal="center" vertical="center" wrapText="1"/>
    </xf>
    <xf numFmtId="0" fontId="7" fillId="4" borderId="5" xfId="10" applyFont="1" applyFill="1" applyBorder="1" applyAlignment="1">
      <alignment horizontal="left" vertical="center" wrapText="1"/>
    </xf>
    <xf numFmtId="0" fontId="22" fillId="4" borderId="5" xfId="10" applyFont="1" applyFill="1" applyBorder="1" applyAlignment="1">
      <alignment horizontal="left" vertical="center" wrapText="1"/>
    </xf>
    <xf numFmtId="0" fontId="7" fillId="4" borderId="1" xfId="1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2" borderId="0" xfId="0" applyFill="1"/>
    <xf numFmtId="165" fontId="27" fillId="5" borderId="1" xfId="0" applyNumberFormat="1" applyFont="1" applyFill="1" applyBorder="1" applyAlignment="1">
      <alignment horizontal="center" vertical="center"/>
    </xf>
    <xf numFmtId="0" fontId="28" fillId="4" borderId="1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14" fillId="5" borderId="1" xfId="8" applyFont="1" applyFill="1" applyBorder="1" applyAlignment="1">
      <alignment horizontal="center" vertical="center" wrapText="1"/>
    </xf>
    <xf numFmtId="165" fontId="14" fillId="5" borderId="1" xfId="8" applyNumberFormat="1" applyFont="1" applyFill="1" applyBorder="1" applyAlignment="1">
      <alignment horizontal="center" vertical="center" wrapText="1"/>
    </xf>
    <xf numFmtId="0" fontId="3" fillId="0" borderId="0" xfId="8" applyFont="1" applyBorder="1" applyAlignment="1"/>
    <xf numFmtId="165" fontId="31" fillId="0" borderId="1" xfId="0" applyNumberFormat="1" applyFont="1" applyBorder="1" applyAlignment="1">
      <alignment horizontal="center"/>
    </xf>
    <xf numFmtId="165" fontId="7" fillId="2" borderId="1" xfId="9" applyNumberFormat="1" applyFont="1" applyFill="1" applyBorder="1" applyAlignment="1">
      <alignment horizontal="center" vertical="center" wrapText="1"/>
    </xf>
    <xf numFmtId="1" fontId="7" fillId="2" borderId="1" xfId="1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6" fillId="5" borderId="1" xfId="8" applyFont="1" applyFill="1" applyBorder="1" applyAlignment="1">
      <alignment horizontal="center" vertical="center" wrapText="1"/>
    </xf>
    <xf numFmtId="0" fontId="6" fillId="5" borderId="8" xfId="8" applyFont="1" applyFill="1" applyBorder="1" applyAlignment="1">
      <alignment horizontal="center" vertical="center" wrapText="1"/>
    </xf>
    <xf numFmtId="165" fontId="6" fillId="5" borderId="1" xfId="8" applyNumberFormat="1" applyFont="1" applyFill="1" applyBorder="1" applyAlignment="1">
      <alignment horizontal="center" vertical="center" wrapText="1"/>
    </xf>
    <xf numFmtId="165" fontId="6" fillId="7" borderId="1" xfId="8" applyNumberFormat="1" applyFont="1" applyFill="1" applyBorder="1" applyAlignment="1">
      <alignment horizontal="center" vertical="center" wrapText="1"/>
    </xf>
    <xf numFmtId="0" fontId="2" fillId="0" borderId="0" xfId="8" applyFont="1"/>
    <xf numFmtId="0" fontId="7" fillId="2" borderId="1" xfId="9" applyFont="1" applyFill="1" applyBorder="1" applyAlignment="1">
      <alignment horizontal="center" vertical="center" wrapText="1"/>
    </xf>
    <xf numFmtId="0" fontId="2" fillId="0" borderId="0" xfId="9" applyFont="1"/>
    <xf numFmtId="0" fontId="6" fillId="5" borderId="1" xfId="9" applyFont="1" applyFill="1" applyBorder="1" applyAlignment="1">
      <alignment horizontal="center" vertical="center" wrapText="1"/>
    </xf>
    <xf numFmtId="0" fontId="6" fillId="5" borderId="3" xfId="9" applyFont="1" applyFill="1" applyBorder="1" applyAlignment="1">
      <alignment horizontal="center" vertical="center" wrapText="1"/>
    </xf>
    <xf numFmtId="165" fontId="6" fillId="5" borderId="3" xfId="9" applyNumberFormat="1" applyFont="1" applyFill="1" applyBorder="1" applyAlignment="1">
      <alignment horizontal="center" vertical="center" wrapText="1"/>
    </xf>
    <xf numFmtId="0" fontId="33" fillId="0" borderId="0" xfId="9" applyFont="1"/>
    <xf numFmtId="0" fontId="8" fillId="5" borderId="5" xfId="9" applyFont="1" applyFill="1" applyBorder="1" applyAlignment="1">
      <alignment horizontal="center" vertical="center" wrapText="1"/>
    </xf>
    <xf numFmtId="0" fontId="8" fillId="5" borderId="4" xfId="9" applyFont="1" applyFill="1" applyBorder="1" applyAlignment="1">
      <alignment horizontal="center" vertical="center" wrapText="1"/>
    </xf>
    <xf numFmtId="0" fontId="8" fillId="5" borderId="3" xfId="9" applyFont="1" applyFill="1" applyBorder="1" applyAlignment="1">
      <alignment horizontal="center" vertical="center" wrapText="1"/>
    </xf>
    <xf numFmtId="0" fontId="8" fillId="5" borderId="9" xfId="9" applyFont="1" applyFill="1" applyBorder="1" applyAlignment="1">
      <alignment horizontal="center" vertical="center" wrapText="1"/>
    </xf>
    <xf numFmtId="0" fontId="8" fillId="5" borderId="6" xfId="9" applyFont="1" applyFill="1" applyBorder="1" applyAlignment="1">
      <alignment horizontal="center" vertical="center" wrapText="1"/>
    </xf>
    <xf numFmtId="165" fontId="8" fillId="5" borderId="3" xfId="9" applyNumberFormat="1" applyFont="1" applyFill="1" applyBorder="1" applyAlignment="1">
      <alignment horizontal="center" vertical="center" wrapText="1"/>
    </xf>
    <xf numFmtId="165" fontId="8" fillId="7" borderId="1" xfId="9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6" fillId="5" borderId="3" xfId="8" applyNumberFormat="1" applyFont="1" applyFill="1" applyBorder="1" applyAlignment="1">
      <alignment horizontal="center" vertical="center" wrapText="1"/>
    </xf>
    <xf numFmtId="165" fontId="32" fillId="2" borderId="1" xfId="8" applyNumberFormat="1" applyFont="1" applyFill="1" applyBorder="1" applyAlignment="1">
      <alignment horizontal="center" vertical="center" wrapText="1"/>
    </xf>
    <xf numFmtId="165" fontId="20" fillId="2" borderId="1" xfId="8" applyNumberFormat="1" applyFont="1" applyFill="1" applyBorder="1" applyAlignment="1">
      <alignment horizontal="center" vertical="top" wrapText="1"/>
    </xf>
    <xf numFmtId="165" fontId="20" fillId="2" borderId="1" xfId="8" applyNumberFormat="1" applyFont="1" applyFill="1" applyBorder="1" applyAlignment="1">
      <alignment horizontal="center" wrapText="1"/>
    </xf>
    <xf numFmtId="165" fontId="17" fillId="6" borderId="1" xfId="9" applyNumberFormat="1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7" fillId="11" borderId="1" xfId="8" applyNumberFormat="1" applyFont="1" applyFill="1" applyBorder="1" applyAlignment="1">
      <alignment horizontal="center" vertical="center" wrapText="1"/>
    </xf>
    <xf numFmtId="0" fontId="28" fillId="5" borderId="1" xfId="10" applyFont="1" applyFill="1" applyBorder="1" applyAlignment="1">
      <alignment horizontal="center" vertical="center" wrapText="1"/>
    </xf>
    <xf numFmtId="0" fontId="1" fillId="2" borderId="0" xfId="8" applyFill="1"/>
    <xf numFmtId="165" fontId="4" fillId="2" borderId="1" xfId="8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wrapText="1"/>
    </xf>
    <xf numFmtId="165" fontId="11" fillId="2" borderId="1" xfId="8" applyNumberFormat="1" applyFont="1" applyFill="1" applyBorder="1" applyAlignment="1">
      <alignment horizontal="center" vertical="center" wrapText="1"/>
    </xf>
    <xf numFmtId="0" fontId="21" fillId="12" borderId="1" xfId="8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left" vertical="center" wrapText="1"/>
    </xf>
    <xf numFmtId="0" fontId="2" fillId="2" borderId="0" xfId="8" applyFont="1" applyFill="1"/>
    <xf numFmtId="0" fontId="1" fillId="2" borderId="0" xfId="8" applyFill="1" applyBorder="1"/>
    <xf numFmtId="0" fontId="1" fillId="2" borderId="1" xfId="8" applyFill="1" applyBorder="1"/>
    <xf numFmtId="165" fontId="25" fillId="5" borderId="1" xfId="0" applyNumberFormat="1" applyFont="1" applyFill="1" applyBorder="1" applyAlignment="1">
      <alignment horizontal="center" vertical="center"/>
    </xf>
    <xf numFmtId="165" fontId="7" fillId="5" borderId="1" xfId="8" applyNumberFormat="1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left" vertical="center" wrapText="1"/>
    </xf>
    <xf numFmtId="0" fontId="1" fillId="2" borderId="0" xfId="9" applyFill="1"/>
    <xf numFmtId="165" fontId="7" fillId="2" borderId="0" xfId="9" applyNumberFormat="1" applyFont="1" applyFill="1" applyBorder="1" applyAlignment="1">
      <alignment horizontal="center" vertical="center" wrapText="1"/>
    </xf>
    <xf numFmtId="165" fontId="7" fillId="5" borderId="1" xfId="9" applyNumberFormat="1" applyFont="1" applyFill="1" applyBorder="1" applyAlignment="1">
      <alignment horizontal="center" vertical="center" wrapText="1"/>
    </xf>
    <xf numFmtId="165" fontId="7" fillId="9" borderId="1" xfId="9" applyNumberFormat="1" applyFont="1" applyFill="1" applyBorder="1" applyAlignment="1">
      <alignment horizontal="center" vertical="center" wrapText="1"/>
    </xf>
    <xf numFmtId="165" fontId="7" fillId="2" borderId="1" xfId="10" applyNumberFormat="1" applyFont="1" applyFill="1" applyBorder="1" applyAlignment="1">
      <alignment horizontal="center" vertical="center" wrapText="1"/>
    </xf>
    <xf numFmtId="165" fontId="7" fillId="0" borderId="1" xfId="8" applyNumberFormat="1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165" fontId="5" fillId="2" borderId="1" xfId="10" applyNumberFormat="1" applyFont="1" applyFill="1" applyBorder="1" applyAlignment="1">
      <alignment horizontal="center" vertical="center" wrapText="1"/>
    </xf>
    <xf numFmtId="165" fontId="7" fillId="0" borderId="1" xfId="8" applyNumberFormat="1" applyFont="1" applyBorder="1" applyAlignment="1">
      <alignment horizontal="center" vertical="center" wrapText="1"/>
    </xf>
    <xf numFmtId="165" fontId="4" fillId="2" borderId="1" xfId="9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5" fillId="2" borderId="1" xfId="9" applyNumberFormat="1" applyFont="1" applyFill="1" applyBorder="1" applyAlignment="1">
      <alignment horizontal="center" vertical="center" wrapText="1"/>
    </xf>
    <xf numFmtId="0" fontId="5" fillId="4" borderId="14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left" vertical="center" wrapText="1"/>
    </xf>
    <xf numFmtId="1" fontId="5" fillId="2" borderId="1" xfId="8" applyNumberFormat="1" applyFont="1" applyFill="1" applyBorder="1" applyAlignment="1">
      <alignment horizontal="center" vertical="center" wrapText="1"/>
    </xf>
    <xf numFmtId="1" fontId="25" fillId="2" borderId="1" xfId="8" applyNumberFormat="1" applyFont="1" applyFill="1" applyBorder="1" applyAlignment="1">
      <alignment horizontal="center" vertical="center" wrapText="1"/>
    </xf>
    <xf numFmtId="2" fontId="5" fillId="2" borderId="1" xfId="8" applyNumberFormat="1" applyFont="1" applyFill="1" applyBorder="1" applyAlignment="1">
      <alignment horizontal="center" vertical="center" wrapText="1"/>
    </xf>
    <xf numFmtId="165" fontId="5" fillId="11" borderId="1" xfId="8" applyNumberFormat="1" applyFont="1" applyFill="1" applyBorder="1" applyAlignment="1">
      <alignment horizontal="center" vertical="center" wrapText="1"/>
    </xf>
    <xf numFmtId="0" fontId="1" fillId="0" borderId="0" xfId="8" applyFont="1"/>
    <xf numFmtId="165" fontId="4" fillId="0" borderId="1" xfId="9" applyNumberFormat="1" applyFont="1" applyFill="1" applyBorder="1" applyAlignment="1">
      <alignment horizontal="center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65" fontId="5" fillId="0" borderId="1" xfId="1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5" fillId="0" borderId="0" xfId="10" applyFont="1" applyAlignment="1">
      <alignment horizontal="center" vertical="center"/>
    </xf>
    <xf numFmtId="0" fontId="1" fillId="0" borderId="0" xfId="10" applyFont="1"/>
    <xf numFmtId="165" fontId="11" fillId="0" borderId="1" xfId="8" applyNumberFormat="1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39" fillId="2" borderId="1" xfId="8" applyNumberFormat="1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" fillId="2" borderId="0" xfId="8" applyFont="1" applyFill="1" applyBorder="1"/>
    <xf numFmtId="0" fontId="1" fillId="2" borderId="0" xfId="8" applyFont="1" applyFill="1"/>
    <xf numFmtId="0" fontId="7" fillId="2" borderId="5" xfId="10" applyFont="1" applyFill="1" applyBorder="1" applyAlignment="1">
      <alignment horizontal="center" vertical="center" wrapText="1"/>
    </xf>
    <xf numFmtId="1" fontId="7" fillId="2" borderId="1" xfId="9" applyNumberFormat="1" applyFont="1" applyFill="1" applyBorder="1" applyAlignment="1">
      <alignment horizontal="center" vertical="center" wrapText="1"/>
    </xf>
    <xf numFmtId="0" fontId="7" fillId="2" borderId="14" xfId="10" applyFont="1" applyFill="1" applyBorder="1" applyAlignment="1">
      <alignment horizontal="center" vertical="center" wrapText="1"/>
    </xf>
    <xf numFmtId="165" fontId="4" fillId="0" borderId="1" xfId="9" applyNumberFormat="1" applyFont="1" applyBorder="1" applyAlignment="1">
      <alignment horizontal="center" vertical="center" wrapText="1"/>
    </xf>
    <xf numFmtId="165" fontId="5" fillId="0" borderId="1" xfId="9" applyNumberFormat="1" applyFont="1" applyFill="1" applyBorder="1" applyAlignment="1">
      <alignment horizontal="center" vertical="center" wrapText="1"/>
    </xf>
    <xf numFmtId="0" fontId="1" fillId="11" borderId="0" xfId="8" applyFill="1" applyBorder="1"/>
    <xf numFmtId="165" fontId="7" fillId="11" borderId="1" xfId="9" applyNumberFormat="1" applyFont="1" applyFill="1" applyBorder="1" applyAlignment="1">
      <alignment horizontal="center" vertical="center" wrapText="1"/>
    </xf>
    <xf numFmtId="49" fontId="5" fillId="2" borderId="1" xfId="8" applyNumberFormat="1" applyFont="1" applyFill="1" applyBorder="1" applyAlignment="1">
      <alignment horizontal="center" vertical="center" wrapText="1"/>
    </xf>
    <xf numFmtId="165" fontId="5" fillId="0" borderId="1" xfId="8" applyNumberFormat="1" applyFont="1" applyFill="1" applyBorder="1" applyAlignment="1">
      <alignment horizontal="center" vertical="center" wrapText="1"/>
    </xf>
    <xf numFmtId="0" fontId="25" fillId="4" borderId="5" xfId="10" applyFont="1" applyFill="1" applyBorder="1" applyAlignment="1">
      <alignment horizontal="left" vertical="center" wrapText="1"/>
    </xf>
    <xf numFmtId="12" fontId="5" fillId="2" borderId="1" xfId="8" applyNumberFormat="1" applyFont="1" applyFill="1" applyBorder="1" applyAlignment="1">
      <alignment horizontal="center" vertical="center" wrapText="1"/>
    </xf>
    <xf numFmtId="1" fontId="5" fillId="11" borderId="1" xfId="8" applyNumberFormat="1" applyFont="1" applyFill="1" applyBorder="1" applyAlignment="1">
      <alignment horizontal="center" vertical="center" wrapText="1"/>
    </xf>
    <xf numFmtId="1" fontId="25" fillId="11" borderId="1" xfId="8" applyNumberFormat="1" applyFont="1" applyFill="1" applyBorder="1" applyAlignment="1">
      <alignment horizontal="center" vertical="center" wrapText="1"/>
    </xf>
    <xf numFmtId="165" fontId="4" fillId="2" borderId="0" xfId="9" applyNumberFormat="1" applyFont="1" applyFill="1" applyBorder="1" applyAlignment="1">
      <alignment horizontal="center" vertical="center" wrapText="1"/>
    </xf>
    <xf numFmtId="165" fontId="5" fillId="0" borderId="0" xfId="9" applyNumberFormat="1" applyFont="1" applyFill="1" applyBorder="1" applyAlignment="1">
      <alignment horizontal="center" vertical="center" wrapText="1"/>
    </xf>
    <xf numFmtId="165" fontId="4" fillId="0" borderId="0" xfId="9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13" borderId="0" xfId="0" applyFill="1"/>
    <xf numFmtId="0" fontId="7" fillId="2" borderId="0" xfId="10" applyFont="1" applyFill="1" applyAlignment="1">
      <alignment horizontal="center" vertical="center"/>
    </xf>
    <xf numFmtId="0" fontId="1" fillId="2" borderId="0" xfId="10" applyFill="1"/>
    <xf numFmtId="0" fontId="7" fillId="14" borderId="14" xfId="16" applyNumberFormat="1" applyFont="1" applyFill="1" applyBorder="1" applyAlignment="1">
      <alignment horizontal="center" vertical="center" wrapText="1"/>
    </xf>
    <xf numFmtId="0" fontId="7" fillId="14" borderId="5" xfId="16" applyNumberFormat="1" applyFont="1" applyFill="1" applyBorder="1" applyAlignment="1">
      <alignment horizontal="left" vertical="center" wrapText="1"/>
    </xf>
    <xf numFmtId="165" fontId="7" fillId="15" borderId="1" xfId="16" applyNumberFormat="1" applyFont="1" applyFill="1" applyBorder="1" applyAlignment="1">
      <alignment horizontal="center" vertical="center" wrapText="1"/>
    </xf>
    <xf numFmtId="0" fontId="7" fillId="0" borderId="0" xfId="16" applyNumberFormat="1" applyFont="1" applyFill="1" applyAlignment="1">
      <alignment horizontal="center" vertical="center"/>
    </xf>
    <xf numFmtId="0" fontId="10" fillId="0" borderId="0" xfId="16" applyNumberFormat="1" applyFont="1" applyFill="1"/>
    <xf numFmtId="0" fontId="7" fillId="14" borderId="1" xfId="16" applyNumberFormat="1" applyFont="1" applyFill="1" applyBorder="1" applyAlignment="1">
      <alignment horizontal="center" vertical="center" wrapText="1"/>
    </xf>
    <xf numFmtId="0" fontId="10" fillId="15" borderId="0" xfId="16" applyNumberFormat="1" applyFont="1" applyFill="1" applyBorder="1"/>
    <xf numFmtId="0" fontId="10" fillId="15" borderId="0" xfId="16" applyNumberFormat="1" applyFont="1" applyFill="1"/>
    <xf numFmtId="0" fontId="7" fillId="16" borderId="14" xfId="16" applyNumberFormat="1" applyFont="1" applyFill="1" applyBorder="1" applyAlignment="1">
      <alignment horizontal="center" vertical="center" wrapText="1"/>
    </xf>
    <xf numFmtId="0" fontId="7" fillId="16" borderId="5" xfId="16" applyNumberFormat="1" applyFont="1" applyFill="1" applyBorder="1" applyAlignment="1">
      <alignment horizontal="left" vertical="center" wrapText="1"/>
    </xf>
    <xf numFmtId="1" fontId="5" fillId="2" borderId="1" xfId="10" applyNumberFormat="1" applyFont="1" applyFill="1" applyBorder="1" applyAlignment="1">
      <alignment horizontal="center" vertical="center" wrapText="1"/>
    </xf>
    <xf numFmtId="0" fontId="5" fillId="2" borderId="14" xfId="1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10" applyNumberFormat="1" applyFont="1" applyBorder="1" applyAlignment="1">
      <alignment horizontal="center" vertical="center" wrapText="1"/>
    </xf>
    <xf numFmtId="1" fontId="5" fillId="11" borderId="1" xfId="10" applyNumberFormat="1" applyFont="1" applyFill="1" applyBorder="1" applyAlignment="1">
      <alignment horizontal="center" vertical="center" wrapText="1"/>
    </xf>
    <xf numFmtId="165" fontId="5" fillId="11" borderId="1" xfId="10" applyNumberFormat="1" applyFont="1" applyFill="1" applyBorder="1" applyAlignment="1">
      <alignment horizontal="center" vertical="center" wrapText="1"/>
    </xf>
    <xf numFmtId="1" fontId="5" fillId="11" borderId="1" xfId="0" applyNumberFormat="1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37" fillId="11" borderId="1" xfId="0" applyNumberFormat="1" applyFont="1" applyFill="1" applyBorder="1" applyAlignment="1">
      <alignment horizontal="center" vertical="center" wrapText="1"/>
    </xf>
    <xf numFmtId="0" fontId="5" fillId="14" borderId="14" xfId="16" applyNumberFormat="1" applyFont="1" applyFill="1" applyBorder="1" applyAlignment="1">
      <alignment horizontal="center" vertical="center" wrapText="1"/>
    </xf>
    <xf numFmtId="1" fontId="5" fillId="15" borderId="1" xfId="16" applyNumberFormat="1" applyFont="1" applyFill="1" applyBorder="1" applyAlignment="1">
      <alignment horizontal="center" vertical="center" wrapText="1"/>
    </xf>
    <xf numFmtId="165" fontId="5" fillId="15" borderId="1" xfId="16" applyNumberFormat="1" applyFont="1" applyFill="1" applyBorder="1" applyAlignment="1">
      <alignment horizontal="center" vertical="center" wrapText="1"/>
    </xf>
    <xf numFmtId="165" fontId="5" fillId="0" borderId="1" xfId="16" applyNumberFormat="1" applyFont="1" applyFill="1" applyBorder="1" applyAlignment="1">
      <alignment horizontal="center" vertical="center" wrapText="1"/>
    </xf>
    <xf numFmtId="165" fontId="39" fillId="2" borderId="1" xfId="0" applyNumberFormat="1" applyFont="1" applyFill="1" applyBorder="1" applyAlignment="1">
      <alignment horizontal="center" vertical="center" wrapText="1"/>
    </xf>
    <xf numFmtId="165" fontId="39" fillId="2" borderId="1" xfId="10" applyNumberFormat="1" applyFont="1" applyFill="1" applyBorder="1" applyAlignment="1">
      <alignment horizontal="center" vertical="center" wrapText="1"/>
    </xf>
    <xf numFmtId="165" fontId="39" fillId="0" borderId="1" xfId="10" applyNumberFormat="1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4" fillId="8" borderId="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5" fillId="13" borderId="1" xfId="8" applyFont="1" applyFill="1" applyBorder="1" applyAlignment="1">
      <alignment horizontal="center" vertical="center" wrapText="1"/>
    </xf>
    <xf numFmtId="165" fontId="39" fillId="0" borderId="1" xfId="8" applyNumberFormat="1" applyFont="1" applyFill="1" applyBorder="1" applyAlignment="1">
      <alignment horizontal="center" vertical="center" wrapText="1"/>
    </xf>
    <xf numFmtId="0" fontId="5" fillId="5" borderId="1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left" vertical="center" wrapText="1"/>
    </xf>
    <xf numFmtId="0" fontId="25" fillId="4" borderId="1" xfId="10" applyFont="1" applyFill="1" applyBorder="1" applyAlignment="1">
      <alignment horizontal="left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39" fillId="2" borderId="1" xfId="10" applyFont="1" applyFill="1" applyBorder="1" applyAlignment="1">
      <alignment horizontal="center" vertical="center" wrapText="1"/>
    </xf>
    <xf numFmtId="0" fontId="5" fillId="14" borderId="1" xfId="16" applyNumberFormat="1" applyFont="1" applyFill="1" applyBorder="1" applyAlignment="1">
      <alignment horizontal="left" vertical="center" wrapText="1"/>
    </xf>
    <xf numFmtId="0" fontId="5" fillId="4" borderId="37" xfId="10" applyFont="1" applyFill="1" applyBorder="1" applyAlignment="1">
      <alignment horizontal="center" vertical="center" wrapText="1"/>
    </xf>
    <xf numFmtId="0" fontId="5" fillId="5" borderId="37" xfId="10" applyFont="1" applyFill="1" applyBorder="1" applyAlignment="1">
      <alignment horizontal="center" vertical="center" wrapText="1"/>
    </xf>
    <xf numFmtId="0" fontId="5" fillId="5" borderId="13" xfId="10" applyFont="1" applyFill="1" applyBorder="1" applyAlignment="1">
      <alignment horizontal="center" vertical="center" wrapText="1"/>
    </xf>
    <xf numFmtId="0" fontId="5" fillId="4" borderId="14" xfId="10" applyFont="1" applyFill="1" applyBorder="1" applyAlignment="1">
      <alignment horizontal="center" vertical="center" wrapText="1"/>
    </xf>
    <xf numFmtId="0" fontId="5" fillId="5" borderId="15" xfId="10" applyFont="1" applyFill="1" applyBorder="1" applyAlignment="1">
      <alignment horizontal="center" vertical="center" wrapText="1"/>
    </xf>
    <xf numFmtId="165" fontId="17" fillId="5" borderId="15" xfId="10" applyNumberFormat="1" applyFont="1" applyFill="1" applyBorder="1" applyAlignment="1">
      <alignment horizontal="center" vertical="center" wrapText="1"/>
    </xf>
    <xf numFmtId="1" fontId="17" fillId="3" borderId="11" xfId="10" applyNumberFormat="1" applyFont="1" applyFill="1" applyBorder="1" applyAlignment="1">
      <alignment horizontal="center" vertical="center" wrapText="1"/>
    </xf>
    <xf numFmtId="165" fontId="17" fillId="3" borderId="11" xfId="10" applyNumberFormat="1" applyFont="1" applyFill="1" applyBorder="1" applyAlignment="1">
      <alignment horizontal="center" vertical="center" wrapText="1"/>
    </xf>
    <xf numFmtId="165" fontId="17" fillId="7" borderId="16" xfId="10" applyNumberFormat="1" applyFont="1" applyFill="1" applyBorder="1" applyAlignment="1">
      <alignment horizontal="center" vertical="center" wrapText="1"/>
    </xf>
    <xf numFmtId="0" fontId="7" fillId="4" borderId="12" xfId="10" applyFont="1" applyFill="1" applyBorder="1" applyAlignment="1">
      <alignment horizontal="center" vertical="center" wrapText="1"/>
    </xf>
    <xf numFmtId="0" fontId="7" fillId="4" borderId="26" xfId="10" applyFont="1" applyFill="1" applyBorder="1" applyAlignment="1">
      <alignment horizontal="left" vertical="center" wrapText="1"/>
    </xf>
    <xf numFmtId="1" fontId="7" fillId="2" borderId="37" xfId="10" applyNumberFormat="1" applyFont="1" applyFill="1" applyBorder="1" applyAlignment="1">
      <alignment horizontal="center" vertical="center" wrapText="1"/>
    </xf>
    <xf numFmtId="165" fontId="7" fillId="2" borderId="37" xfId="10" applyNumberFormat="1" applyFont="1" applyFill="1" applyBorder="1" applyAlignment="1">
      <alignment horizontal="center" vertical="center" wrapText="1"/>
    </xf>
    <xf numFmtId="165" fontId="8" fillId="5" borderId="37" xfId="0" applyNumberFormat="1" applyFont="1" applyFill="1" applyBorder="1" applyAlignment="1">
      <alignment horizontal="center" vertical="center" wrapText="1"/>
    </xf>
    <xf numFmtId="1" fontId="8" fillId="3" borderId="11" xfId="10" applyNumberFormat="1" applyFont="1" applyFill="1" applyBorder="1" applyAlignment="1">
      <alignment horizontal="center" vertical="center" wrapText="1"/>
    </xf>
    <xf numFmtId="165" fontId="8" fillId="3" borderId="11" xfId="10" applyNumberFormat="1" applyFont="1" applyFill="1" applyBorder="1" applyAlignment="1">
      <alignment horizontal="center" vertical="center" wrapText="1"/>
    </xf>
    <xf numFmtId="165" fontId="31" fillId="12" borderId="1" xfId="0" applyNumberFormat="1" applyFont="1" applyFill="1" applyBorder="1" applyAlignment="1">
      <alignment horizontal="center"/>
    </xf>
    <xf numFmtId="0" fontId="7" fillId="4" borderId="37" xfId="10" applyFont="1" applyFill="1" applyBorder="1" applyAlignment="1">
      <alignment horizontal="left" vertical="center" wrapText="1"/>
    </xf>
    <xf numFmtId="165" fontId="31" fillId="0" borderId="37" xfId="0" applyNumberFormat="1" applyFont="1" applyBorder="1" applyAlignment="1">
      <alignment horizontal="center"/>
    </xf>
    <xf numFmtId="165" fontId="8" fillId="3" borderId="11" xfId="8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0" xfId="8" applyFont="1" applyBorder="1" applyAlignment="1">
      <alignment horizontal="center" vertical="center"/>
    </xf>
    <xf numFmtId="165" fontId="25" fillId="9" borderId="33" xfId="0" applyNumberFormat="1" applyFont="1" applyFill="1" applyBorder="1" applyAlignment="1">
      <alignment horizontal="center" vertical="center"/>
    </xf>
    <xf numFmtId="165" fontId="25" fillId="7" borderId="35" xfId="0" applyNumberFormat="1" applyFont="1" applyFill="1" applyBorder="1" applyAlignment="1">
      <alignment horizontal="center" vertical="center"/>
    </xf>
    <xf numFmtId="165" fontId="25" fillId="2" borderId="0" xfId="0" applyNumberFormat="1" applyFont="1" applyFill="1" applyBorder="1" applyAlignment="1">
      <alignment horizontal="center" vertical="center"/>
    </xf>
    <xf numFmtId="165" fontId="25" fillId="7" borderId="33" xfId="0" applyNumberFormat="1" applyFont="1" applyFill="1" applyBorder="1" applyAlignment="1">
      <alignment horizontal="center" vertical="center"/>
    </xf>
    <xf numFmtId="165" fontId="39" fillId="11" borderId="1" xfId="8" applyNumberFormat="1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2" borderId="1" xfId="19" applyNumberFormat="1" applyFont="1" applyFill="1" applyBorder="1" applyAlignment="1">
      <alignment horizontal="center" vertical="center" wrapText="1"/>
    </xf>
    <xf numFmtId="0" fontId="5" fillId="4" borderId="1" xfId="10" applyFont="1" applyFill="1" applyBorder="1" applyAlignment="1" applyProtection="1">
      <alignment horizontal="left" vertical="center" wrapText="1"/>
    </xf>
    <xf numFmtId="165" fontId="7" fillId="0" borderId="1" xfId="19" applyNumberFormat="1" applyFont="1" applyFill="1" applyBorder="1" applyAlignment="1">
      <alignment horizontal="center" vertical="center" wrapText="1"/>
    </xf>
    <xf numFmtId="0" fontId="7" fillId="2" borderId="12" xfId="10" applyFont="1" applyFill="1" applyBorder="1" applyAlignment="1">
      <alignment horizontal="center" vertical="center" wrapText="1"/>
    </xf>
    <xf numFmtId="0" fontId="7" fillId="2" borderId="37" xfId="10" applyFont="1" applyFill="1" applyBorder="1" applyAlignment="1">
      <alignment horizontal="left" vertical="center" wrapText="1"/>
    </xf>
    <xf numFmtId="165" fontId="7" fillId="2" borderId="37" xfId="8" applyNumberFormat="1" applyFont="1" applyFill="1" applyBorder="1" applyAlignment="1">
      <alignment horizontal="center" vertical="center" wrapText="1"/>
    </xf>
    <xf numFmtId="165" fontId="7" fillId="0" borderId="37" xfId="8" applyNumberFormat="1" applyFont="1" applyFill="1" applyBorder="1" applyAlignment="1">
      <alignment horizontal="center" vertical="center" wrapText="1"/>
    </xf>
    <xf numFmtId="165" fontId="7" fillId="5" borderId="37" xfId="8" applyNumberFormat="1" applyFont="1" applyFill="1" applyBorder="1" applyAlignment="1">
      <alignment horizontal="center" vertical="center" wrapText="1"/>
    </xf>
    <xf numFmtId="165" fontId="6" fillId="5" borderId="15" xfId="8" applyNumberFormat="1" applyFont="1" applyFill="1" applyBorder="1" applyAlignment="1">
      <alignment horizontal="center" vertical="center" wrapText="1"/>
    </xf>
    <xf numFmtId="165" fontId="6" fillId="6" borderId="16" xfId="8" applyNumberFormat="1" applyFont="1" applyFill="1" applyBorder="1" applyAlignment="1">
      <alignment horizontal="center" vertical="center" wrapText="1"/>
    </xf>
    <xf numFmtId="0" fontId="22" fillId="4" borderId="1" xfId="10" applyFont="1" applyFill="1" applyBorder="1" applyAlignment="1">
      <alignment horizontal="left" vertical="center" wrapText="1"/>
    </xf>
    <xf numFmtId="0" fontId="7" fillId="14" borderId="1" xfId="16" applyNumberFormat="1" applyFont="1" applyFill="1" applyBorder="1" applyAlignment="1">
      <alignment horizontal="left" vertical="center" wrapText="1"/>
    </xf>
    <xf numFmtId="0" fontId="5" fillId="5" borderId="37" xfId="8" applyFont="1" applyFill="1" applyBorder="1" applyAlignment="1">
      <alignment horizontal="center" vertical="center" wrapText="1"/>
    </xf>
    <xf numFmtId="0" fontId="5" fillId="4" borderId="37" xfId="8" applyFont="1" applyFill="1" applyBorder="1" applyAlignment="1">
      <alignment horizontal="center" vertical="center" wrapText="1"/>
    </xf>
    <xf numFmtId="0" fontId="6" fillId="5" borderId="37" xfId="8" applyFont="1" applyFill="1" applyBorder="1" applyAlignment="1">
      <alignment horizontal="center" vertical="center" wrapText="1"/>
    </xf>
    <xf numFmtId="0" fontId="6" fillId="5" borderId="13" xfId="8" applyFont="1" applyFill="1" applyBorder="1" applyAlignment="1">
      <alignment horizontal="center" vertical="center" wrapText="1"/>
    </xf>
    <xf numFmtId="0" fontId="6" fillId="5" borderId="15" xfId="8" applyFont="1" applyFill="1" applyBorder="1" applyAlignment="1">
      <alignment horizontal="center" vertical="center" wrapText="1"/>
    </xf>
    <xf numFmtId="0" fontId="7" fillId="15" borderId="14" xfId="16" applyNumberFormat="1" applyFont="1" applyFill="1" applyBorder="1" applyAlignment="1">
      <alignment horizontal="center" vertical="center" wrapText="1"/>
    </xf>
    <xf numFmtId="0" fontId="6" fillId="5" borderId="40" xfId="8" applyFont="1" applyFill="1" applyBorder="1" applyAlignment="1">
      <alignment horizontal="center" vertical="center" wrapText="1"/>
    </xf>
    <xf numFmtId="0" fontId="7" fillId="4" borderId="38" xfId="10" applyFont="1" applyFill="1" applyBorder="1" applyAlignment="1">
      <alignment horizontal="center" vertical="center" wrapText="1"/>
    </xf>
    <xf numFmtId="0" fontId="7" fillId="4" borderId="25" xfId="10" applyFont="1" applyFill="1" applyBorder="1" applyAlignment="1">
      <alignment horizontal="left" vertical="center" wrapText="1"/>
    </xf>
    <xf numFmtId="0" fontId="32" fillId="4" borderId="14" xfId="10" applyFont="1" applyFill="1" applyBorder="1" applyAlignment="1">
      <alignment horizontal="center" vertical="center" wrapText="1"/>
    </xf>
    <xf numFmtId="165" fontId="32" fillId="2" borderId="1" xfId="9" applyNumberFormat="1" applyFont="1" applyFill="1" applyBorder="1" applyAlignment="1">
      <alignment horizontal="center" vertical="center" wrapText="1"/>
    </xf>
    <xf numFmtId="1" fontId="14" fillId="2" borderId="1" xfId="8" applyNumberFormat="1" applyFont="1" applyFill="1" applyBorder="1" applyAlignment="1">
      <alignment horizontal="center" vertical="center" wrapText="1"/>
    </xf>
    <xf numFmtId="1" fontId="32" fillId="2" borderId="1" xfId="8" applyNumberFormat="1" applyFont="1" applyFill="1" applyBorder="1" applyAlignment="1">
      <alignment horizontal="center" vertical="center" wrapText="1"/>
    </xf>
    <xf numFmtId="165" fontId="32" fillId="2" borderId="0" xfId="9" applyNumberFormat="1" applyFont="1" applyFill="1" applyBorder="1" applyAlignment="1">
      <alignment horizontal="center" vertical="center" wrapText="1"/>
    </xf>
    <xf numFmtId="0" fontId="31" fillId="0" borderId="0" xfId="9" applyFont="1" applyAlignment="1">
      <alignment horizontal="center" vertical="center"/>
    </xf>
    <xf numFmtId="0" fontId="31" fillId="2" borderId="0" xfId="9" applyFont="1" applyFill="1" applyAlignment="1">
      <alignment horizontal="center" vertical="center"/>
    </xf>
    <xf numFmtId="0" fontId="31" fillId="0" borderId="0" xfId="9" applyFont="1" applyAlignment="1">
      <alignment horizontal="left" vertical="center"/>
    </xf>
    <xf numFmtId="0" fontId="0" fillId="0" borderId="0" xfId="0" applyAlignment="1">
      <alignment horizontal="left"/>
    </xf>
    <xf numFmtId="1" fontId="14" fillId="2" borderId="1" xfId="9" applyNumberFormat="1" applyFont="1" applyFill="1" applyBorder="1" applyAlignment="1">
      <alignment horizontal="center" vertical="center" wrapText="1"/>
    </xf>
    <xf numFmtId="1" fontId="32" fillId="0" borderId="1" xfId="9" applyNumberFormat="1" applyFont="1" applyFill="1" applyBorder="1" applyAlignment="1">
      <alignment horizontal="center" vertical="center" wrapText="1"/>
    </xf>
    <xf numFmtId="1" fontId="14" fillId="0" borderId="1" xfId="9" applyNumberFormat="1" applyFont="1" applyFill="1" applyBorder="1" applyAlignment="1">
      <alignment horizontal="center" vertical="center" wrapText="1"/>
    </xf>
    <xf numFmtId="1" fontId="32" fillId="2" borderId="1" xfId="9" applyNumberFormat="1" applyFont="1" applyFill="1" applyBorder="1" applyAlignment="1">
      <alignment horizontal="center" vertical="center" wrapText="1"/>
    </xf>
    <xf numFmtId="1" fontId="32" fillId="11" borderId="1" xfId="9" applyNumberFormat="1" applyFont="1" applyFill="1" applyBorder="1" applyAlignment="1">
      <alignment horizontal="center" vertical="center" wrapText="1"/>
    </xf>
    <xf numFmtId="1" fontId="32" fillId="15" borderId="1" xfId="16" applyNumberFormat="1" applyFont="1" applyFill="1" applyBorder="1" applyAlignment="1">
      <alignment horizontal="center" vertical="center" wrapText="1"/>
    </xf>
    <xf numFmtId="1" fontId="31" fillId="0" borderId="0" xfId="9" applyNumberFormat="1" applyFont="1" applyAlignment="1">
      <alignment horizontal="center" vertical="center"/>
    </xf>
    <xf numFmtId="1" fontId="7" fillId="2" borderId="5" xfId="10" applyNumberFormat="1" applyFont="1" applyFill="1" applyBorder="1" applyAlignment="1">
      <alignment horizontal="center" vertical="center" wrapText="1"/>
    </xf>
    <xf numFmtId="1" fontId="22" fillId="2" borderId="5" xfId="10" applyNumberFormat="1" applyFont="1" applyFill="1" applyBorder="1" applyAlignment="1">
      <alignment horizontal="center" vertical="center" wrapText="1"/>
    </xf>
    <xf numFmtId="1" fontId="4" fillId="0" borderId="1" xfId="9" applyNumberFormat="1" applyFont="1" applyFill="1" applyBorder="1" applyAlignment="1">
      <alignment horizontal="center" vertical="center" wrapText="1"/>
    </xf>
    <xf numFmtId="1" fontId="7" fillId="11" borderId="5" xfId="10" applyNumberFormat="1" applyFont="1" applyFill="1" applyBorder="1" applyAlignment="1">
      <alignment horizontal="center" vertical="center" wrapText="1"/>
    </xf>
    <xf numFmtId="1" fontId="6" fillId="17" borderId="2" xfId="16" applyNumberFormat="1" applyFont="1" applyFill="1" applyBorder="1" applyAlignment="1">
      <alignment horizontal="center" vertical="center" wrapText="1"/>
    </xf>
    <xf numFmtId="0" fontId="7" fillId="4" borderId="5" xfId="10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65" fontId="7" fillId="4" borderId="0" xfId="9" applyNumberFormat="1" applyFont="1" applyFill="1" applyBorder="1" applyAlignment="1">
      <alignment horizontal="center" vertical="center" wrapText="1"/>
    </xf>
    <xf numFmtId="0" fontId="7" fillId="2" borderId="26" xfId="10" applyFont="1" applyFill="1" applyBorder="1" applyAlignment="1">
      <alignment horizontal="center" vertical="center" wrapText="1"/>
    </xf>
    <xf numFmtId="165" fontId="7" fillId="2" borderId="37" xfId="9" applyNumberFormat="1" applyFont="1" applyFill="1" applyBorder="1" applyAlignment="1">
      <alignment horizontal="center" vertical="center" wrapText="1"/>
    </xf>
    <xf numFmtId="165" fontId="7" fillId="2" borderId="13" xfId="9" applyNumberFormat="1" applyFont="1" applyFill="1" applyBorder="1" applyAlignment="1">
      <alignment horizontal="center" vertical="center" wrapText="1"/>
    </xf>
    <xf numFmtId="165" fontId="7" fillId="2" borderId="15" xfId="9" applyNumberFormat="1" applyFont="1" applyFill="1" applyBorder="1" applyAlignment="1">
      <alignment horizontal="center" vertical="center" wrapText="1"/>
    </xf>
    <xf numFmtId="165" fontId="4" fillId="2" borderId="15" xfId="9" applyNumberFormat="1" applyFont="1" applyFill="1" applyBorder="1" applyAlignment="1">
      <alignment horizontal="center" vertical="center" wrapText="1"/>
    </xf>
    <xf numFmtId="165" fontId="4" fillId="6" borderId="11" xfId="9" applyNumberFormat="1" applyFont="1" applyFill="1" applyBorder="1" applyAlignment="1">
      <alignment horizontal="center" vertical="center" wrapText="1"/>
    </xf>
    <xf numFmtId="165" fontId="4" fillId="6" borderId="16" xfId="9" applyNumberFormat="1" applyFont="1" applyFill="1" applyBorder="1" applyAlignment="1">
      <alignment horizontal="center" vertical="center" wrapText="1"/>
    </xf>
    <xf numFmtId="1" fontId="7" fillId="11" borderId="1" xfId="9" applyNumberFormat="1" applyFont="1" applyFill="1" applyBorder="1" applyAlignment="1">
      <alignment horizontal="center" vertical="center" wrapText="1"/>
    </xf>
    <xf numFmtId="1" fontId="7" fillId="2" borderId="3" xfId="9" applyNumberFormat="1" applyFont="1" applyFill="1" applyBorder="1" applyAlignment="1">
      <alignment horizontal="center" vertical="center" wrapText="1"/>
    </xf>
    <xf numFmtId="1" fontId="4" fillId="18" borderId="1" xfId="16" applyNumberFormat="1" applyFont="1" applyFill="1" applyBorder="1" applyAlignment="1">
      <alignment horizontal="center" vertical="center" wrapText="1"/>
    </xf>
    <xf numFmtId="165" fontId="7" fillId="9" borderId="15" xfId="9" applyNumberFormat="1" applyFont="1" applyFill="1" applyBorder="1" applyAlignment="1">
      <alignment horizontal="center" vertical="center" wrapText="1"/>
    </xf>
    <xf numFmtId="0" fontId="4" fillId="9" borderId="19" xfId="10" applyFont="1" applyFill="1" applyBorder="1" applyAlignment="1">
      <alignment vertical="center" wrapText="1"/>
    </xf>
    <xf numFmtId="0" fontId="4" fillId="9" borderId="23" xfId="10" applyFont="1" applyFill="1" applyBorder="1" applyAlignment="1">
      <alignment vertical="center" wrapText="1"/>
    </xf>
    <xf numFmtId="0" fontId="4" fillId="9" borderId="20" xfId="10" applyFont="1" applyFill="1" applyBorder="1" applyAlignment="1">
      <alignment vertical="center" wrapText="1"/>
    </xf>
    <xf numFmtId="0" fontId="4" fillId="9" borderId="22" xfId="10" applyFont="1" applyFill="1" applyBorder="1" applyAlignment="1">
      <alignment vertical="center" wrapText="1"/>
    </xf>
    <xf numFmtId="0" fontId="4" fillId="9" borderId="1" xfId="9" applyFont="1" applyFill="1" applyBorder="1" applyAlignment="1">
      <alignment horizontal="center" vertical="center" wrapText="1"/>
    </xf>
    <xf numFmtId="0" fontId="4" fillId="9" borderId="15" xfId="9" applyFont="1" applyFill="1" applyBorder="1" applyAlignment="1">
      <alignment horizontal="center" vertical="center" wrapText="1"/>
    </xf>
    <xf numFmtId="0" fontId="4" fillId="9" borderId="21" xfId="10" applyFont="1" applyFill="1" applyBorder="1" applyAlignment="1">
      <alignment vertical="center" wrapText="1"/>
    </xf>
    <xf numFmtId="0" fontId="4" fillId="9" borderId="30" xfId="10" applyFont="1" applyFill="1" applyBorder="1" applyAlignment="1">
      <alignment vertical="center" wrapText="1"/>
    </xf>
    <xf numFmtId="0" fontId="7" fillId="9" borderId="5" xfId="10" applyFont="1" applyFill="1" applyBorder="1" applyAlignment="1">
      <alignment horizontal="center" vertical="center" wrapText="1"/>
    </xf>
    <xf numFmtId="0" fontId="14" fillId="5" borderId="1" xfId="9" applyFont="1" applyFill="1" applyBorder="1" applyAlignment="1">
      <alignment horizontal="center" vertical="center" wrapText="1"/>
    </xf>
    <xf numFmtId="165" fontId="32" fillId="5" borderId="1" xfId="9" applyNumberFormat="1" applyFont="1" applyFill="1" applyBorder="1" applyAlignment="1">
      <alignment horizontal="center" vertical="center" wrapText="1"/>
    </xf>
    <xf numFmtId="165" fontId="32" fillId="19" borderId="1" xfId="16" applyNumberFormat="1" applyFont="1" applyFill="1" applyBorder="1" applyAlignment="1">
      <alignment horizontal="center" vertical="center" wrapText="1"/>
    </xf>
    <xf numFmtId="0" fontId="32" fillId="4" borderId="1" xfId="10" applyFont="1" applyFill="1" applyBorder="1" applyAlignment="1">
      <alignment horizontal="left" vertical="center" wrapText="1"/>
    </xf>
    <xf numFmtId="0" fontId="32" fillId="2" borderId="1" xfId="10" applyFont="1" applyFill="1" applyBorder="1" applyAlignment="1">
      <alignment horizontal="center" vertical="center" wrapText="1"/>
    </xf>
    <xf numFmtId="1" fontId="32" fillId="2" borderId="1" xfId="10" applyNumberFormat="1" applyFont="1" applyFill="1" applyBorder="1" applyAlignment="1">
      <alignment horizontal="center" vertical="center" wrapText="1"/>
    </xf>
    <xf numFmtId="1" fontId="32" fillId="0" borderId="1" xfId="1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32" fillId="11" borderId="1" xfId="10" applyNumberFormat="1" applyFont="1" applyFill="1" applyBorder="1" applyAlignment="1">
      <alignment horizontal="center" vertical="center" wrapText="1"/>
    </xf>
    <xf numFmtId="0" fontId="32" fillId="14" borderId="1" xfId="16" applyNumberFormat="1" applyFont="1" applyFill="1" applyBorder="1" applyAlignment="1">
      <alignment horizontal="left" vertical="center" wrapText="1"/>
    </xf>
    <xf numFmtId="0" fontId="32" fillId="4" borderId="12" xfId="10" applyFont="1" applyFill="1" applyBorder="1" applyAlignment="1">
      <alignment horizontal="center" vertical="center" wrapText="1"/>
    </xf>
    <xf numFmtId="0" fontId="32" fillId="4" borderId="37" xfId="10" applyFont="1" applyFill="1" applyBorder="1" applyAlignment="1">
      <alignment horizontal="left" vertical="center" wrapText="1"/>
    </xf>
    <xf numFmtId="0" fontId="32" fillId="2" borderId="37" xfId="10" applyFont="1" applyFill="1" applyBorder="1" applyAlignment="1">
      <alignment horizontal="center" vertical="center" wrapText="1"/>
    </xf>
    <xf numFmtId="165" fontId="32" fillId="5" borderId="37" xfId="9" applyNumberFormat="1" applyFont="1" applyFill="1" applyBorder="1" applyAlignment="1">
      <alignment horizontal="center" vertical="center" wrapText="1"/>
    </xf>
    <xf numFmtId="1" fontId="32" fillId="2" borderId="37" xfId="9" applyNumberFormat="1" applyFont="1" applyFill="1" applyBorder="1" applyAlignment="1">
      <alignment horizontal="center" vertical="center" wrapText="1"/>
    </xf>
    <xf numFmtId="165" fontId="32" fillId="2" borderId="37" xfId="9" applyNumberFormat="1" applyFont="1" applyFill="1" applyBorder="1" applyAlignment="1">
      <alignment horizontal="center" vertical="center" wrapText="1"/>
    </xf>
    <xf numFmtId="165" fontId="32" fillId="2" borderId="13" xfId="9" applyNumberFormat="1" applyFont="1" applyFill="1" applyBorder="1" applyAlignment="1">
      <alignment horizontal="center" vertical="center" wrapText="1"/>
    </xf>
    <xf numFmtId="165" fontId="32" fillId="2" borderId="15" xfId="9" applyNumberFormat="1" applyFont="1" applyFill="1" applyBorder="1" applyAlignment="1">
      <alignment horizontal="center" vertical="center" wrapText="1"/>
    </xf>
    <xf numFmtId="165" fontId="14" fillId="6" borderId="11" xfId="9" applyNumberFormat="1" applyFont="1" applyFill="1" applyBorder="1" applyAlignment="1">
      <alignment horizontal="center" vertical="center" wrapText="1"/>
    </xf>
    <xf numFmtId="165" fontId="14" fillId="6" borderId="16" xfId="9" applyNumberFormat="1" applyFont="1" applyFill="1" applyBorder="1" applyAlignment="1">
      <alignment horizontal="center" vertical="center" wrapText="1"/>
    </xf>
    <xf numFmtId="0" fontId="14" fillId="5" borderId="15" xfId="9" applyFont="1" applyFill="1" applyBorder="1" applyAlignment="1">
      <alignment horizontal="center" vertical="center" wrapText="1"/>
    </xf>
    <xf numFmtId="165" fontId="32" fillId="5" borderId="15" xfId="9" applyNumberFormat="1" applyFont="1" applyFill="1" applyBorder="1" applyAlignment="1">
      <alignment horizontal="center" vertical="center" wrapText="1"/>
    </xf>
    <xf numFmtId="1" fontId="14" fillId="6" borderId="11" xfId="9" applyNumberFormat="1" applyFont="1" applyFill="1" applyBorder="1" applyAlignment="1">
      <alignment horizontal="center" vertical="center" wrapText="1"/>
    </xf>
    <xf numFmtId="165" fontId="7" fillId="5" borderId="37" xfId="9" applyNumberFormat="1" applyFont="1" applyFill="1" applyBorder="1" applyAlignment="1">
      <alignment horizontal="center" vertical="center" wrapText="1"/>
    </xf>
    <xf numFmtId="165" fontId="4" fillId="5" borderId="1" xfId="9" applyNumberFormat="1" applyFont="1" applyFill="1" applyBorder="1" applyAlignment="1">
      <alignment horizontal="center" vertical="center" wrapText="1"/>
    </xf>
    <xf numFmtId="0" fontId="7" fillId="20" borderId="1" xfId="8" applyFont="1" applyFill="1" applyBorder="1" applyAlignment="1">
      <alignment horizontal="center" vertical="center" wrapText="1"/>
    </xf>
    <xf numFmtId="165" fontId="7" fillId="20" borderId="1" xfId="8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5" fillId="4" borderId="5" xfId="10" applyFont="1" applyFill="1" applyBorder="1" applyAlignment="1">
      <alignment horizontal="center" vertical="center" wrapText="1"/>
    </xf>
    <xf numFmtId="0" fontId="45" fillId="2" borderId="5" xfId="10" applyFont="1" applyFill="1" applyBorder="1" applyAlignment="1">
      <alignment horizontal="center" vertical="center" wrapText="1"/>
    </xf>
    <xf numFmtId="0" fontId="45" fillId="5" borderId="5" xfId="1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11" borderId="1" xfId="0" applyNumberFormat="1" applyFont="1" applyFill="1" applyBorder="1" applyAlignment="1">
      <alignment horizontal="center" vertical="center"/>
    </xf>
    <xf numFmtId="165" fontId="31" fillId="5" borderId="1" xfId="0" applyNumberFormat="1" applyFont="1" applyFill="1" applyBorder="1" applyAlignment="1">
      <alignment horizontal="center" vertical="center"/>
    </xf>
    <xf numFmtId="165" fontId="0" fillId="2" borderId="1" xfId="13" applyNumberFormat="1" applyFont="1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165" fontId="3" fillId="5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1" xfId="14" applyBorder="1" applyAlignment="1">
      <alignment horizontal="left" vertical="center"/>
    </xf>
    <xf numFmtId="0" fontId="47" fillId="0" borderId="1" xfId="14" applyFont="1" applyBorder="1" applyAlignment="1">
      <alignment horizontal="center" vertical="center" wrapText="1"/>
    </xf>
    <xf numFmtId="0" fontId="17" fillId="0" borderId="1" xfId="14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5" fontId="17" fillId="9" borderId="1" xfId="0" applyNumberFormat="1" applyFont="1" applyFill="1" applyBorder="1" applyAlignment="1">
      <alignment horizontal="center" vertical="center"/>
    </xf>
    <xf numFmtId="1" fontId="17" fillId="22" borderId="1" xfId="0" applyNumberFormat="1" applyFont="1" applyFill="1" applyBorder="1" applyAlignment="1">
      <alignment horizontal="center" vertical="center" wrapText="1"/>
    </xf>
    <xf numFmtId="165" fontId="17" fillId="22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0" borderId="1" xfId="14" applyFont="1" applyBorder="1" applyAlignment="1">
      <alignment horizontal="center" vertical="center" wrapText="1"/>
    </xf>
    <xf numFmtId="0" fontId="31" fillId="0" borderId="1" xfId="14" applyFont="1" applyBorder="1" applyAlignment="1">
      <alignment horizontal="left" vertical="center" wrapText="1"/>
    </xf>
    <xf numFmtId="165" fontId="25" fillId="9" borderId="1" xfId="0" applyNumberFormat="1" applyFont="1" applyFill="1" applyBorder="1" applyAlignment="1">
      <alignment horizontal="center" vertical="center"/>
    </xf>
    <xf numFmtId="1" fontId="3" fillId="22" borderId="1" xfId="0" applyNumberFormat="1" applyFont="1" applyFill="1" applyBorder="1" applyAlignment="1">
      <alignment horizontal="center" vertical="center"/>
    </xf>
    <xf numFmtId="165" fontId="3" fillId="22" borderId="1" xfId="0" applyNumberFormat="1" applyFont="1" applyFill="1" applyBorder="1" applyAlignment="1">
      <alignment horizontal="center" vertical="center"/>
    </xf>
    <xf numFmtId="0" fontId="31" fillId="0" borderId="1" xfId="14" applyFont="1" applyFill="1" applyBorder="1" applyAlignment="1">
      <alignment horizontal="left" vertical="center" wrapText="1"/>
    </xf>
    <xf numFmtId="165" fontId="7" fillId="22" borderId="1" xfId="9" applyNumberFormat="1" applyFont="1" applyFill="1" applyBorder="1" applyAlignment="1">
      <alignment horizontal="center" vertical="center" wrapText="1"/>
    </xf>
    <xf numFmtId="0" fontId="31" fillId="9" borderId="1" xfId="14" applyFont="1" applyFill="1" applyBorder="1"/>
    <xf numFmtId="0" fontId="3" fillId="9" borderId="1" xfId="14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14" fillId="9" borderId="1" xfId="10" applyFont="1" applyFill="1" applyBorder="1" applyAlignment="1">
      <alignment horizontal="center" vertical="center" wrapText="1"/>
    </xf>
    <xf numFmtId="0" fontId="15" fillId="9" borderId="1" xfId="10" applyFont="1" applyFill="1" applyBorder="1" applyAlignment="1">
      <alignment horizontal="center" vertical="center" wrapText="1"/>
    </xf>
    <xf numFmtId="0" fontId="28" fillId="9" borderId="1" xfId="10" applyFont="1" applyFill="1" applyBorder="1" applyAlignment="1">
      <alignment horizontal="center" vertical="center" wrapText="1"/>
    </xf>
    <xf numFmtId="0" fontId="31" fillId="0" borderId="1" xfId="14" applyFont="1" applyBorder="1" applyAlignment="1">
      <alignment horizontal="justify" vertical="top" wrapText="1"/>
    </xf>
    <xf numFmtId="0" fontId="31" fillId="0" borderId="1" xfId="14" applyFont="1" applyBorder="1" applyAlignment="1">
      <alignment vertical="top" wrapText="1"/>
    </xf>
    <xf numFmtId="1" fontId="31" fillId="0" borderId="1" xfId="0" applyNumberFormat="1" applyFont="1" applyBorder="1" applyAlignment="1">
      <alignment horizontal="center" vertical="center"/>
    </xf>
    <xf numFmtId="1" fontId="14" fillId="4" borderId="1" xfId="1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" fontId="28" fillId="4" borderId="1" xfId="1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1" fillId="0" borderId="1" xfId="14" applyFont="1" applyFill="1" applyBorder="1" applyAlignment="1">
      <alignment vertical="top" wrapText="1"/>
    </xf>
    <xf numFmtId="165" fontId="31" fillId="4" borderId="1" xfId="8" applyNumberFormat="1" applyFont="1" applyFill="1" applyBorder="1" applyAlignment="1">
      <alignment horizontal="center" vertical="center" wrapText="1"/>
    </xf>
    <xf numFmtId="165" fontId="5" fillId="4" borderId="1" xfId="8" applyNumberFormat="1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left" vertical="center" wrapText="1"/>
    </xf>
    <xf numFmtId="1" fontId="25" fillId="15" borderId="1" xfId="16" applyNumberFormat="1" applyFont="1" applyFill="1" applyBorder="1" applyAlignment="1">
      <alignment horizontal="center" vertical="center" wrapText="1"/>
    </xf>
    <xf numFmtId="0" fontId="6" fillId="9" borderId="1" xfId="1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0" fillId="0" borderId="5" xfId="0" applyBorder="1"/>
    <xf numFmtId="0" fontId="2" fillId="22" borderId="5" xfId="0" applyFont="1" applyFill="1" applyBorder="1" applyAlignment="1">
      <alignment horizontal="center" vertical="center"/>
    </xf>
    <xf numFmtId="0" fontId="7" fillId="4" borderId="18" xfId="10" applyFont="1" applyFill="1" applyBorder="1" applyAlignment="1">
      <alignment horizontal="center" vertical="center" wrapText="1"/>
    </xf>
    <xf numFmtId="0" fontId="7" fillId="4" borderId="4" xfId="1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center"/>
    </xf>
    <xf numFmtId="0" fontId="0" fillId="0" borderId="4" xfId="0" applyBorder="1"/>
    <xf numFmtId="0" fontId="2" fillId="22" borderId="4" xfId="0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5" fillId="9" borderId="1" xfId="8" applyNumberFormat="1" applyFont="1" applyFill="1" applyBorder="1" applyAlignment="1">
      <alignment horizontal="center" vertical="center" wrapText="1"/>
    </xf>
    <xf numFmtId="165" fontId="39" fillId="9" borderId="1" xfId="9" applyNumberFormat="1" applyFont="1" applyFill="1" applyBorder="1" applyAlignment="1">
      <alignment horizontal="center" vertical="center" wrapText="1"/>
    </xf>
    <xf numFmtId="165" fontId="39" fillId="11" borderId="1" xfId="10" applyNumberFormat="1" applyFont="1" applyFill="1" applyBorder="1" applyAlignment="1">
      <alignment horizontal="center" vertical="center" wrapText="1"/>
    </xf>
    <xf numFmtId="165" fontId="39" fillId="11" borderId="1" xfId="8" applyNumberFormat="1" applyFont="1" applyFill="1" applyBorder="1" applyAlignment="1">
      <alignment horizontal="center" vertical="center"/>
    </xf>
    <xf numFmtId="165" fontId="50" fillId="11" borderId="1" xfId="0" applyNumberFormat="1" applyFont="1" applyFill="1" applyBorder="1" applyAlignment="1">
      <alignment horizontal="center" wrapText="1"/>
    </xf>
    <xf numFmtId="165" fontId="43" fillId="11" borderId="1" xfId="0" applyNumberFormat="1" applyFont="1" applyFill="1" applyBorder="1" applyAlignment="1">
      <alignment horizontal="center" vertical="center" wrapText="1"/>
    </xf>
    <xf numFmtId="165" fontId="50" fillId="11" borderId="1" xfId="8" applyNumberFormat="1" applyFont="1" applyFill="1" applyBorder="1" applyAlignment="1">
      <alignment horizontal="center"/>
    </xf>
    <xf numFmtId="165" fontId="39" fillId="15" borderId="1" xfId="16" applyNumberFormat="1" applyFont="1" applyFill="1" applyBorder="1" applyAlignment="1">
      <alignment horizontal="center" vertical="center" wrapText="1"/>
    </xf>
    <xf numFmtId="165" fontId="39" fillId="2" borderId="1" xfId="9" applyNumberFormat="1" applyFont="1" applyFill="1" applyBorder="1" applyAlignment="1">
      <alignment horizontal="center" vertical="center" wrapText="1"/>
    </xf>
    <xf numFmtId="165" fontId="39" fillId="0" borderId="1" xfId="9" applyNumberFormat="1" applyFont="1" applyFill="1" applyBorder="1" applyAlignment="1">
      <alignment horizontal="center" vertical="center" wrapText="1"/>
    </xf>
    <xf numFmtId="0" fontId="1" fillId="13" borderId="0" xfId="8" applyFill="1"/>
    <xf numFmtId="165" fontId="7" fillId="23" borderId="1" xfId="20" applyNumberFormat="1" applyFont="1" applyFill="1" applyBorder="1" applyAlignment="1" applyProtection="1">
      <alignment horizontal="center" vertical="center" wrapText="1"/>
    </xf>
    <xf numFmtId="0" fontId="0" fillId="0" borderId="0" xfId="20" applyFont="1" applyBorder="1" applyAlignment="1" applyProtection="1"/>
    <xf numFmtId="165" fontId="7" fillId="2" borderId="1" xfId="20" applyNumberFormat="1" applyFont="1" applyFill="1" applyBorder="1" applyAlignment="1" applyProtection="1">
      <alignment horizontal="center" vertical="center" wrapText="1"/>
    </xf>
    <xf numFmtId="0" fontId="22" fillId="2" borderId="5" xfId="10" applyFont="1" applyFill="1" applyBorder="1" applyAlignment="1">
      <alignment horizontal="left" vertical="center" wrapText="1"/>
    </xf>
    <xf numFmtId="165" fontId="7" fillId="17" borderId="1" xfId="16" applyNumberFormat="1" applyFont="1" applyFill="1" applyBorder="1" applyAlignment="1">
      <alignment horizontal="center" vertical="center" wrapText="1"/>
    </xf>
    <xf numFmtId="0" fontId="13" fillId="4" borderId="1" xfId="8" applyFont="1" applyFill="1" applyBorder="1" applyAlignment="1">
      <alignment horizontal="center" vertical="center" wrapText="1"/>
    </xf>
    <xf numFmtId="0" fontId="6" fillId="9" borderId="1" xfId="8" applyFont="1" applyFill="1" applyBorder="1" applyAlignment="1">
      <alignment horizontal="center" vertical="center" wrapText="1"/>
    </xf>
    <xf numFmtId="165" fontId="6" fillId="9" borderId="1" xfId="8" applyNumberFormat="1" applyFont="1" applyFill="1" applyBorder="1" applyAlignment="1">
      <alignment horizontal="center" vertical="center" wrapText="1"/>
    </xf>
    <xf numFmtId="165" fontId="5" fillId="20" borderId="1" xfId="0" applyNumberFormat="1" applyFont="1" applyFill="1" applyBorder="1" applyAlignment="1">
      <alignment horizontal="center" vertical="center" wrapText="1"/>
    </xf>
    <xf numFmtId="165" fontId="51" fillId="9" borderId="1" xfId="8" applyNumberFormat="1" applyFont="1" applyFill="1" applyBorder="1" applyAlignment="1">
      <alignment horizontal="center" vertical="center" wrapText="1"/>
    </xf>
    <xf numFmtId="165" fontId="11" fillId="20" borderId="1" xfId="0" applyNumberFormat="1" applyFont="1" applyFill="1" applyBorder="1" applyAlignment="1">
      <alignment horizontal="center" vertical="center" wrapText="1"/>
    </xf>
    <xf numFmtId="165" fontId="6" fillId="24" borderId="1" xfId="19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3" borderId="1" xfId="0" applyNumberFormat="1" applyFont="1" applyFill="1" applyBorder="1" applyAlignment="1">
      <alignment horizontal="center" vertical="center" wrapText="1"/>
    </xf>
    <xf numFmtId="165" fontId="4" fillId="17" borderId="1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165" fontId="39" fillId="0" borderId="1" xfId="10" applyNumberFormat="1" applyFont="1" applyBorder="1" applyAlignment="1">
      <alignment horizontal="center" vertical="center" wrapText="1"/>
    </xf>
    <xf numFmtId="1" fontId="17" fillId="3" borderId="11" xfId="10" applyNumberFormat="1" applyFont="1" applyFill="1" applyBorder="1" applyAlignment="1">
      <alignment horizontal="center" vertical="center" wrapText="1"/>
    </xf>
    <xf numFmtId="0" fontId="5" fillId="4" borderId="12" xfId="10" applyFont="1" applyFill="1" applyBorder="1" applyAlignment="1">
      <alignment horizontal="center" vertical="center" wrapText="1"/>
    </xf>
    <xf numFmtId="0" fontId="5" fillId="4" borderId="14" xfId="10" applyFont="1" applyFill="1" applyBorder="1" applyAlignment="1">
      <alignment horizontal="center" vertical="center" wrapText="1"/>
    </xf>
    <xf numFmtId="165" fontId="8" fillId="3" borderId="11" xfId="8" applyNumberFormat="1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165" fontId="8" fillId="6" borderId="11" xfId="8" applyNumberFormat="1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1" fontId="7" fillId="0" borderId="1" xfId="8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8" fillId="3" borderId="1" xfId="8" applyNumberFormat="1" applyFont="1" applyFill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/>
    </xf>
    <xf numFmtId="1" fontId="43" fillId="25" borderId="1" xfId="0" applyNumberFormat="1" applyFont="1" applyFill="1" applyBorder="1" applyAlignment="1">
      <alignment horizontal="center"/>
    </xf>
    <xf numFmtId="1" fontId="8" fillId="3" borderId="11" xfId="8" applyNumberFormat="1" applyFont="1" applyFill="1" applyBorder="1" applyAlignment="1">
      <alignment horizontal="center" vertical="center" wrapText="1"/>
    </xf>
    <xf numFmtId="1" fontId="7" fillId="2" borderId="1" xfId="8" applyNumberFormat="1" applyFont="1" applyFill="1" applyBorder="1" applyAlignment="1">
      <alignment horizontal="center" vertical="center" wrapText="1"/>
    </xf>
    <xf numFmtId="1" fontId="22" fillId="2" borderId="1" xfId="8" applyNumberFormat="1" applyFont="1" applyFill="1" applyBorder="1" applyAlignment="1">
      <alignment horizontal="center" vertical="center" wrapText="1"/>
    </xf>
    <xf numFmtId="165" fontId="53" fillId="11" borderId="1" xfId="8" applyNumberFormat="1" applyFont="1" applyFill="1" applyBorder="1" applyAlignment="1">
      <alignment horizontal="center"/>
    </xf>
    <xf numFmtId="165" fontId="5" fillId="17" borderId="1" xfId="16" applyNumberFormat="1" applyFont="1" applyFill="1" applyBorder="1" applyAlignment="1">
      <alignment horizontal="center" vertical="center" wrapText="1"/>
    </xf>
    <xf numFmtId="165" fontId="5" fillId="20" borderId="1" xfId="8" applyNumberFormat="1" applyFont="1" applyFill="1" applyBorder="1" applyAlignment="1">
      <alignment horizontal="center" vertical="center" wrapText="1"/>
    </xf>
    <xf numFmtId="165" fontId="5" fillId="21" borderId="1" xfId="16" applyNumberFormat="1" applyFont="1" applyFill="1" applyBorder="1" applyAlignment="1">
      <alignment horizontal="center" vertical="center" wrapText="1"/>
    </xf>
    <xf numFmtId="0" fontId="1" fillId="20" borderId="0" xfId="8" applyFont="1" applyFill="1"/>
    <xf numFmtId="165" fontId="8" fillId="7" borderId="11" xfId="8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6" fillId="25" borderId="13" xfId="8" applyFont="1" applyFill="1" applyBorder="1" applyAlignment="1">
      <alignment horizontal="center" vertical="center" wrapText="1"/>
    </xf>
    <xf numFmtId="165" fontId="8" fillId="25" borderId="15" xfId="0" applyNumberFormat="1" applyFont="1" applyFill="1" applyBorder="1" applyAlignment="1">
      <alignment horizontal="center" vertical="center" wrapText="1"/>
    </xf>
    <xf numFmtId="165" fontId="12" fillId="7" borderId="24" xfId="8" applyNumberFormat="1" applyFont="1" applyFill="1" applyBorder="1" applyAlignment="1">
      <alignment horizontal="center" vertical="center" wrapText="1"/>
    </xf>
    <xf numFmtId="165" fontId="8" fillId="25" borderId="1" xfId="0" applyNumberFormat="1" applyFont="1" applyFill="1" applyBorder="1" applyAlignment="1">
      <alignment horizontal="center" vertical="center" wrapText="1"/>
    </xf>
    <xf numFmtId="165" fontId="12" fillId="7" borderId="16" xfId="8" applyNumberFormat="1" applyFont="1" applyFill="1" applyBorder="1" applyAlignment="1">
      <alignment horizontal="center" vertical="center" wrapText="1"/>
    </xf>
    <xf numFmtId="1" fontId="3" fillId="6" borderId="11" xfId="9" applyNumberFormat="1" applyFont="1" applyFill="1" applyBorder="1" applyAlignment="1">
      <alignment horizontal="center" vertical="center" wrapText="1"/>
    </xf>
    <xf numFmtId="1" fontId="6" fillId="6" borderId="11" xfId="9" applyNumberFormat="1" applyFont="1" applyFill="1" applyBorder="1" applyAlignment="1">
      <alignment horizontal="center" vertical="center" wrapText="1"/>
    </xf>
    <xf numFmtId="165" fontId="6" fillId="6" borderId="11" xfId="9" applyNumberFormat="1" applyFont="1" applyFill="1" applyBorder="1" applyAlignment="1">
      <alignment horizontal="center" vertical="center" wrapText="1"/>
    </xf>
    <xf numFmtId="165" fontId="12" fillId="6" borderId="11" xfId="9" applyNumberFormat="1" applyFont="1" applyFill="1" applyBorder="1" applyAlignment="1">
      <alignment horizontal="center" vertical="center" wrapText="1"/>
    </xf>
    <xf numFmtId="165" fontId="6" fillId="6" borderId="1" xfId="9" applyNumberFormat="1" applyFont="1" applyFill="1" applyBorder="1" applyAlignment="1">
      <alignment horizontal="center" vertical="center" wrapText="1"/>
    </xf>
    <xf numFmtId="0" fontId="31" fillId="0" borderId="3" xfId="14" applyFont="1" applyBorder="1" applyAlignment="1">
      <alignment horizontal="justify" vertical="top" wrapText="1"/>
    </xf>
    <xf numFmtId="0" fontId="31" fillId="0" borderId="3" xfId="14" applyFont="1" applyFill="1" applyBorder="1" applyAlignment="1">
      <alignment vertical="top" wrapText="1"/>
    </xf>
    <xf numFmtId="1" fontId="31" fillId="0" borderId="3" xfId="0" applyNumberFormat="1" applyFont="1" applyBorder="1" applyAlignment="1">
      <alignment horizontal="center" vertical="center"/>
    </xf>
    <xf numFmtId="1" fontId="14" fillId="4" borderId="3" xfId="10" applyNumberFormat="1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1" fontId="28" fillId="4" borderId="3" xfId="10" applyNumberFormat="1" applyFont="1" applyFill="1" applyBorder="1" applyAlignment="1">
      <alignment horizontal="center" vertical="center" wrapText="1"/>
    </xf>
    <xf numFmtId="165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0" fillId="2" borderId="0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17" fillId="3" borderId="1" xfId="9" applyNumberFormat="1" applyFont="1" applyFill="1" applyBorder="1" applyAlignment="1">
      <alignment horizontal="center" vertical="center" wrapText="1"/>
    </xf>
    <xf numFmtId="1" fontId="17" fillId="3" borderId="1" xfId="9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7" fillId="6" borderId="1" xfId="9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/>
    </xf>
    <xf numFmtId="1" fontId="25" fillId="17" borderId="1" xfId="16" applyNumberFormat="1" applyFont="1" applyFill="1" applyBorder="1" applyAlignment="1">
      <alignment horizontal="center" vertical="center" wrapText="1"/>
    </xf>
    <xf numFmtId="13" fontId="5" fillId="20" borderId="1" xfId="8" applyNumberFormat="1" applyFont="1" applyFill="1" applyBorder="1" applyAlignment="1">
      <alignment horizontal="center" vertical="center" wrapText="1"/>
    </xf>
    <xf numFmtId="0" fontId="1" fillId="0" borderId="0" xfId="8" applyFont="1" applyBorder="1"/>
    <xf numFmtId="0" fontId="1" fillId="20" borderId="0" xfId="8" applyFont="1" applyFill="1" applyBorder="1"/>
    <xf numFmtId="0" fontId="5" fillId="4" borderId="37" xfId="10" applyFont="1" applyFill="1" applyBorder="1" applyAlignment="1">
      <alignment horizontal="left" vertical="center" wrapText="1"/>
    </xf>
    <xf numFmtId="165" fontId="5" fillId="2" borderId="37" xfId="8" applyNumberFormat="1" applyFont="1" applyFill="1" applyBorder="1" applyAlignment="1">
      <alignment horizontal="center" vertical="center" wrapText="1"/>
    </xf>
    <xf numFmtId="1" fontId="5" fillId="2" borderId="37" xfId="8" applyNumberFormat="1" applyFont="1" applyFill="1" applyBorder="1" applyAlignment="1">
      <alignment horizontal="center" vertical="center" wrapText="1"/>
    </xf>
    <xf numFmtId="1" fontId="25" fillId="2" borderId="37" xfId="8" applyNumberFormat="1" applyFont="1" applyFill="1" applyBorder="1" applyAlignment="1">
      <alignment horizontal="center" vertical="center" wrapText="1"/>
    </xf>
    <xf numFmtId="165" fontId="5" fillId="20" borderId="37" xfId="8" applyNumberFormat="1" applyFont="1" applyFill="1" applyBorder="1" applyAlignment="1">
      <alignment horizontal="center" vertical="center" wrapText="1"/>
    </xf>
    <xf numFmtId="165" fontId="5" fillId="11" borderId="37" xfId="8" applyNumberFormat="1" applyFont="1" applyFill="1" applyBorder="1" applyAlignment="1">
      <alignment horizontal="center" vertical="center" wrapText="1"/>
    </xf>
    <xf numFmtId="165" fontId="37" fillId="11" borderId="13" xfId="8" applyNumberFormat="1" applyFont="1" applyFill="1" applyBorder="1" applyAlignment="1">
      <alignment horizontal="center"/>
    </xf>
    <xf numFmtId="165" fontId="37" fillId="11" borderId="15" xfId="8" applyNumberFormat="1" applyFont="1" applyFill="1" applyBorder="1" applyAlignment="1">
      <alignment horizontal="center"/>
    </xf>
    <xf numFmtId="0" fontId="1" fillId="0" borderId="38" xfId="8" applyFont="1" applyBorder="1"/>
    <xf numFmtId="0" fontId="1" fillId="0" borderId="11" xfId="8" applyFont="1" applyBorder="1"/>
    <xf numFmtId="165" fontId="1" fillId="6" borderId="11" xfId="8" applyNumberFormat="1" applyFont="1" applyFill="1" applyBorder="1" applyAlignment="1">
      <alignment horizontal="center" vertical="center"/>
    </xf>
    <xf numFmtId="1" fontId="1" fillId="6" borderId="11" xfId="8" applyNumberFormat="1" applyFont="1" applyFill="1" applyBorder="1" applyAlignment="1">
      <alignment horizontal="center" vertical="center"/>
    </xf>
    <xf numFmtId="0" fontId="1" fillId="2" borderId="11" xfId="8" applyFont="1" applyFill="1" applyBorder="1"/>
    <xf numFmtId="0" fontId="1" fillId="20" borderId="11" xfId="8" applyFont="1" applyFill="1" applyBorder="1"/>
    <xf numFmtId="0" fontId="1" fillId="0" borderId="16" xfId="8" applyFont="1" applyBorder="1"/>
    <xf numFmtId="0" fontId="17" fillId="4" borderId="37" xfId="8" applyFont="1" applyFill="1" applyBorder="1" applyAlignment="1">
      <alignment horizontal="center" vertical="center" wrapText="1"/>
    </xf>
    <xf numFmtId="165" fontId="50" fillId="11" borderId="15" xfId="8" applyNumberFormat="1" applyFont="1" applyFill="1" applyBorder="1" applyAlignment="1">
      <alignment horizontal="center"/>
    </xf>
    <xf numFmtId="165" fontId="53" fillId="11" borderId="15" xfId="8" applyNumberFormat="1" applyFont="1" applyFill="1" applyBorder="1" applyAlignment="1">
      <alignment horizontal="center"/>
    </xf>
    <xf numFmtId="1" fontId="2" fillId="6" borderId="11" xfId="8" applyNumberFormat="1" applyFont="1" applyFill="1" applyBorder="1" applyAlignment="1">
      <alignment horizontal="center" vertical="center"/>
    </xf>
    <xf numFmtId="165" fontId="1" fillId="6" borderId="16" xfId="8" applyNumberFormat="1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/>
    </xf>
    <xf numFmtId="0" fontId="0" fillId="0" borderId="26" xfId="0" applyBorder="1"/>
    <xf numFmtId="0" fontId="2" fillId="22" borderId="26" xfId="0" applyFont="1" applyFill="1" applyBorder="1" applyAlignment="1">
      <alignment horizontal="center" vertical="center"/>
    </xf>
    <xf numFmtId="165" fontId="2" fillId="22" borderId="13" xfId="0" applyNumberFormat="1" applyFont="1" applyFill="1" applyBorder="1" applyAlignment="1">
      <alignment horizontal="center" vertical="center"/>
    </xf>
    <xf numFmtId="165" fontId="2" fillId="22" borderId="15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0" fontId="0" fillId="0" borderId="25" xfId="0" applyBorder="1"/>
    <xf numFmtId="0" fontId="2" fillId="22" borderId="25" xfId="0" applyFont="1" applyFill="1" applyBorder="1" applyAlignment="1">
      <alignment horizontal="center" vertical="center"/>
    </xf>
    <xf numFmtId="165" fontId="2" fillId="22" borderId="16" xfId="0" applyNumberFormat="1" applyFont="1" applyFill="1" applyBorder="1" applyAlignment="1">
      <alignment horizontal="center" vertical="center"/>
    </xf>
    <xf numFmtId="165" fontId="2" fillId="22" borderId="17" xfId="0" applyNumberFormat="1" applyFont="1" applyFill="1" applyBorder="1" applyAlignment="1">
      <alignment horizontal="center" vertical="center"/>
    </xf>
    <xf numFmtId="165" fontId="8" fillId="2" borderId="0" xfId="8" applyNumberFormat="1" applyFont="1" applyFill="1" applyBorder="1" applyAlignment="1">
      <alignment horizontal="center" vertical="center" wrapText="1"/>
    </xf>
    <xf numFmtId="165" fontId="6" fillId="2" borderId="0" xfId="8" applyNumberFormat="1" applyFont="1" applyFill="1" applyBorder="1" applyAlignment="1">
      <alignment horizontal="center" vertical="center" wrapText="1"/>
    </xf>
    <xf numFmtId="165" fontId="8" fillId="6" borderId="1" xfId="8" applyNumberFormat="1" applyFont="1" applyFill="1" applyBorder="1" applyAlignment="1">
      <alignment horizontal="center" vertical="center" wrapText="1"/>
    </xf>
    <xf numFmtId="1" fontId="8" fillId="6" borderId="1" xfId="8" applyNumberFormat="1" applyFont="1" applyFill="1" applyBorder="1" applyAlignment="1">
      <alignment horizontal="center" vertical="center" wrapText="1"/>
    </xf>
    <xf numFmtId="165" fontId="4" fillId="6" borderId="1" xfId="8" applyNumberFormat="1" applyFont="1" applyFill="1" applyBorder="1" applyAlignment="1">
      <alignment horizontal="center" vertical="center" wrapText="1"/>
    </xf>
    <xf numFmtId="165" fontId="12" fillId="5" borderId="1" xfId="8" applyNumberFormat="1" applyFont="1" applyFill="1" applyBorder="1" applyAlignment="1">
      <alignment horizontal="center" vertical="center" wrapText="1"/>
    </xf>
    <xf numFmtId="165" fontId="6" fillId="6" borderId="1" xfId="8" applyNumberFormat="1" applyFont="1" applyFill="1" applyBorder="1" applyAlignment="1">
      <alignment horizontal="center" vertical="center" wrapText="1"/>
    </xf>
    <xf numFmtId="165" fontId="6" fillId="20" borderId="1" xfId="8" applyNumberFormat="1" applyFont="1" applyFill="1" applyBorder="1" applyAlignment="1">
      <alignment horizontal="center" vertical="center" wrapText="1"/>
    </xf>
    <xf numFmtId="165" fontId="6" fillId="6" borderId="5" xfId="8" applyNumberFormat="1" applyFont="1" applyFill="1" applyBorder="1" applyAlignment="1">
      <alignment horizontal="center" vertical="center" wrapText="1"/>
    </xf>
    <xf numFmtId="165" fontId="14" fillId="5" borderId="3" xfId="8" applyNumberFormat="1" applyFont="1" applyFill="1" applyBorder="1" applyAlignment="1">
      <alignment horizontal="center" vertical="center" wrapText="1"/>
    </xf>
    <xf numFmtId="165" fontId="44" fillId="7" borderId="33" xfId="8" applyNumberFormat="1" applyFont="1" applyFill="1" applyBorder="1" applyAlignment="1">
      <alignment horizontal="center" vertical="center"/>
    </xf>
    <xf numFmtId="165" fontId="44" fillId="7" borderId="33" xfId="8" applyNumberFormat="1" applyFont="1" applyFill="1" applyBorder="1" applyAlignment="1">
      <alignment horizontal="center"/>
    </xf>
    <xf numFmtId="0" fontId="12" fillId="0" borderId="0" xfId="8" applyFont="1" applyFill="1" applyBorder="1" applyAlignment="1">
      <alignment vertical="center" wrapText="1"/>
    </xf>
    <xf numFmtId="165" fontId="25" fillId="0" borderId="1" xfId="8" applyNumberFormat="1" applyFont="1" applyBorder="1" applyAlignment="1">
      <alignment horizontal="center" vertical="center"/>
    </xf>
    <xf numFmtId="0" fontId="6" fillId="9" borderId="20" xfId="10" applyFont="1" applyFill="1" applyBorder="1" applyAlignment="1">
      <alignment vertical="center" wrapText="1"/>
    </xf>
    <xf numFmtId="0" fontId="6" fillId="9" borderId="5" xfId="10" applyFont="1" applyFill="1" applyBorder="1" applyAlignment="1">
      <alignment vertical="center" wrapText="1"/>
    </xf>
    <xf numFmtId="0" fontId="6" fillId="9" borderId="4" xfId="10" applyFont="1" applyFill="1" applyBorder="1" applyAlignment="1">
      <alignment vertical="center" wrapText="1"/>
    </xf>
    <xf numFmtId="165" fontId="2" fillId="0" borderId="0" xfId="9" applyNumberFormat="1" applyFont="1" applyAlignment="1">
      <alignment horizontal="center" vertical="center"/>
    </xf>
    <xf numFmtId="165" fontId="1" fillId="2" borderId="0" xfId="8" applyNumberFormat="1" applyFill="1" applyBorder="1"/>
    <xf numFmtId="0" fontId="31" fillId="9" borderId="1" xfId="0" applyFont="1" applyFill="1" applyBorder="1" applyAlignment="1">
      <alignment wrapText="1"/>
    </xf>
    <xf numFmtId="0" fontId="48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65" fontId="39" fillId="20" borderId="1" xfId="8" applyNumberFormat="1" applyFont="1" applyFill="1" applyBorder="1" applyAlignment="1">
      <alignment horizontal="center" vertical="center" wrapText="1"/>
    </xf>
    <xf numFmtId="165" fontId="10" fillId="0" borderId="0" xfId="16" applyNumberFormat="1" applyFont="1" applyFill="1"/>
    <xf numFmtId="165" fontId="1" fillId="0" borderId="0" xfId="8" applyNumberFormat="1"/>
    <xf numFmtId="165" fontId="6" fillId="9" borderId="5" xfId="10" applyNumberFormat="1" applyFont="1" applyFill="1" applyBorder="1" applyAlignment="1">
      <alignment vertical="center" wrapText="1"/>
    </xf>
    <xf numFmtId="165" fontId="6" fillId="9" borderId="4" xfId="10" applyNumberFormat="1" applyFont="1" applyFill="1" applyBorder="1" applyAlignment="1">
      <alignment vertical="center" wrapText="1"/>
    </xf>
    <xf numFmtId="0" fontId="6" fillId="9" borderId="19" xfId="10" applyFont="1" applyFill="1" applyBorder="1" applyAlignment="1">
      <alignment horizontal="center" vertical="center" wrapText="1"/>
    </xf>
    <xf numFmtId="0" fontId="6" fillId="9" borderId="26" xfId="10" applyFont="1" applyFill="1" applyBorder="1" applyAlignment="1">
      <alignment horizontal="center" vertical="center" wrapText="1"/>
    </xf>
    <xf numFmtId="165" fontId="6" fillId="9" borderId="26" xfId="10" applyNumberFormat="1" applyFont="1" applyFill="1" applyBorder="1" applyAlignment="1">
      <alignment horizontal="center" vertical="center" wrapText="1"/>
    </xf>
    <xf numFmtId="9" fontId="6" fillId="9" borderId="44" xfId="10" applyNumberFormat="1" applyFont="1" applyFill="1" applyBorder="1" applyAlignment="1">
      <alignment horizontal="center" vertical="center" wrapText="1"/>
    </xf>
    <xf numFmtId="165" fontId="47" fillId="6" borderId="1" xfId="8" applyNumberFormat="1" applyFont="1" applyFill="1" applyBorder="1" applyAlignment="1">
      <alignment horizontal="center" vertical="center"/>
    </xf>
    <xf numFmtId="165" fontId="47" fillId="7" borderId="1" xfId="8" applyNumberFormat="1" applyFont="1" applyFill="1" applyBorder="1" applyAlignment="1">
      <alignment horizontal="center" vertical="center"/>
    </xf>
    <xf numFmtId="0" fontId="7" fillId="4" borderId="11" xfId="10" applyFont="1" applyFill="1" applyBorder="1" applyAlignment="1">
      <alignment horizontal="left" vertical="center" wrapText="1"/>
    </xf>
    <xf numFmtId="165" fontId="25" fillId="0" borderId="11" xfId="8" applyNumberFormat="1" applyFont="1" applyBorder="1" applyAlignment="1">
      <alignment horizontal="center" vertical="center"/>
    </xf>
    <xf numFmtId="165" fontId="17" fillId="3" borderId="11" xfId="8" applyNumberFormat="1" applyFont="1" applyFill="1" applyBorder="1" applyAlignment="1">
      <alignment horizontal="center" vertical="center" wrapText="1"/>
    </xf>
    <xf numFmtId="0" fontId="30" fillId="6" borderId="5" xfId="10" applyFont="1" applyFill="1" applyBorder="1" applyAlignment="1">
      <alignment vertical="center" wrapText="1"/>
    </xf>
    <xf numFmtId="9" fontId="25" fillId="0" borderId="0" xfId="8" applyNumberFormat="1" applyFont="1" applyAlignment="1">
      <alignment horizontal="center" vertical="center"/>
    </xf>
    <xf numFmtId="9" fontId="6" fillId="9" borderId="8" xfId="10" applyNumberFormat="1" applyFont="1" applyFill="1" applyBorder="1" applyAlignment="1">
      <alignment horizontal="center" vertical="center" wrapText="1"/>
    </xf>
    <xf numFmtId="9" fontId="25" fillId="0" borderId="1" xfId="8" applyNumberFormat="1" applyFont="1" applyBorder="1" applyAlignment="1">
      <alignment horizontal="center" vertical="center"/>
    </xf>
    <xf numFmtId="9" fontId="25" fillId="2" borderId="1" xfId="8" applyNumberFormat="1" applyFont="1" applyFill="1" applyBorder="1" applyAlignment="1">
      <alignment horizontal="center" vertical="center"/>
    </xf>
    <xf numFmtId="9" fontId="21" fillId="0" borderId="1" xfId="16" applyNumberFormat="1" applyFont="1" applyFill="1" applyBorder="1" applyAlignment="1">
      <alignment horizontal="center" vertical="center"/>
    </xf>
    <xf numFmtId="9" fontId="25" fillId="0" borderId="37" xfId="8" applyNumberFormat="1" applyFont="1" applyBorder="1" applyAlignment="1">
      <alignment horizontal="center" vertical="center"/>
    </xf>
    <xf numFmtId="9" fontId="25" fillId="0" borderId="11" xfId="8" applyNumberFormat="1" applyFont="1" applyBorder="1" applyAlignment="1">
      <alignment horizontal="center" vertical="center"/>
    </xf>
    <xf numFmtId="9" fontId="6" fillId="9" borderId="44" xfId="10" applyNumberFormat="1" applyFont="1" applyFill="1" applyBorder="1" applyAlignment="1">
      <alignment vertical="center" wrapText="1"/>
    </xf>
    <xf numFmtId="165" fontId="12" fillId="0" borderId="0" xfId="8" applyNumberFormat="1" applyFont="1" applyFill="1" applyBorder="1" applyAlignment="1">
      <alignment horizontal="center" vertical="center" wrapText="1"/>
    </xf>
    <xf numFmtId="165" fontId="25" fillId="0" borderId="0" xfId="8" applyNumberFormat="1" applyFont="1" applyAlignment="1">
      <alignment horizontal="center" vertical="center"/>
    </xf>
    <xf numFmtId="165" fontId="6" fillId="9" borderId="9" xfId="10" applyNumberFormat="1" applyFont="1" applyFill="1" applyBorder="1" applyAlignment="1">
      <alignment horizontal="center" vertical="center" wrapText="1"/>
    </xf>
    <xf numFmtId="165" fontId="25" fillId="0" borderId="37" xfId="8" applyNumberFormat="1" applyFont="1" applyBorder="1" applyAlignment="1">
      <alignment horizontal="center" vertical="center"/>
    </xf>
    <xf numFmtId="165" fontId="7" fillId="2" borderId="1" xfId="10" applyNumberFormat="1" applyFont="1" applyFill="1" applyBorder="1" applyAlignment="1">
      <alignment horizontal="center" vertical="center"/>
    </xf>
    <xf numFmtId="165" fontId="33" fillId="0" borderId="0" xfId="9" applyNumberFormat="1" applyFont="1" applyAlignment="1">
      <alignment horizontal="center" vertical="center"/>
    </xf>
    <xf numFmtId="0" fontId="20" fillId="0" borderId="0" xfId="9" applyFont="1"/>
    <xf numFmtId="165" fontId="8" fillId="5" borderId="1" xfId="8" applyNumberFormat="1" applyFont="1" applyFill="1" applyBorder="1" applyAlignment="1">
      <alignment horizontal="center" vertical="center" wrapText="1"/>
    </xf>
    <xf numFmtId="165" fontId="8" fillId="5" borderId="15" xfId="8" applyNumberFormat="1" applyFont="1" applyFill="1" applyBorder="1" applyAlignment="1">
      <alignment horizontal="center" vertical="center" wrapText="1"/>
    </xf>
    <xf numFmtId="165" fontId="20" fillId="2" borderId="0" xfId="8" applyNumberFormat="1" applyFont="1" applyFill="1" applyBorder="1"/>
    <xf numFmtId="0" fontId="20" fillId="2" borderId="0" xfId="8" applyFont="1" applyFill="1" applyBorder="1"/>
    <xf numFmtId="0" fontId="20" fillId="2" borderId="0" xfId="8" applyFont="1" applyFill="1"/>
    <xf numFmtId="0" fontId="5" fillId="4" borderId="1" xfId="10" applyFont="1" applyFill="1" applyBorder="1" applyAlignment="1">
      <alignment horizontal="center" vertical="center" wrapText="1"/>
    </xf>
    <xf numFmtId="165" fontId="7" fillId="21" borderId="1" xfId="16" applyNumberFormat="1" applyFont="1" applyFill="1" applyBorder="1" applyAlignment="1">
      <alignment horizontal="center" vertical="center" wrapText="1"/>
    </xf>
    <xf numFmtId="165" fontId="5" fillId="9" borderId="1" xfId="9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31" fillId="2" borderId="1" xfId="0" applyNumberFormat="1" applyFont="1" applyFill="1" applyBorder="1" applyAlignment="1">
      <alignment horizontal="center"/>
    </xf>
    <xf numFmtId="165" fontId="25" fillId="2" borderId="33" xfId="0" applyNumberFormat="1" applyFont="1" applyFill="1" applyBorder="1" applyAlignment="1">
      <alignment horizontal="center" vertical="center"/>
    </xf>
    <xf numFmtId="165" fontId="5" fillId="5" borderId="1" xfId="8" applyNumberFormat="1" applyFont="1" applyFill="1" applyBorder="1" applyAlignment="1">
      <alignment horizontal="center" vertical="center" wrapText="1"/>
    </xf>
    <xf numFmtId="165" fontId="17" fillId="5" borderId="1" xfId="8" applyNumberFormat="1" applyFont="1" applyFill="1" applyBorder="1" applyAlignment="1">
      <alignment horizontal="center" vertical="center" wrapText="1"/>
    </xf>
    <xf numFmtId="165" fontId="17" fillId="5" borderId="15" xfId="8" applyNumberFormat="1" applyFont="1" applyFill="1" applyBorder="1" applyAlignment="1">
      <alignment horizontal="center" vertical="center" wrapText="1"/>
    </xf>
    <xf numFmtId="165" fontId="1" fillId="2" borderId="0" xfId="8" applyNumberFormat="1" applyFont="1" applyFill="1" applyBorder="1"/>
    <xf numFmtId="165" fontId="25" fillId="20" borderId="1" xfId="8" applyNumberFormat="1" applyFont="1" applyFill="1" applyBorder="1" applyAlignment="1">
      <alignment horizontal="center" vertical="center"/>
    </xf>
    <xf numFmtId="0" fontId="7" fillId="4" borderId="2" xfId="10" applyFont="1" applyFill="1" applyBorder="1" applyAlignment="1">
      <alignment horizontal="left" vertical="center" wrapText="1"/>
    </xf>
    <xf numFmtId="165" fontId="25" fillId="13" borderId="1" xfId="8" applyNumberFormat="1" applyFont="1" applyFill="1" applyBorder="1" applyAlignment="1">
      <alignment horizontal="center" vertical="center"/>
    </xf>
    <xf numFmtId="165" fontId="5" fillId="13" borderId="1" xfId="0" applyNumberFormat="1" applyFont="1" applyFill="1" applyBorder="1" applyAlignment="1">
      <alignment horizontal="center" vertical="center" wrapText="1"/>
    </xf>
    <xf numFmtId="165" fontId="11" fillId="13" borderId="1" xfId="0" applyNumberFormat="1" applyFont="1" applyFill="1" applyBorder="1" applyAlignment="1">
      <alignment horizontal="center" vertical="center" wrapText="1"/>
    </xf>
    <xf numFmtId="165" fontId="4" fillId="26" borderId="1" xfId="0" applyNumberFormat="1" applyFont="1" applyFill="1" applyBorder="1" applyAlignment="1">
      <alignment horizontal="center" vertical="center" wrapText="1"/>
    </xf>
    <xf numFmtId="0" fontId="30" fillId="6" borderId="1" xfId="10" applyFont="1" applyFill="1" applyBorder="1" applyAlignment="1">
      <alignment vertical="center" wrapText="1"/>
    </xf>
    <xf numFmtId="165" fontId="54" fillId="2" borderId="1" xfId="8" applyNumberFormat="1" applyFont="1" applyFill="1" applyBorder="1" applyAlignment="1">
      <alignment horizontal="center" vertical="center" wrapText="1"/>
    </xf>
    <xf numFmtId="165" fontId="54" fillId="20" borderId="1" xfId="8" applyNumberFormat="1" applyFont="1" applyFill="1" applyBorder="1" applyAlignment="1">
      <alignment horizontal="center" vertical="center" wrapText="1"/>
    </xf>
    <xf numFmtId="165" fontId="54" fillId="2" borderId="1" xfId="20" applyNumberFormat="1" applyFont="1" applyFill="1" applyBorder="1" applyAlignment="1" applyProtection="1">
      <alignment horizontal="center" vertical="center" wrapText="1"/>
    </xf>
    <xf numFmtId="165" fontId="54" fillId="13" borderId="1" xfId="8" applyNumberFormat="1" applyFont="1" applyFill="1" applyBorder="1" applyAlignment="1">
      <alignment horizontal="center" vertical="center" wrapText="1"/>
    </xf>
    <xf numFmtId="165" fontId="7" fillId="27" borderId="1" xfId="8" applyNumberFormat="1" applyFont="1" applyFill="1" applyBorder="1" applyAlignment="1">
      <alignment horizontal="center" vertical="center" wrapText="1"/>
    </xf>
    <xf numFmtId="165" fontId="8" fillId="27" borderId="1" xfId="8" applyNumberFormat="1" applyFont="1" applyFill="1" applyBorder="1" applyAlignment="1">
      <alignment horizontal="center" vertical="center" wrapText="1"/>
    </xf>
    <xf numFmtId="0" fontId="1" fillId="27" borderId="0" xfId="8" applyFill="1"/>
    <xf numFmtId="165" fontId="5" fillId="27" borderId="1" xfId="0" applyNumberFormat="1" applyFont="1" applyFill="1" applyBorder="1" applyAlignment="1">
      <alignment horizontal="center" vertical="center" wrapText="1"/>
    </xf>
    <xf numFmtId="165" fontId="11" fillId="27" borderId="1" xfId="0" applyNumberFormat="1" applyFont="1" applyFill="1" applyBorder="1" applyAlignment="1">
      <alignment horizontal="center" vertical="center" wrapText="1"/>
    </xf>
    <xf numFmtId="165" fontId="4" fillId="28" borderId="1" xfId="0" applyNumberFormat="1" applyFont="1" applyFill="1" applyBorder="1" applyAlignment="1">
      <alignment horizontal="center" vertical="center" wrapText="1"/>
    </xf>
    <xf numFmtId="0" fontId="12" fillId="2" borderId="0" xfId="8" applyFont="1" applyFill="1"/>
    <xf numFmtId="165" fontId="8" fillId="2" borderId="1" xfId="8" applyNumberFormat="1" applyFont="1" applyFill="1" applyBorder="1" applyAlignment="1">
      <alignment horizontal="center" vertical="center" wrapText="1"/>
    </xf>
    <xf numFmtId="0" fontId="6" fillId="9" borderId="46" xfId="10" applyFont="1" applyFill="1" applyBorder="1" applyAlignment="1">
      <alignment horizontal="center" vertical="center" wrapText="1"/>
    </xf>
    <xf numFmtId="0" fontId="6" fillId="9" borderId="0" xfId="10" applyFont="1" applyFill="1" applyBorder="1" applyAlignment="1">
      <alignment vertical="center" wrapText="1"/>
    </xf>
    <xf numFmtId="0" fontId="7" fillId="4" borderId="2" xfId="10" applyFont="1" applyFill="1" applyBorder="1" applyAlignment="1">
      <alignment horizontal="center" vertical="center" wrapText="1"/>
    </xf>
    <xf numFmtId="0" fontId="7" fillId="4" borderId="47" xfId="10" applyFont="1" applyFill="1" applyBorder="1" applyAlignment="1">
      <alignment horizontal="center" vertical="center" wrapText="1"/>
    </xf>
    <xf numFmtId="0" fontId="7" fillId="4" borderId="39" xfId="10" applyFont="1" applyFill="1" applyBorder="1" applyAlignment="1">
      <alignment horizontal="center" vertical="center" wrapText="1"/>
    </xf>
    <xf numFmtId="0" fontId="30" fillId="6" borderId="32" xfId="10" applyFont="1" applyFill="1" applyBorder="1" applyAlignment="1">
      <alignment horizontal="center" vertical="center" wrapText="1"/>
    </xf>
    <xf numFmtId="0" fontId="30" fillId="6" borderId="7" xfId="10" applyFont="1" applyFill="1" applyBorder="1" applyAlignment="1">
      <alignment horizontal="center" vertical="center" wrapText="1"/>
    </xf>
    <xf numFmtId="0" fontId="30" fillId="6" borderId="2" xfId="10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1" fontId="8" fillId="3" borderId="29" xfId="10" applyNumberFormat="1" applyFont="1" applyFill="1" applyBorder="1" applyAlignment="1">
      <alignment horizontal="center" vertical="center" wrapText="1"/>
    </xf>
    <xf numFmtId="1" fontId="8" fillId="3" borderId="31" xfId="10" applyNumberFormat="1" applyFont="1" applyFill="1" applyBorder="1" applyAlignment="1">
      <alignment horizontal="center" vertical="center" wrapText="1"/>
    </xf>
    <xf numFmtId="1" fontId="17" fillId="3" borderId="38" xfId="10" applyNumberFormat="1" applyFont="1" applyFill="1" applyBorder="1" applyAlignment="1">
      <alignment horizontal="center" vertical="center" wrapText="1"/>
    </xf>
    <xf numFmtId="1" fontId="17" fillId="3" borderId="11" xfId="10" applyNumberFormat="1" applyFont="1" applyFill="1" applyBorder="1" applyAlignment="1">
      <alignment horizontal="center" vertical="center" wrapText="1"/>
    </xf>
    <xf numFmtId="0" fontId="5" fillId="4" borderId="37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/>
    </xf>
    <xf numFmtId="0" fontId="3" fillId="0" borderId="0" xfId="10" applyFont="1" applyBorder="1" applyAlignment="1">
      <alignment horizontal="center"/>
    </xf>
    <xf numFmtId="0" fontId="5" fillId="4" borderId="12" xfId="10" applyFont="1" applyFill="1" applyBorder="1" applyAlignment="1">
      <alignment horizontal="center" vertical="center" wrapText="1"/>
    </xf>
    <xf numFmtId="0" fontId="5" fillId="4" borderId="14" xfId="10" applyFont="1" applyFill="1" applyBorder="1" applyAlignment="1">
      <alignment horizontal="center" vertical="center" wrapText="1"/>
    </xf>
    <xf numFmtId="0" fontId="1" fillId="0" borderId="37" xfId="10" applyFont="1" applyBorder="1" applyAlignment="1">
      <alignment horizontal="center" vertical="center" wrapText="1"/>
    </xf>
    <xf numFmtId="0" fontId="1" fillId="0" borderId="1" xfId="10" applyFont="1" applyBorder="1" applyAlignment="1">
      <alignment horizontal="center" vertical="center" wrapText="1"/>
    </xf>
    <xf numFmtId="0" fontId="25" fillId="9" borderId="35" xfId="0" applyFont="1" applyFill="1" applyBorder="1" applyAlignment="1">
      <alignment horizontal="center" vertical="center"/>
    </xf>
    <xf numFmtId="0" fontId="25" fillId="9" borderId="36" xfId="0" applyFont="1" applyFill="1" applyBorder="1" applyAlignment="1">
      <alignment horizontal="center" vertical="center"/>
    </xf>
    <xf numFmtId="0" fontId="25" fillId="9" borderId="34" xfId="0" applyFont="1" applyFill="1" applyBorder="1" applyAlignment="1">
      <alignment horizontal="center" vertical="center"/>
    </xf>
    <xf numFmtId="0" fontId="3" fillId="0" borderId="0" xfId="8" applyFont="1" applyBorder="1" applyAlignment="1">
      <alignment horizontal="center"/>
    </xf>
    <xf numFmtId="165" fontId="8" fillId="3" borderId="38" xfId="8" applyNumberFormat="1" applyFont="1" applyFill="1" applyBorder="1" applyAlignment="1">
      <alignment horizontal="center" vertical="center" wrapText="1"/>
    </xf>
    <xf numFmtId="165" fontId="8" fillId="3" borderId="11" xfId="8" applyNumberFormat="1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4" fillId="4" borderId="8" xfId="8" applyFont="1" applyFill="1" applyBorder="1" applyAlignment="1">
      <alignment horizontal="center" vertical="center" wrapText="1"/>
    </xf>
    <xf numFmtId="0" fontId="4" fillId="4" borderId="6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left" vertical="center" wrapText="1"/>
    </xf>
    <xf numFmtId="0" fontId="4" fillId="4" borderId="8" xfId="8" applyFont="1" applyFill="1" applyBorder="1" applyAlignment="1">
      <alignment horizontal="left" vertical="center" wrapText="1"/>
    </xf>
    <xf numFmtId="0" fontId="4" fillId="4" borderId="6" xfId="8" applyFont="1" applyFill="1" applyBorder="1" applyAlignment="1">
      <alignment horizontal="left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4" fillId="4" borderId="7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horizontal="center" vertical="center" wrapText="1"/>
    </xf>
    <xf numFmtId="165" fontId="8" fillId="6" borderId="38" xfId="8" applyNumberFormat="1" applyFont="1" applyFill="1" applyBorder="1" applyAlignment="1">
      <alignment horizontal="center" vertical="center" wrapText="1"/>
    </xf>
    <xf numFmtId="165" fontId="8" fillId="6" borderId="11" xfId="8" applyNumberFormat="1" applyFont="1" applyFill="1" applyBorder="1" applyAlignment="1">
      <alignment horizontal="center" vertical="center" wrapText="1"/>
    </xf>
    <xf numFmtId="0" fontId="4" fillId="5" borderId="37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1" fillId="5" borderId="1" xfId="8" applyFill="1" applyBorder="1" applyAlignment="1">
      <alignment horizontal="center" vertical="center" wrapText="1"/>
    </xf>
    <xf numFmtId="0" fontId="7" fillId="5" borderId="37" xfId="8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/>
    </xf>
    <xf numFmtId="0" fontId="4" fillId="5" borderId="12" xfId="8" applyFont="1" applyFill="1" applyBorder="1" applyAlignment="1">
      <alignment horizontal="center" vertical="center" wrapText="1"/>
    </xf>
    <xf numFmtId="0" fontId="4" fillId="5" borderId="14" xfId="8" applyFont="1" applyFill="1" applyBorder="1" applyAlignment="1">
      <alignment horizontal="center" vertical="center" wrapText="1"/>
    </xf>
    <xf numFmtId="0" fontId="5" fillId="5" borderId="37" xfId="8" applyFont="1" applyFill="1" applyBorder="1" applyAlignment="1">
      <alignment horizontal="center" vertical="center" wrapText="1"/>
    </xf>
    <xf numFmtId="0" fontId="17" fillId="3" borderId="38" xfId="8" applyFont="1" applyFill="1" applyBorder="1" applyAlignment="1">
      <alignment horizontal="center" vertical="center" wrapText="1"/>
    </xf>
    <xf numFmtId="0" fontId="17" fillId="3" borderId="11" xfId="8" applyFont="1" applyFill="1" applyBorder="1" applyAlignment="1">
      <alignment horizontal="center" vertical="center" wrapText="1"/>
    </xf>
    <xf numFmtId="0" fontId="17" fillId="3" borderId="29" xfId="8" applyFont="1" applyFill="1" applyBorder="1" applyAlignment="1">
      <alignment horizontal="center" vertical="center" wrapText="1"/>
    </xf>
    <xf numFmtId="0" fontId="17" fillId="3" borderId="39" xfId="8" applyFont="1" applyFill="1" applyBorder="1" applyAlignment="1">
      <alignment horizontal="center" vertical="center" wrapText="1"/>
    </xf>
    <xf numFmtId="0" fontId="4" fillId="4" borderId="19" xfId="10" applyFont="1" applyFill="1" applyBorder="1" applyAlignment="1">
      <alignment horizontal="center" vertical="center" wrapText="1"/>
    </xf>
    <xf numFmtId="0" fontId="4" fillId="4" borderId="20" xfId="10" applyFont="1" applyFill="1" applyBorder="1" applyAlignment="1">
      <alignment horizontal="center" vertical="center" wrapText="1"/>
    </xf>
    <xf numFmtId="0" fontId="4" fillId="4" borderId="21" xfId="10" applyFont="1" applyFill="1" applyBorder="1" applyAlignment="1">
      <alignment horizontal="center" vertical="center" wrapText="1"/>
    </xf>
    <xf numFmtId="0" fontId="4" fillId="4" borderId="13" xfId="10" applyFont="1" applyFill="1" applyBorder="1" applyAlignment="1">
      <alignment horizontal="center" vertical="center" wrapText="1"/>
    </xf>
    <xf numFmtId="0" fontId="4" fillId="4" borderId="15" xfId="10" applyFont="1" applyFill="1" applyBorder="1" applyAlignment="1">
      <alignment horizontal="center" vertical="center" wrapText="1"/>
    </xf>
    <xf numFmtId="0" fontId="4" fillId="8" borderId="40" xfId="8" applyFont="1" applyFill="1" applyBorder="1" applyAlignment="1">
      <alignment horizontal="center" vertical="center" wrapText="1"/>
    </xf>
    <xf numFmtId="0" fontId="4" fillId="8" borderId="8" xfId="8" applyFont="1" applyFill="1" applyBorder="1" applyAlignment="1">
      <alignment horizontal="center" vertical="center" wrapText="1"/>
    </xf>
    <xf numFmtId="0" fontId="1" fillId="8" borderId="6" xfId="8" applyFill="1" applyBorder="1" applyAlignment="1">
      <alignment horizontal="center" vertical="center" wrapText="1"/>
    </xf>
    <xf numFmtId="0" fontId="4" fillId="8" borderId="37" xfId="8" applyFont="1" applyFill="1" applyBorder="1" applyAlignment="1">
      <alignment horizontal="center" vertical="center" wrapText="1"/>
    </xf>
    <xf numFmtId="0" fontId="6" fillId="25" borderId="17" xfId="8" applyFont="1" applyFill="1" applyBorder="1" applyAlignment="1">
      <alignment horizontal="center" vertical="center" wrapText="1"/>
    </xf>
    <xf numFmtId="0" fontId="2" fillId="25" borderId="22" xfId="8" applyFont="1" applyFill="1" applyBorder="1" applyAlignment="1">
      <alignment horizontal="center" vertical="center" wrapText="1"/>
    </xf>
    <xf numFmtId="0" fontId="14" fillId="5" borderId="1" xfId="9" applyFont="1" applyFill="1" applyBorder="1" applyAlignment="1">
      <alignment horizontal="center" vertical="center" wrapText="1"/>
    </xf>
    <xf numFmtId="0" fontId="14" fillId="5" borderId="37" xfId="9" applyFont="1" applyFill="1" applyBorder="1" applyAlignment="1">
      <alignment horizontal="center" vertical="center" wrapText="1"/>
    </xf>
    <xf numFmtId="0" fontId="14" fillId="5" borderId="13" xfId="9" applyFont="1" applyFill="1" applyBorder="1" applyAlignment="1">
      <alignment horizontal="center" vertical="center" wrapText="1"/>
    </xf>
    <xf numFmtId="0" fontId="3" fillId="6" borderId="38" xfId="9" applyFont="1" applyFill="1" applyBorder="1" applyAlignment="1">
      <alignment horizontal="center" vertical="center" wrapText="1"/>
    </xf>
    <xf numFmtId="0" fontId="3" fillId="6" borderId="11" xfId="9" applyFont="1" applyFill="1" applyBorder="1" applyAlignment="1">
      <alignment horizontal="center" vertical="center" wrapText="1"/>
    </xf>
    <xf numFmtId="0" fontId="14" fillId="5" borderId="12" xfId="10" applyFont="1" applyFill="1" applyBorder="1" applyAlignment="1">
      <alignment horizontal="center" vertical="center" wrapText="1"/>
    </xf>
    <xf numFmtId="0" fontId="14" fillId="5" borderId="14" xfId="10" applyFont="1" applyFill="1" applyBorder="1" applyAlignment="1">
      <alignment horizontal="center" vertical="center" wrapText="1"/>
    </xf>
    <xf numFmtId="0" fontId="14" fillId="5" borderId="37" xfId="10" applyFont="1" applyFill="1" applyBorder="1" applyAlignment="1">
      <alignment horizontal="left" vertical="center" wrapText="1"/>
    </xf>
    <xf numFmtId="0" fontId="14" fillId="5" borderId="1" xfId="10" applyFont="1" applyFill="1" applyBorder="1" applyAlignment="1">
      <alignment horizontal="left" vertical="center" wrapText="1"/>
    </xf>
    <xf numFmtId="0" fontId="17" fillId="6" borderId="29" xfId="9" applyFont="1" applyFill="1" applyBorder="1" applyAlignment="1">
      <alignment horizontal="center" vertical="center" wrapText="1"/>
    </xf>
    <xf numFmtId="0" fontId="17" fillId="6" borderId="39" xfId="9" applyFont="1" applyFill="1" applyBorder="1" applyAlignment="1">
      <alignment horizontal="center" vertical="center" wrapText="1"/>
    </xf>
    <xf numFmtId="0" fontId="4" fillId="9" borderId="41" xfId="9" applyFont="1" applyFill="1" applyBorder="1" applyAlignment="1">
      <alignment horizontal="center" vertical="center" wrapText="1"/>
    </xf>
    <xf numFmtId="0" fontId="4" fillId="9" borderId="27" xfId="9" applyFont="1" applyFill="1" applyBorder="1" applyAlignment="1">
      <alignment horizontal="center" vertical="center" wrapText="1"/>
    </xf>
    <xf numFmtId="0" fontId="4" fillId="9" borderId="42" xfId="9" applyFont="1" applyFill="1" applyBorder="1" applyAlignment="1">
      <alignment horizontal="center" vertical="center" wrapText="1"/>
    </xf>
    <xf numFmtId="0" fontId="17" fillId="6" borderId="5" xfId="9" applyFont="1" applyFill="1" applyBorder="1" applyAlignment="1">
      <alignment horizontal="center" vertical="center" wrapText="1"/>
    </xf>
    <xf numFmtId="0" fontId="17" fillId="6" borderId="7" xfId="9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26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center" vertical="center" wrapText="1"/>
    </xf>
    <xf numFmtId="0" fontId="5" fillId="4" borderId="13" xfId="10" applyFont="1" applyFill="1" applyBorder="1" applyAlignment="1">
      <alignment horizontal="center" vertical="center" wrapText="1"/>
    </xf>
    <xf numFmtId="0" fontId="5" fillId="4" borderId="15" xfId="10" applyFont="1" applyFill="1" applyBorder="1" applyAlignment="1">
      <alignment horizontal="center" vertical="center" wrapText="1"/>
    </xf>
    <xf numFmtId="0" fontId="5" fillId="4" borderId="5" xfId="9" applyFont="1" applyFill="1" applyBorder="1" applyAlignment="1">
      <alignment horizontal="center" vertical="center" wrapText="1"/>
    </xf>
    <xf numFmtId="0" fontId="5" fillId="4" borderId="2" xfId="9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5" borderId="5" xfId="9" applyFont="1" applyFill="1" applyBorder="1" applyAlignment="1">
      <alignment horizontal="center" vertical="center" wrapText="1"/>
    </xf>
    <xf numFmtId="0" fontId="5" fillId="5" borderId="7" xfId="9" applyFont="1" applyFill="1" applyBorder="1" applyAlignment="1">
      <alignment horizontal="center" vertical="center" wrapText="1"/>
    </xf>
    <xf numFmtId="0" fontId="5" fillId="5" borderId="2" xfId="9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5" xfId="9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5" fontId="17" fillId="3" borderId="1" xfId="9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horizontal="center" vertical="center" wrapText="1"/>
    </xf>
    <xf numFmtId="0" fontId="3" fillId="9" borderId="1" xfId="14" applyFont="1" applyFill="1" applyBorder="1" applyAlignment="1">
      <alignment horizontal="center" wrapText="1"/>
    </xf>
    <xf numFmtId="0" fontId="31" fillId="9" borderId="1" xfId="14" applyFont="1" applyFill="1" applyBorder="1"/>
    <xf numFmtId="0" fontId="15" fillId="9" borderId="1" xfId="0" applyFont="1" applyFill="1" applyBorder="1" applyAlignment="1">
      <alignment horizontal="center" vertical="center" wrapText="1"/>
    </xf>
    <xf numFmtId="0" fontId="49" fillId="9" borderId="1" xfId="0" applyFont="1" applyFill="1" applyBorder="1" applyAlignment="1">
      <alignment horizontal="center" wrapText="1"/>
    </xf>
    <xf numFmtId="0" fontId="27" fillId="22" borderId="9" xfId="0" applyFont="1" applyFill="1" applyBorder="1" applyAlignment="1">
      <alignment horizontal="center" vertical="center" wrapText="1"/>
    </xf>
    <xf numFmtId="0" fontId="27" fillId="2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9" borderId="45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 wrapText="1"/>
    </xf>
    <xf numFmtId="0" fontId="4" fillId="4" borderId="26" xfId="10" applyFont="1" applyFill="1" applyBorder="1" applyAlignment="1">
      <alignment horizontal="center" vertical="center" wrapText="1"/>
    </xf>
    <xf numFmtId="0" fontId="4" fillId="4" borderId="5" xfId="1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/>
    </xf>
    <xf numFmtId="0" fontId="32" fillId="9" borderId="9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horizontal="center" vertical="center" wrapText="1"/>
    </xf>
    <xf numFmtId="0" fontId="17" fillId="6" borderId="2" xfId="9" applyFont="1" applyFill="1" applyBorder="1" applyAlignment="1">
      <alignment horizontal="center" vertical="center" wrapText="1"/>
    </xf>
    <xf numFmtId="0" fontId="4" fillId="4" borderId="5" xfId="9" applyFont="1" applyFill="1" applyBorder="1" applyAlignment="1">
      <alignment horizontal="center" vertical="center" wrapText="1"/>
    </xf>
    <xf numFmtId="0" fontId="4" fillId="4" borderId="7" xfId="9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7" fillId="4" borderId="2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 applyFill="1" applyBorder="1" applyAlignment="1">
      <alignment horizontal="center" vertical="center" wrapText="1"/>
    </xf>
    <xf numFmtId="0" fontId="4" fillId="4" borderId="23" xfId="10" applyFont="1" applyFill="1" applyBorder="1" applyAlignment="1">
      <alignment horizontal="center" vertical="center" wrapText="1"/>
    </xf>
    <xf numFmtId="0" fontId="4" fillId="4" borderId="22" xfId="10" applyFont="1" applyFill="1" applyBorder="1" applyAlignment="1">
      <alignment horizontal="center" vertical="center" wrapText="1"/>
    </xf>
    <xf numFmtId="0" fontId="4" fillId="4" borderId="30" xfId="10" applyFont="1" applyFill="1" applyBorder="1" applyAlignment="1">
      <alignment horizontal="center" vertical="center" wrapText="1"/>
    </xf>
    <xf numFmtId="0" fontId="4" fillId="4" borderId="32" xfId="9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" vertical="center" wrapText="1"/>
    </xf>
    <xf numFmtId="0" fontId="4" fillId="4" borderId="6" xfId="9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7" fillId="27" borderId="1" xfId="8" applyFont="1" applyFill="1" applyBorder="1" applyAlignment="1">
      <alignment horizontal="center" vertical="top" wrapText="1"/>
    </xf>
    <xf numFmtId="0" fontId="20" fillId="27" borderId="1" xfId="8" applyFont="1" applyFill="1" applyBorder="1" applyAlignment="1">
      <alignment horizontal="center" vertical="top" wrapText="1"/>
    </xf>
    <xf numFmtId="0" fontId="25" fillId="4" borderId="1" xfId="8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1" fillId="4" borderId="1" xfId="8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top" wrapText="1"/>
    </xf>
    <xf numFmtId="0" fontId="8" fillId="6" borderId="1" xfId="8" applyFont="1" applyFill="1" applyBorder="1" applyAlignment="1">
      <alignment horizontal="center" vertical="center" wrapText="1"/>
    </xf>
    <xf numFmtId="0" fontId="4" fillId="9" borderId="1" xfId="10" applyFont="1" applyFill="1" applyBorder="1" applyAlignment="1">
      <alignment horizontal="center" vertical="center" wrapText="1"/>
    </xf>
    <xf numFmtId="0" fontId="4" fillId="9" borderId="15" xfId="10" applyFont="1" applyFill="1" applyBorder="1" applyAlignment="1">
      <alignment horizontal="center" vertical="center" wrapText="1"/>
    </xf>
    <xf numFmtId="0" fontId="4" fillId="4" borderId="12" xfId="10" applyFont="1" applyFill="1" applyBorder="1" applyAlignment="1">
      <alignment horizontal="center" vertical="center" wrapText="1"/>
    </xf>
    <xf numFmtId="0" fontId="4" fillId="4" borderId="14" xfId="10" applyFont="1" applyFill="1" applyBorder="1" applyAlignment="1">
      <alignment horizontal="center" vertical="center" wrapText="1"/>
    </xf>
    <xf numFmtId="0" fontId="4" fillId="4" borderId="37" xfId="10" applyFont="1" applyFill="1" applyBorder="1" applyAlignment="1">
      <alignment horizontal="center" vertical="center" wrapText="1"/>
    </xf>
    <xf numFmtId="0" fontId="12" fillId="2" borderId="37" xfId="10" applyFont="1" applyFill="1" applyBorder="1" applyAlignment="1">
      <alignment horizontal="center" vertical="center" wrapText="1"/>
    </xf>
    <xf numFmtId="0" fontId="12" fillId="2" borderId="13" xfId="10" applyFont="1" applyFill="1" applyBorder="1" applyAlignment="1">
      <alignment horizontal="center" vertical="center" wrapText="1"/>
    </xf>
    <xf numFmtId="0" fontId="14" fillId="8" borderId="1" xfId="8" applyFont="1" applyFill="1" applyBorder="1" applyAlignment="1">
      <alignment horizontal="center" vertical="center" wrapText="1"/>
    </xf>
    <xf numFmtId="0" fontId="14" fillId="4" borderId="3" xfId="8" applyFont="1" applyFill="1" applyBorder="1" applyAlignment="1">
      <alignment horizontal="center" vertical="top" wrapText="1"/>
    </xf>
    <xf numFmtId="0" fontId="1" fillId="0" borderId="8" xfId="8" applyBorder="1" applyAlignment="1">
      <alignment horizontal="center" vertical="top" wrapText="1"/>
    </xf>
    <xf numFmtId="0" fontId="1" fillId="0" borderId="6" xfId="8" applyBorder="1" applyAlignment="1">
      <alignment horizontal="center" vertical="top" wrapText="1"/>
    </xf>
    <xf numFmtId="0" fontId="1" fillId="0" borderId="6" xfId="8" applyBorder="1" applyAlignment="1">
      <alignment horizontal="center" wrapText="1"/>
    </xf>
    <xf numFmtId="0" fontId="14" fillId="20" borderId="3" xfId="8" applyFont="1" applyFill="1" applyBorder="1" applyAlignment="1">
      <alignment horizontal="center" vertical="top" wrapText="1"/>
    </xf>
    <xf numFmtId="0" fontId="14" fillId="20" borderId="8" xfId="8" applyFont="1" applyFill="1" applyBorder="1" applyAlignment="1">
      <alignment horizontal="center" vertical="top" wrapText="1"/>
    </xf>
    <xf numFmtId="0" fontId="1" fillId="20" borderId="6" xfId="8" applyFill="1" applyBorder="1" applyAlignment="1">
      <alignment horizontal="center" vertical="top" wrapText="1"/>
    </xf>
    <xf numFmtId="0" fontId="14" fillId="4" borderId="8" xfId="8" applyFont="1" applyFill="1" applyBorder="1" applyAlignment="1">
      <alignment horizontal="center" vertical="top" wrapText="1"/>
    </xf>
    <xf numFmtId="0" fontId="14" fillId="4" borderId="6" xfId="8" applyFont="1" applyFill="1" applyBorder="1" applyAlignment="1">
      <alignment horizontal="center" vertical="top" wrapText="1"/>
    </xf>
    <xf numFmtId="0" fontId="30" fillId="6" borderId="29" xfId="10" applyFont="1" applyFill="1" applyBorder="1" applyAlignment="1">
      <alignment horizontal="center" vertical="center" wrapText="1"/>
    </xf>
    <xf numFmtId="0" fontId="30" fillId="6" borderId="28" xfId="10" applyFont="1" applyFill="1" applyBorder="1" applyAlignment="1">
      <alignment horizontal="center" vertical="center" wrapText="1"/>
    </xf>
    <xf numFmtId="0" fontId="14" fillId="5" borderId="3" xfId="8" applyFont="1" applyFill="1" applyBorder="1" applyAlignment="1">
      <alignment horizontal="center" vertical="center" wrapText="1"/>
    </xf>
    <xf numFmtId="0" fontId="14" fillId="5" borderId="8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21" fillId="4" borderId="19" xfId="10" applyFont="1" applyFill="1" applyBorder="1" applyAlignment="1">
      <alignment horizontal="center" vertical="center" wrapText="1"/>
    </xf>
    <xf numFmtId="0" fontId="21" fillId="4" borderId="20" xfId="10" applyFont="1" applyFill="1" applyBorder="1" applyAlignment="1">
      <alignment horizontal="center" vertical="center" wrapText="1"/>
    </xf>
    <xf numFmtId="0" fontId="21" fillId="4" borderId="21" xfId="10" applyFont="1" applyFill="1" applyBorder="1" applyAlignment="1">
      <alignment horizontal="center" vertical="center" wrapText="1"/>
    </xf>
    <xf numFmtId="0" fontId="21" fillId="4" borderId="13" xfId="10" applyFont="1" applyFill="1" applyBorder="1" applyAlignment="1">
      <alignment horizontal="center" vertical="center" wrapText="1"/>
    </xf>
    <xf numFmtId="0" fontId="21" fillId="4" borderId="5" xfId="10" applyFont="1" applyFill="1" applyBorder="1" applyAlignment="1">
      <alignment horizontal="center" vertical="center" wrapText="1"/>
    </xf>
    <xf numFmtId="0" fontId="4" fillId="5" borderId="3" xfId="10" applyFont="1" applyFill="1" applyBorder="1" applyAlignment="1">
      <alignment horizontal="center" vertical="center" wrapText="1"/>
    </xf>
    <xf numFmtId="0" fontId="4" fillId="5" borderId="8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 wrapText="1"/>
    </xf>
    <xf numFmtId="0" fontId="21" fillId="12" borderId="5" xfId="8" applyFont="1" applyFill="1" applyBorder="1" applyAlignment="1">
      <alignment horizontal="center" vertical="center" wrapText="1"/>
    </xf>
    <xf numFmtId="0" fontId="21" fillId="12" borderId="2" xfId="8" applyFont="1" applyFill="1" applyBorder="1" applyAlignment="1">
      <alignment horizontal="center" vertical="center" wrapText="1"/>
    </xf>
    <xf numFmtId="0" fontId="28" fillId="12" borderId="1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17" fillId="4" borderId="37" xfId="8" applyFont="1" applyFill="1" applyBorder="1" applyAlignment="1">
      <alignment horizontal="center" vertical="center" wrapText="1"/>
    </xf>
    <xf numFmtId="0" fontId="2" fillId="0" borderId="37" xfId="8" applyFont="1" applyBorder="1" applyAlignment="1">
      <alignment horizontal="center" vertical="center" wrapText="1"/>
    </xf>
    <xf numFmtId="0" fontId="18" fillId="4" borderId="37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5" fillId="20" borderId="1" xfId="8" applyFont="1" applyFill="1" applyBorder="1" applyAlignment="1">
      <alignment horizontal="center" vertical="center" wrapText="1"/>
    </xf>
    <xf numFmtId="0" fontId="19" fillId="20" borderId="1" xfId="8" applyFont="1" applyFill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19" fillId="4" borderId="1" xfId="8" applyFont="1" applyFill="1" applyBorder="1" applyAlignment="1">
      <alignment horizontal="center" vertical="center" wrapText="1"/>
    </xf>
  </cellXfs>
  <cellStyles count="21">
    <cellStyle name="Excel Built-in Explanatory Text" xfId="20"/>
    <cellStyle name="Excel Built-in Normal" xfId="1"/>
    <cellStyle name="Акцент2" xfId="13" builtinId="33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2 2" xfId="19"/>
    <cellStyle name="Обычный 4 3" xfId="10"/>
    <cellStyle name="Обычный 4 3 2" xfId="18"/>
    <cellStyle name="Обычный 4 4" xfId="12"/>
    <cellStyle name="Обычный 5" xfId="7"/>
    <cellStyle name="Обычный 5 2" xfId="11"/>
    <cellStyle name="Обычный 6" xfId="14"/>
    <cellStyle name="Пояснение" xfId="16" builtinId="53"/>
    <cellStyle name="Процентный 2" xfId="5"/>
    <cellStyle name="Финансовый 2" xfId="4"/>
    <cellStyle name="Финансовый 2 2" xfId="6"/>
    <cellStyle name="Финансовый 3" xfId="15"/>
    <cellStyle name="Финансовый 6" xfId="17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LQ50"/>
  <sheetViews>
    <sheetView tabSelected="1" zoomScale="80" zoomScaleNormal="80" workbookViewId="0">
      <pane ySplit="6" topLeftCell="A7" activePane="bottomLeft" state="frozen"/>
      <selection activeCell="B38" sqref="B38"/>
      <selection pane="bottomLeft" activeCell="F45" sqref="F45"/>
    </sheetView>
  </sheetViews>
  <sheetFormatPr defaultRowHeight="15" x14ac:dyDescent="0.25"/>
  <cols>
    <col min="1" max="2" width="9.140625" style="8"/>
    <col min="3" max="3" width="40.28515625" style="8" customWidth="1"/>
    <col min="4" max="4" width="11.140625" style="515" customWidth="1"/>
    <col min="5" max="5" width="12.140625" style="515" customWidth="1"/>
    <col min="6" max="6" width="10.28515625" style="515" customWidth="1"/>
    <col min="7" max="7" width="9.140625" style="528"/>
    <col min="8" max="8" width="9.140625" style="537"/>
    <col min="9" max="232" width="9.140625" style="8"/>
    <col min="233" max="233" width="26" style="8" customWidth="1"/>
    <col min="234" max="234" width="21.140625" style="8" customWidth="1"/>
    <col min="235" max="235" width="11.140625" style="8" customWidth="1"/>
    <col min="236" max="236" width="11.28515625" style="8" customWidth="1"/>
    <col min="237" max="237" width="14.28515625" style="8" customWidth="1"/>
    <col min="238" max="238" width="16.28515625" style="8" customWidth="1"/>
    <col min="239" max="239" width="22.28515625" style="8" customWidth="1"/>
    <col min="240" max="240" width="17.42578125" style="8" customWidth="1"/>
    <col min="241" max="241" width="21.5703125" style="8" customWidth="1"/>
    <col min="242" max="242" width="14.28515625" style="8" customWidth="1"/>
    <col min="243" max="243" width="9.140625" style="8" customWidth="1"/>
    <col min="244" max="244" width="11.28515625" style="8" customWidth="1"/>
    <col min="245" max="488" width="9.140625" style="8"/>
    <col min="489" max="489" width="26" style="8" customWidth="1"/>
    <col min="490" max="490" width="21.140625" style="8" customWidth="1"/>
    <col min="491" max="491" width="11.140625" style="8" customWidth="1"/>
    <col min="492" max="492" width="11.28515625" style="8" customWidth="1"/>
    <col min="493" max="493" width="14.28515625" style="8" customWidth="1"/>
    <col min="494" max="494" width="16.28515625" style="8" customWidth="1"/>
    <col min="495" max="495" width="22.28515625" style="8" customWidth="1"/>
    <col min="496" max="496" width="17.42578125" style="8" customWidth="1"/>
    <col min="497" max="497" width="21.5703125" style="8" customWidth="1"/>
    <col min="498" max="498" width="14.28515625" style="8" customWidth="1"/>
    <col min="499" max="499" width="9.140625" style="8" customWidth="1"/>
    <col min="500" max="500" width="11.28515625" style="8" customWidth="1"/>
    <col min="501" max="744" width="9.140625" style="8"/>
    <col min="745" max="745" width="26" style="8" customWidth="1"/>
    <col min="746" max="746" width="21.140625" style="8" customWidth="1"/>
    <col min="747" max="747" width="11.140625" style="8" customWidth="1"/>
    <col min="748" max="748" width="11.28515625" style="8" customWidth="1"/>
    <col min="749" max="749" width="14.28515625" style="8" customWidth="1"/>
    <col min="750" max="750" width="16.28515625" style="8" customWidth="1"/>
    <col min="751" max="751" width="22.28515625" style="8" customWidth="1"/>
    <col min="752" max="752" width="17.42578125" style="8" customWidth="1"/>
    <col min="753" max="753" width="21.5703125" style="8" customWidth="1"/>
    <col min="754" max="754" width="14.28515625" style="8" customWidth="1"/>
    <col min="755" max="755" width="9.140625" style="8" customWidth="1"/>
    <col min="756" max="756" width="11.28515625" style="8" customWidth="1"/>
    <col min="757" max="1000" width="9.140625" style="8"/>
    <col min="1001" max="1001" width="26" style="8" customWidth="1"/>
    <col min="1002" max="1002" width="21.140625" style="8" customWidth="1"/>
    <col min="1003" max="1003" width="11.140625" style="8" customWidth="1"/>
    <col min="1004" max="1004" width="11.28515625" style="8" customWidth="1"/>
    <col min="1005" max="1005" width="14.28515625" style="8" customWidth="1"/>
    <col min="1006" max="1006" width="16.28515625" style="8" customWidth="1"/>
    <col min="1007" max="1007" width="22.28515625" style="8" customWidth="1"/>
    <col min="1008" max="1008" width="17.42578125" style="8" customWidth="1"/>
    <col min="1009" max="1009" width="21.5703125" style="8" customWidth="1"/>
    <col min="1010" max="1010" width="14.28515625" style="8" customWidth="1"/>
    <col min="1011" max="1011" width="9.140625" style="8" customWidth="1"/>
    <col min="1012" max="1012" width="11.28515625" style="8" customWidth="1"/>
    <col min="1013" max="1256" width="9.140625" style="8"/>
    <col min="1257" max="1257" width="26" style="8" customWidth="1"/>
    <col min="1258" max="1258" width="21.140625" style="8" customWidth="1"/>
    <col min="1259" max="1259" width="11.140625" style="8" customWidth="1"/>
    <col min="1260" max="1260" width="11.28515625" style="8" customWidth="1"/>
    <col min="1261" max="1261" width="14.28515625" style="8" customWidth="1"/>
    <col min="1262" max="1262" width="16.28515625" style="8" customWidth="1"/>
    <col min="1263" max="1263" width="22.28515625" style="8" customWidth="1"/>
    <col min="1264" max="1264" width="17.42578125" style="8" customWidth="1"/>
    <col min="1265" max="1265" width="21.5703125" style="8" customWidth="1"/>
    <col min="1266" max="1266" width="14.28515625" style="8" customWidth="1"/>
    <col min="1267" max="1267" width="9.140625" style="8" customWidth="1"/>
    <col min="1268" max="1268" width="11.28515625" style="8" customWidth="1"/>
    <col min="1269" max="1512" width="9.140625" style="8"/>
    <col min="1513" max="1513" width="26" style="8" customWidth="1"/>
    <col min="1514" max="1514" width="21.140625" style="8" customWidth="1"/>
    <col min="1515" max="1515" width="11.140625" style="8" customWidth="1"/>
    <col min="1516" max="1516" width="11.28515625" style="8" customWidth="1"/>
    <col min="1517" max="1517" width="14.28515625" style="8" customWidth="1"/>
    <col min="1518" max="1518" width="16.28515625" style="8" customWidth="1"/>
    <col min="1519" max="1519" width="22.28515625" style="8" customWidth="1"/>
    <col min="1520" max="1520" width="17.42578125" style="8" customWidth="1"/>
    <col min="1521" max="1521" width="21.5703125" style="8" customWidth="1"/>
    <col min="1522" max="1522" width="14.28515625" style="8" customWidth="1"/>
    <col min="1523" max="1523" width="9.140625" style="8" customWidth="1"/>
    <col min="1524" max="1524" width="11.28515625" style="8" customWidth="1"/>
    <col min="1525" max="1768" width="9.140625" style="8"/>
    <col min="1769" max="1769" width="26" style="8" customWidth="1"/>
    <col min="1770" max="1770" width="21.140625" style="8" customWidth="1"/>
    <col min="1771" max="1771" width="11.140625" style="8" customWidth="1"/>
    <col min="1772" max="1772" width="11.28515625" style="8" customWidth="1"/>
    <col min="1773" max="1773" width="14.28515625" style="8" customWidth="1"/>
    <col min="1774" max="1774" width="16.28515625" style="8" customWidth="1"/>
    <col min="1775" max="1775" width="22.28515625" style="8" customWidth="1"/>
    <col min="1776" max="1776" width="17.42578125" style="8" customWidth="1"/>
    <col min="1777" max="1777" width="21.5703125" style="8" customWidth="1"/>
    <col min="1778" max="1778" width="14.28515625" style="8" customWidth="1"/>
    <col min="1779" max="1779" width="9.140625" style="8" customWidth="1"/>
    <col min="1780" max="1780" width="11.28515625" style="8" customWidth="1"/>
    <col min="1781" max="2024" width="9.140625" style="8"/>
    <col min="2025" max="2025" width="26" style="8" customWidth="1"/>
    <col min="2026" max="2026" width="21.140625" style="8" customWidth="1"/>
    <col min="2027" max="2027" width="11.140625" style="8" customWidth="1"/>
    <col min="2028" max="2028" width="11.28515625" style="8" customWidth="1"/>
    <col min="2029" max="2029" width="14.28515625" style="8" customWidth="1"/>
    <col min="2030" max="2030" width="16.28515625" style="8" customWidth="1"/>
    <col min="2031" max="2031" width="22.28515625" style="8" customWidth="1"/>
    <col min="2032" max="2032" width="17.42578125" style="8" customWidth="1"/>
    <col min="2033" max="2033" width="21.5703125" style="8" customWidth="1"/>
    <col min="2034" max="2034" width="14.28515625" style="8" customWidth="1"/>
    <col min="2035" max="2035" width="9.140625" style="8" customWidth="1"/>
    <col min="2036" max="2036" width="11.28515625" style="8" customWidth="1"/>
    <col min="2037" max="2280" width="9.140625" style="8"/>
    <col min="2281" max="2281" width="26" style="8" customWidth="1"/>
    <col min="2282" max="2282" width="21.140625" style="8" customWidth="1"/>
    <col min="2283" max="2283" width="11.140625" style="8" customWidth="1"/>
    <col min="2284" max="2284" width="11.28515625" style="8" customWidth="1"/>
    <col min="2285" max="2285" width="14.28515625" style="8" customWidth="1"/>
    <col min="2286" max="2286" width="16.28515625" style="8" customWidth="1"/>
    <col min="2287" max="2287" width="22.28515625" style="8" customWidth="1"/>
    <col min="2288" max="2288" width="17.42578125" style="8" customWidth="1"/>
    <col min="2289" max="2289" width="21.5703125" style="8" customWidth="1"/>
    <col min="2290" max="2290" width="14.28515625" style="8" customWidth="1"/>
    <col min="2291" max="2291" width="9.140625" style="8" customWidth="1"/>
    <col min="2292" max="2292" width="11.28515625" style="8" customWidth="1"/>
    <col min="2293" max="2536" width="9.140625" style="8"/>
    <col min="2537" max="2537" width="26" style="8" customWidth="1"/>
    <col min="2538" max="2538" width="21.140625" style="8" customWidth="1"/>
    <col min="2539" max="2539" width="11.140625" style="8" customWidth="1"/>
    <col min="2540" max="2540" width="11.28515625" style="8" customWidth="1"/>
    <col min="2541" max="2541" width="14.28515625" style="8" customWidth="1"/>
    <col min="2542" max="2542" width="16.28515625" style="8" customWidth="1"/>
    <col min="2543" max="2543" width="22.28515625" style="8" customWidth="1"/>
    <col min="2544" max="2544" width="17.42578125" style="8" customWidth="1"/>
    <col min="2545" max="2545" width="21.5703125" style="8" customWidth="1"/>
    <col min="2546" max="2546" width="14.28515625" style="8" customWidth="1"/>
    <col min="2547" max="2547" width="9.140625" style="8" customWidth="1"/>
    <col min="2548" max="2548" width="11.28515625" style="8" customWidth="1"/>
    <col min="2549" max="2792" width="9.140625" style="8"/>
    <col min="2793" max="2793" width="26" style="8" customWidth="1"/>
    <col min="2794" max="2794" width="21.140625" style="8" customWidth="1"/>
    <col min="2795" max="2795" width="11.140625" style="8" customWidth="1"/>
    <col min="2796" max="2796" width="11.28515625" style="8" customWidth="1"/>
    <col min="2797" max="2797" width="14.28515625" style="8" customWidth="1"/>
    <col min="2798" max="2798" width="16.28515625" style="8" customWidth="1"/>
    <col min="2799" max="2799" width="22.28515625" style="8" customWidth="1"/>
    <col min="2800" max="2800" width="17.42578125" style="8" customWidth="1"/>
    <col min="2801" max="2801" width="21.5703125" style="8" customWidth="1"/>
    <col min="2802" max="2802" width="14.28515625" style="8" customWidth="1"/>
    <col min="2803" max="2803" width="9.140625" style="8" customWidth="1"/>
    <col min="2804" max="2804" width="11.28515625" style="8" customWidth="1"/>
    <col min="2805" max="3048" width="9.140625" style="8"/>
    <col min="3049" max="3049" width="26" style="8" customWidth="1"/>
    <col min="3050" max="3050" width="21.140625" style="8" customWidth="1"/>
    <col min="3051" max="3051" width="11.140625" style="8" customWidth="1"/>
    <col min="3052" max="3052" width="11.28515625" style="8" customWidth="1"/>
    <col min="3053" max="3053" width="14.28515625" style="8" customWidth="1"/>
    <col min="3054" max="3054" width="16.28515625" style="8" customWidth="1"/>
    <col min="3055" max="3055" width="22.28515625" style="8" customWidth="1"/>
    <col min="3056" max="3056" width="17.42578125" style="8" customWidth="1"/>
    <col min="3057" max="3057" width="21.5703125" style="8" customWidth="1"/>
    <col min="3058" max="3058" width="14.28515625" style="8" customWidth="1"/>
    <col min="3059" max="3059" width="9.140625" style="8" customWidth="1"/>
    <col min="3060" max="3060" width="11.28515625" style="8" customWidth="1"/>
    <col min="3061" max="3304" width="9.140625" style="8"/>
    <col min="3305" max="3305" width="26" style="8" customWidth="1"/>
    <col min="3306" max="3306" width="21.140625" style="8" customWidth="1"/>
    <col min="3307" max="3307" width="11.140625" style="8" customWidth="1"/>
    <col min="3308" max="3308" width="11.28515625" style="8" customWidth="1"/>
    <col min="3309" max="3309" width="14.28515625" style="8" customWidth="1"/>
    <col min="3310" max="3310" width="16.28515625" style="8" customWidth="1"/>
    <col min="3311" max="3311" width="22.28515625" style="8" customWidth="1"/>
    <col min="3312" max="3312" width="17.42578125" style="8" customWidth="1"/>
    <col min="3313" max="3313" width="21.5703125" style="8" customWidth="1"/>
    <col min="3314" max="3314" width="14.28515625" style="8" customWidth="1"/>
    <col min="3315" max="3315" width="9.140625" style="8" customWidth="1"/>
    <col min="3316" max="3316" width="11.28515625" style="8" customWidth="1"/>
    <col min="3317" max="3560" width="9.140625" style="8"/>
    <col min="3561" max="3561" width="26" style="8" customWidth="1"/>
    <col min="3562" max="3562" width="21.140625" style="8" customWidth="1"/>
    <col min="3563" max="3563" width="11.140625" style="8" customWidth="1"/>
    <col min="3564" max="3564" width="11.28515625" style="8" customWidth="1"/>
    <col min="3565" max="3565" width="14.28515625" style="8" customWidth="1"/>
    <col min="3566" max="3566" width="16.28515625" style="8" customWidth="1"/>
    <col min="3567" max="3567" width="22.28515625" style="8" customWidth="1"/>
    <col min="3568" max="3568" width="17.42578125" style="8" customWidth="1"/>
    <col min="3569" max="3569" width="21.5703125" style="8" customWidth="1"/>
    <col min="3570" max="3570" width="14.28515625" style="8" customWidth="1"/>
    <col min="3571" max="3571" width="9.140625" style="8" customWidth="1"/>
    <col min="3572" max="3572" width="11.28515625" style="8" customWidth="1"/>
    <col min="3573" max="3816" width="9.140625" style="8"/>
    <col min="3817" max="3817" width="26" style="8" customWidth="1"/>
    <col min="3818" max="3818" width="21.140625" style="8" customWidth="1"/>
    <col min="3819" max="3819" width="11.140625" style="8" customWidth="1"/>
    <col min="3820" max="3820" width="11.28515625" style="8" customWidth="1"/>
    <col min="3821" max="3821" width="14.28515625" style="8" customWidth="1"/>
    <col min="3822" max="3822" width="16.28515625" style="8" customWidth="1"/>
    <col min="3823" max="3823" width="22.28515625" style="8" customWidth="1"/>
    <col min="3824" max="3824" width="17.42578125" style="8" customWidth="1"/>
    <col min="3825" max="3825" width="21.5703125" style="8" customWidth="1"/>
    <col min="3826" max="3826" width="14.28515625" style="8" customWidth="1"/>
    <col min="3827" max="3827" width="9.140625" style="8" customWidth="1"/>
    <col min="3828" max="3828" width="11.28515625" style="8" customWidth="1"/>
    <col min="3829" max="4072" width="9.140625" style="8"/>
    <col min="4073" max="4073" width="26" style="8" customWidth="1"/>
    <col min="4074" max="4074" width="21.140625" style="8" customWidth="1"/>
    <col min="4075" max="4075" width="11.140625" style="8" customWidth="1"/>
    <col min="4076" max="4076" width="11.28515625" style="8" customWidth="1"/>
    <col min="4077" max="4077" width="14.28515625" style="8" customWidth="1"/>
    <col min="4078" max="4078" width="16.28515625" style="8" customWidth="1"/>
    <col min="4079" max="4079" width="22.28515625" style="8" customWidth="1"/>
    <col min="4080" max="4080" width="17.42578125" style="8" customWidth="1"/>
    <col min="4081" max="4081" width="21.5703125" style="8" customWidth="1"/>
    <col min="4082" max="4082" width="14.28515625" style="8" customWidth="1"/>
    <col min="4083" max="4083" width="9.140625" style="8" customWidth="1"/>
    <col min="4084" max="4084" width="11.28515625" style="8" customWidth="1"/>
    <col min="4085" max="4328" width="9.140625" style="8"/>
    <col min="4329" max="4329" width="26" style="8" customWidth="1"/>
    <col min="4330" max="4330" width="21.140625" style="8" customWidth="1"/>
    <col min="4331" max="4331" width="11.140625" style="8" customWidth="1"/>
    <col min="4332" max="4332" width="11.28515625" style="8" customWidth="1"/>
    <col min="4333" max="4333" width="14.28515625" style="8" customWidth="1"/>
    <col min="4334" max="4334" width="16.28515625" style="8" customWidth="1"/>
    <col min="4335" max="4335" width="22.28515625" style="8" customWidth="1"/>
    <col min="4336" max="4336" width="17.42578125" style="8" customWidth="1"/>
    <col min="4337" max="4337" width="21.5703125" style="8" customWidth="1"/>
    <col min="4338" max="4338" width="14.28515625" style="8" customWidth="1"/>
    <col min="4339" max="4339" width="9.140625" style="8" customWidth="1"/>
    <col min="4340" max="4340" width="11.28515625" style="8" customWidth="1"/>
    <col min="4341" max="4584" width="9.140625" style="8"/>
    <col min="4585" max="4585" width="26" style="8" customWidth="1"/>
    <col min="4586" max="4586" width="21.140625" style="8" customWidth="1"/>
    <col min="4587" max="4587" width="11.140625" style="8" customWidth="1"/>
    <col min="4588" max="4588" width="11.28515625" style="8" customWidth="1"/>
    <col min="4589" max="4589" width="14.28515625" style="8" customWidth="1"/>
    <col min="4590" max="4590" width="16.28515625" style="8" customWidth="1"/>
    <col min="4591" max="4591" width="22.28515625" style="8" customWidth="1"/>
    <col min="4592" max="4592" width="17.42578125" style="8" customWidth="1"/>
    <col min="4593" max="4593" width="21.5703125" style="8" customWidth="1"/>
    <col min="4594" max="4594" width="14.28515625" style="8" customWidth="1"/>
    <col min="4595" max="4595" width="9.140625" style="8" customWidth="1"/>
    <col min="4596" max="4596" width="11.28515625" style="8" customWidth="1"/>
    <col min="4597" max="4840" width="9.140625" style="8"/>
    <col min="4841" max="4841" width="26" style="8" customWidth="1"/>
    <col min="4842" max="4842" width="21.140625" style="8" customWidth="1"/>
    <col min="4843" max="4843" width="11.140625" style="8" customWidth="1"/>
    <col min="4844" max="4844" width="11.28515625" style="8" customWidth="1"/>
    <col min="4845" max="4845" width="14.28515625" style="8" customWidth="1"/>
    <col min="4846" max="4846" width="16.28515625" style="8" customWidth="1"/>
    <col min="4847" max="4847" width="22.28515625" style="8" customWidth="1"/>
    <col min="4848" max="4848" width="17.42578125" style="8" customWidth="1"/>
    <col min="4849" max="4849" width="21.5703125" style="8" customWidth="1"/>
    <col min="4850" max="4850" width="14.28515625" style="8" customWidth="1"/>
    <col min="4851" max="4851" width="9.140625" style="8" customWidth="1"/>
    <col min="4852" max="4852" width="11.28515625" style="8" customWidth="1"/>
    <col min="4853" max="5096" width="9.140625" style="8"/>
    <col min="5097" max="5097" width="26" style="8" customWidth="1"/>
    <col min="5098" max="5098" width="21.140625" style="8" customWidth="1"/>
    <col min="5099" max="5099" width="11.140625" style="8" customWidth="1"/>
    <col min="5100" max="5100" width="11.28515625" style="8" customWidth="1"/>
    <col min="5101" max="5101" width="14.28515625" style="8" customWidth="1"/>
    <col min="5102" max="5102" width="16.28515625" style="8" customWidth="1"/>
    <col min="5103" max="5103" width="22.28515625" style="8" customWidth="1"/>
    <col min="5104" max="5104" width="17.42578125" style="8" customWidth="1"/>
    <col min="5105" max="5105" width="21.5703125" style="8" customWidth="1"/>
    <col min="5106" max="5106" width="14.28515625" style="8" customWidth="1"/>
    <col min="5107" max="5107" width="9.140625" style="8" customWidth="1"/>
    <col min="5108" max="5108" width="11.28515625" style="8" customWidth="1"/>
    <col min="5109" max="5352" width="9.140625" style="8"/>
    <col min="5353" max="5353" width="26" style="8" customWidth="1"/>
    <col min="5354" max="5354" width="21.140625" style="8" customWidth="1"/>
    <col min="5355" max="5355" width="11.140625" style="8" customWidth="1"/>
    <col min="5356" max="5356" width="11.28515625" style="8" customWidth="1"/>
    <col min="5357" max="5357" width="14.28515625" style="8" customWidth="1"/>
    <col min="5358" max="5358" width="16.28515625" style="8" customWidth="1"/>
    <col min="5359" max="5359" width="22.28515625" style="8" customWidth="1"/>
    <col min="5360" max="5360" width="17.42578125" style="8" customWidth="1"/>
    <col min="5361" max="5361" width="21.5703125" style="8" customWidth="1"/>
    <col min="5362" max="5362" width="14.28515625" style="8" customWidth="1"/>
    <col min="5363" max="5363" width="9.140625" style="8" customWidth="1"/>
    <col min="5364" max="5364" width="11.28515625" style="8" customWidth="1"/>
    <col min="5365" max="5608" width="9.140625" style="8"/>
    <col min="5609" max="5609" width="26" style="8" customWidth="1"/>
    <col min="5610" max="5610" width="21.140625" style="8" customWidth="1"/>
    <col min="5611" max="5611" width="11.140625" style="8" customWidth="1"/>
    <col min="5612" max="5612" width="11.28515625" style="8" customWidth="1"/>
    <col min="5613" max="5613" width="14.28515625" style="8" customWidth="1"/>
    <col min="5614" max="5614" width="16.28515625" style="8" customWidth="1"/>
    <col min="5615" max="5615" width="22.28515625" style="8" customWidth="1"/>
    <col min="5616" max="5616" width="17.42578125" style="8" customWidth="1"/>
    <col min="5617" max="5617" width="21.5703125" style="8" customWidth="1"/>
    <col min="5618" max="5618" width="14.28515625" style="8" customWidth="1"/>
    <col min="5619" max="5619" width="9.140625" style="8" customWidth="1"/>
    <col min="5620" max="5620" width="11.28515625" style="8" customWidth="1"/>
    <col min="5621" max="5864" width="9.140625" style="8"/>
    <col min="5865" max="5865" width="26" style="8" customWidth="1"/>
    <col min="5866" max="5866" width="21.140625" style="8" customWidth="1"/>
    <col min="5867" max="5867" width="11.140625" style="8" customWidth="1"/>
    <col min="5868" max="5868" width="11.28515625" style="8" customWidth="1"/>
    <col min="5869" max="5869" width="14.28515625" style="8" customWidth="1"/>
    <col min="5870" max="5870" width="16.28515625" style="8" customWidth="1"/>
    <col min="5871" max="5871" width="22.28515625" style="8" customWidth="1"/>
    <col min="5872" max="5872" width="17.42578125" style="8" customWidth="1"/>
    <col min="5873" max="5873" width="21.5703125" style="8" customWidth="1"/>
    <col min="5874" max="5874" width="14.28515625" style="8" customWidth="1"/>
    <col min="5875" max="5875" width="9.140625" style="8" customWidth="1"/>
    <col min="5876" max="5876" width="11.28515625" style="8" customWidth="1"/>
    <col min="5877" max="6120" width="9.140625" style="8"/>
    <col min="6121" max="6121" width="26" style="8" customWidth="1"/>
    <col min="6122" max="6122" width="21.140625" style="8" customWidth="1"/>
    <col min="6123" max="6123" width="11.140625" style="8" customWidth="1"/>
    <col min="6124" max="6124" width="11.28515625" style="8" customWidth="1"/>
    <col min="6125" max="6125" width="14.28515625" style="8" customWidth="1"/>
    <col min="6126" max="6126" width="16.28515625" style="8" customWidth="1"/>
    <col min="6127" max="6127" width="22.28515625" style="8" customWidth="1"/>
    <col min="6128" max="6128" width="17.42578125" style="8" customWidth="1"/>
    <col min="6129" max="6129" width="21.5703125" style="8" customWidth="1"/>
    <col min="6130" max="6130" width="14.28515625" style="8" customWidth="1"/>
    <col min="6131" max="6131" width="9.140625" style="8" customWidth="1"/>
    <col min="6132" max="6132" width="11.28515625" style="8" customWidth="1"/>
    <col min="6133" max="6376" width="9.140625" style="8"/>
    <col min="6377" max="6377" width="26" style="8" customWidth="1"/>
    <col min="6378" max="6378" width="21.140625" style="8" customWidth="1"/>
    <col min="6379" max="6379" width="11.140625" style="8" customWidth="1"/>
    <col min="6380" max="6380" width="11.28515625" style="8" customWidth="1"/>
    <col min="6381" max="6381" width="14.28515625" style="8" customWidth="1"/>
    <col min="6382" max="6382" width="16.28515625" style="8" customWidth="1"/>
    <col min="6383" max="6383" width="22.28515625" style="8" customWidth="1"/>
    <col min="6384" max="6384" width="17.42578125" style="8" customWidth="1"/>
    <col min="6385" max="6385" width="21.5703125" style="8" customWidth="1"/>
    <col min="6386" max="6386" width="14.28515625" style="8" customWidth="1"/>
    <col min="6387" max="6387" width="9.140625" style="8" customWidth="1"/>
    <col min="6388" max="6388" width="11.28515625" style="8" customWidth="1"/>
    <col min="6389" max="6632" width="9.140625" style="8"/>
    <col min="6633" max="6633" width="26" style="8" customWidth="1"/>
    <col min="6634" max="6634" width="21.140625" style="8" customWidth="1"/>
    <col min="6635" max="6635" width="11.140625" style="8" customWidth="1"/>
    <col min="6636" max="6636" width="11.28515625" style="8" customWidth="1"/>
    <col min="6637" max="6637" width="14.28515625" style="8" customWidth="1"/>
    <col min="6638" max="6638" width="16.28515625" style="8" customWidth="1"/>
    <col min="6639" max="6639" width="22.28515625" style="8" customWidth="1"/>
    <col min="6640" max="6640" width="17.42578125" style="8" customWidth="1"/>
    <col min="6641" max="6641" width="21.5703125" style="8" customWidth="1"/>
    <col min="6642" max="6642" width="14.28515625" style="8" customWidth="1"/>
    <col min="6643" max="6643" width="9.140625" style="8" customWidth="1"/>
    <col min="6644" max="6644" width="11.28515625" style="8" customWidth="1"/>
    <col min="6645" max="6888" width="9.140625" style="8"/>
    <col min="6889" max="6889" width="26" style="8" customWidth="1"/>
    <col min="6890" max="6890" width="21.140625" style="8" customWidth="1"/>
    <col min="6891" max="6891" width="11.140625" style="8" customWidth="1"/>
    <col min="6892" max="6892" width="11.28515625" style="8" customWidth="1"/>
    <col min="6893" max="6893" width="14.28515625" style="8" customWidth="1"/>
    <col min="6894" max="6894" width="16.28515625" style="8" customWidth="1"/>
    <col min="6895" max="6895" width="22.28515625" style="8" customWidth="1"/>
    <col min="6896" max="6896" width="17.42578125" style="8" customWidth="1"/>
    <col min="6897" max="6897" width="21.5703125" style="8" customWidth="1"/>
    <col min="6898" max="6898" width="14.28515625" style="8" customWidth="1"/>
    <col min="6899" max="6899" width="9.140625" style="8" customWidth="1"/>
    <col min="6900" max="6900" width="11.28515625" style="8" customWidth="1"/>
    <col min="6901" max="7144" width="9.140625" style="8"/>
    <col min="7145" max="7145" width="26" style="8" customWidth="1"/>
    <col min="7146" max="7146" width="21.140625" style="8" customWidth="1"/>
    <col min="7147" max="7147" width="11.140625" style="8" customWidth="1"/>
    <col min="7148" max="7148" width="11.28515625" style="8" customWidth="1"/>
    <col min="7149" max="7149" width="14.28515625" style="8" customWidth="1"/>
    <col min="7150" max="7150" width="16.28515625" style="8" customWidth="1"/>
    <col min="7151" max="7151" width="22.28515625" style="8" customWidth="1"/>
    <col min="7152" max="7152" width="17.42578125" style="8" customWidth="1"/>
    <col min="7153" max="7153" width="21.5703125" style="8" customWidth="1"/>
    <col min="7154" max="7154" width="14.28515625" style="8" customWidth="1"/>
    <col min="7155" max="7155" width="9.140625" style="8" customWidth="1"/>
    <col min="7156" max="7156" width="11.28515625" style="8" customWidth="1"/>
    <col min="7157" max="7400" width="9.140625" style="8"/>
    <col min="7401" max="7401" width="26" style="8" customWidth="1"/>
    <col min="7402" max="7402" width="21.140625" style="8" customWidth="1"/>
    <col min="7403" max="7403" width="11.140625" style="8" customWidth="1"/>
    <col min="7404" max="7404" width="11.28515625" style="8" customWidth="1"/>
    <col min="7405" max="7405" width="14.28515625" style="8" customWidth="1"/>
    <col min="7406" max="7406" width="16.28515625" style="8" customWidth="1"/>
    <col min="7407" max="7407" width="22.28515625" style="8" customWidth="1"/>
    <col min="7408" max="7408" width="17.42578125" style="8" customWidth="1"/>
    <col min="7409" max="7409" width="21.5703125" style="8" customWidth="1"/>
    <col min="7410" max="7410" width="14.28515625" style="8" customWidth="1"/>
    <col min="7411" max="7411" width="9.140625" style="8" customWidth="1"/>
    <col min="7412" max="7412" width="11.28515625" style="8" customWidth="1"/>
    <col min="7413" max="7656" width="9.140625" style="8"/>
    <col min="7657" max="7657" width="26" style="8" customWidth="1"/>
    <col min="7658" max="7658" width="21.140625" style="8" customWidth="1"/>
    <col min="7659" max="7659" width="11.140625" style="8" customWidth="1"/>
    <col min="7660" max="7660" width="11.28515625" style="8" customWidth="1"/>
    <col min="7661" max="7661" width="14.28515625" style="8" customWidth="1"/>
    <col min="7662" max="7662" width="16.28515625" style="8" customWidth="1"/>
    <col min="7663" max="7663" width="22.28515625" style="8" customWidth="1"/>
    <col min="7664" max="7664" width="17.42578125" style="8" customWidth="1"/>
    <col min="7665" max="7665" width="21.5703125" style="8" customWidth="1"/>
    <col min="7666" max="7666" width="14.28515625" style="8" customWidth="1"/>
    <col min="7667" max="7667" width="9.140625" style="8" customWidth="1"/>
    <col min="7668" max="7668" width="11.28515625" style="8" customWidth="1"/>
    <col min="7669" max="7912" width="9.140625" style="8"/>
    <col min="7913" max="7913" width="26" style="8" customWidth="1"/>
    <col min="7914" max="7914" width="21.140625" style="8" customWidth="1"/>
    <col min="7915" max="7915" width="11.140625" style="8" customWidth="1"/>
    <col min="7916" max="7916" width="11.28515625" style="8" customWidth="1"/>
    <col min="7917" max="7917" width="14.28515625" style="8" customWidth="1"/>
    <col min="7918" max="7918" width="16.28515625" style="8" customWidth="1"/>
    <col min="7919" max="7919" width="22.28515625" style="8" customWidth="1"/>
    <col min="7920" max="7920" width="17.42578125" style="8" customWidth="1"/>
    <col min="7921" max="7921" width="21.5703125" style="8" customWidth="1"/>
    <col min="7922" max="7922" width="14.28515625" style="8" customWidth="1"/>
    <col min="7923" max="7923" width="9.140625" style="8" customWidth="1"/>
    <col min="7924" max="7924" width="11.28515625" style="8" customWidth="1"/>
    <col min="7925" max="8168" width="9.140625" style="8"/>
    <col min="8169" max="8169" width="26" style="8" customWidth="1"/>
    <col min="8170" max="8170" width="21.140625" style="8" customWidth="1"/>
    <col min="8171" max="8171" width="11.140625" style="8" customWidth="1"/>
    <col min="8172" max="8172" width="11.28515625" style="8" customWidth="1"/>
    <col min="8173" max="8173" width="14.28515625" style="8" customWidth="1"/>
    <col min="8174" max="8174" width="16.28515625" style="8" customWidth="1"/>
    <col min="8175" max="8175" width="22.28515625" style="8" customWidth="1"/>
    <col min="8176" max="8176" width="17.42578125" style="8" customWidth="1"/>
    <col min="8177" max="8177" width="21.5703125" style="8" customWidth="1"/>
    <col min="8178" max="8178" width="14.28515625" style="8" customWidth="1"/>
    <col min="8179" max="8179" width="9.140625" style="8" customWidth="1"/>
    <col min="8180" max="8180" width="11.28515625" style="8" customWidth="1"/>
    <col min="8181" max="8424" width="9.140625" style="8"/>
    <col min="8425" max="8425" width="26" style="8" customWidth="1"/>
    <col min="8426" max="8426" width="21.140625" style="8" customWidth="1"/>
    <col min="8427" max="8427" width="11.140625" style="8" customWidth="1"/>
    <col min="8428" max="8428" width="11.28515625" style="8" customWidth="1"/>
    <col min="8429" max="8429" width="14.28515625" style="8" customWidth="1"/>
    <col min="8430" max="8430" width="16.28515625" style="8" customWidth="1"/>
    <col min="8431" max="8431" width="22.28515625" style="8" customWidth="1"/>
    <col min="8432" max="8432" width="17.42578125" style="8" customWidth="1"/>
    <col min="8433" max="8433" width="21.5703125" style="8" customWidth="1"/>
    <col min="8434" max="8434" width="14.28515625" style="8" customWidth="1"/>
    <col min="8435" max="8435" width="9.140625" style="8" customWidth="1"/>
    <col min="8436" max="8436" width="11.28515625" style="8" customWidth="1"/>
    <col min="8437" max="8680" width="9.140625" style="8"/>
    <col min="8681" max="8681" width="26" style="8" customWidth="1"/>
    <col min="8682" max="8682" width="21.140625" style="8" customWidth="1"/>
    <col min="8683" max="8683" width="11.140625" style="8" customWidth="1"/>
    <col min="8684" max="8684" width="11.28515625" style="8" customWidth="1"/>
    <col min="8685" max="8685" width="14.28515625" style="8" customWidth="1"/>
    <col min="8686" max="8686" width="16.28515625" style="8" customWidth="1"/>
    <col min="8687" max="8687" width="22.28515625" style="8" customWidth="1"/>
    <col min="8688" max="8688" width="17.42578125" style="8" customWidth="1"/>
    <col min="8689" max="8689" width="21.5703125" style="8" customWidth="1"/>
    <col min="8690" max="8690" width="14.28515625" style="8" customWidth="1"/>
    <col min="8691" max="8691" width="9.140625" style="8" customWidth="1"/>
    <col min="8692" max="8692" width="11.28515625" style="8" customWidth="1"/>
    <col min="8693" max="8936" width="9.140625" style="8"/>
    <col min="8937" max="8937" width="26" style="8" customWidth="1"/>
    <col min="8938" max="8938" width="21.140625" style="8" customWidth="1"/>
    <col min="8939" max="8939" width="11.140625" style="8" customWidth="1"/>
    <col min="8940" max="8940" width="11.28515625" style="8" customWidth="1"/>
    <col min="8941" max="8941" width="14.28515625" style="8" customWidth="1"/>
    <col min="8942" max="8942" width="16.28515625" style="8" customWidth="1"/>
    <col min="8943" max="8943" width="22.28515625" style="8" customWidth="1"/>
    <col min="8944" max="8944" width="17.42578125" style="8" customWidth="1"/>
    <col min="8945" max="8945" width="21.5703125" style="8" customWidth="1"/>
    <col min="8946" max="8946" width="14.28515625" style="8" customWidth="1"/>
    <col min="8947" max="8947" width="9.140625" style="8" customWidth="1"/>
    <col min="8948" max="8948" width="11.28515625" style="8" customWidth="1"/>
    <col min="8949" max="9192" width="9.140625" style="8"/>
    <col min="9193" max="9193" width="26" style="8" customWidth="1"/>
    <col min="9194" max="9194" width="21.140625" style="8" customWidth="1"/>
    <col min="9195" max="9195" width="11.140625" style="8" customWidth="1"/>
    <col min="9196" max="9196" width="11.28515625" style="8" customWidth="1"/>
    <col min="9197" max="9197" width="14.28515625" style="8" customWidth="1"/>
    <col min="9198" max="9198" width="16.28515625" style="8" customWidth="1"/>
    <col min="9199" max="9199" width="22.28515625" style="8" customWidth="1"/>
    <col min="9200" max="9200" width="17.42578125" style="8" customWidth="1"/>
    <col min="9201" max="9201" width="21.5703125" style="8" customWidth="1"/>
    <col min="9202" max="9202" width="14.28515625" style="8" customWidth="1"/>
    <col min="9203" max="9203" width="9.140625" style="8" customWidth="1"/>
    <col min="9204" max="9204" width="11.28515625" style="8" customWidth="1"/>
    <col min="9205" max="9448" width="9.140625" style="8"/>
    <col min="9449" max="9449" width="26" style="8" customWidth="1"/>
    <col min="9450" max="9450" width="21.140625" style="8" customWidth="1"/>
    <col min="9451" max="9451" width="11.140625" style="8" customWidth="1"/>
    <col min="9452" max="9452" width="11.28515625" style="8" customWidth="1"/>
    <col min="9453" max="9453" width="14.28515625" style="8" customWidth="1"/>
    <col min="9454" max="9454" width="16.28515625" style="8" customWidth="1"/>
    <col min="9455" max="9455" width="22.28515625" style="8" customWidth="1"/>
    <col min="9456" max="9456" width="17.42578125" style="8" customWidth="1"/>
    <col min="9457" max="9457" width="21.5703125" style="8" customWidth="1"/>
    <col min="9458" max="9458" width="14.28515625" style="8" customWidth="1"/>
    <col min="9459" max="9459" width="9.140625" style="8" customWidth="1"/>
    <col min="9460" max="9460" width="11.28515625" style="8" customWidth="1"/>
    <col min="9461" max="9704" width="9.140625" style="8"/>
    <col min="9705" max="9705" width="26" style="8" customWidth="1"/>
    <col min="9706" max="9706" width="21.140625" style="8" customWidth="1"/>
    <col min="9707" max="9707" width="11.140625" style="8" customWidth="1"/>
    <col min="9708" max="9708" width="11.28515625" style="8" customWidth="1"/>
    <col min="9709" max="9709" width="14.28515625" style="8" customWidth="1"/>
    <col min="9710" max="9710" width="16.28515625" style="8" customWidth="1"/>
    <col min="9711" max="9711" width="22.28515625" style="8" customWidth="1"/>
    <col min="9712" max="9712" width="17.42578125" style="8" customWidth="1"/>
    <col min="9713" max="9713" width="21.5703125" style="8" customWidth="1"/>
    <col min="9714" max="9714" width="14.28515625" style="8" customWidth="1"/>
    <col min="9715" max="9715" width="9.140625" style="8" customWidth="1"/>
    <col min="9716" max="9716" width="11.28515625" style="8" customWidth="1"/>
    <col min="9717" max="9960" width="9.140625" style="8"/>
    <col min="9961" max="9961" width="26" style="8" customWidth="1"/>
    <col min="9962" max="9962" width="21.140625" style="8" customWidth="1"/>
    <col min="9963" max="9963" width="11.140625" style="8" customWidth="1"/>
    <col min="9964" max="9964" width="11.28515625" style="8" customWidth="1"/>
    <col min="9965" max="9965" width="14.28515625" style="8" customWidth="1"/>
    <col min="9966" max="9966" width="16.28515625" style="8" customWidth="1"/>
    <col min="9967" max="9967" width="22.28515625" style="8" customWidth="1"/>
    <col min="9968" max="9968" width="17.42578125" style="8" customWidth="1"/>
    <col min="9969" max="9969" width="21.5703125" style="8" customWidth="1"/>
    <col min="9970" max="9970" width="14.28515625" style="8" customWidth="1"/>
    <col min="9971" max="9971" width="9.140625" style="8" customWidth="1"/>
    <col min="9972" max="9972" width="11.28515625" style="8" customWidth="1"/>
    <col min="9973" max="10216" width="9.140625" style="8"/>
    <col min="10217" max="10217" width="26" style="8" customWidth="1"/>
    <col min="10218" max="10218" width="21.140625" style="8" customWidth="1"/>
    <col min="10219" max="10219" width="11.140625" style="8" customWidth="1"/>
    <col min="10220" max="10220" width="11.28515625" style="8" customWidth="1"/>
    <col min="10221" max="10221" width="14.28515625" style="8" customWidth="1"/>
    <col min="10222" max="10222" width="16.28515625" style="8" customWidth="1"/>
    <col min="10223" max="10223" width="22.28515625" style="8" customWidth="1"/>
    <col min="10224" max="10224" width="17.42578125" style="8" customWidth="1"/>
    <col min="10225" max="10225" width="21.5703125" style="8" customWidth="1"/>
    <col min="10226" max="10226" width="14.28515625" style="8" customWidth="1"/>
    <col min="10227" max="10227" width="9.140625" style="8" customWidth="1"/>
    <col min="10228" max="10228" width="11.28515625" style="8" customWidth="1"/>
    <col min="10229" max="10472" width="9.140625" style="8"/>
    <col min="10473" max="10473" width="26" style="8" customWidth="1"/>
    <col min="10474" max="10474" width="21.140625" style="8" customWidth="1"/>
    <col min="10475" max="10475" width="11.140625" style="8" customWidth="1"/>
    <col min="10476" max="10476" width="11.28515625" style="8" customWidth="1"/>
    <col min="10477" max="10477" width="14.28515625" style="8" customWidth="1"/>
    <col min="10478" max="10478" width="16.28515625" style="8" customWidth="1"/>
    <col min="10479" max="10479" width="22.28515625" style="8" customWidth="1"/>
    <col min="10480" max="10480" width="17.42578125" style="8" customWidth="1"/>
    <col min="10481" max="10481" width="21.5703125" style="8" customWidth="1"/>
    <col min="10482" max="10482" width="14.28515625" style="8" customWidth="1"/>
    <col min="10483" max="10483" width="9.140625" style="8" customWidth="1"/>
    <col min="10484" max="10484" width="11.28515625" style="8" customWidth="1"/>
    <col min="10485" max="10728" width="9.140625" style="8"/>
    <col min="10729" max="10729" width="26" style="8" customWidth="1"/>
    <col min="10730" max="10730" width="21.140625" style="8" customWidth="1"/>
    <col min="10731" max="10731" width="11.140625" style="8" customWidth="1"/>
    <col min="10732" max="10732" width="11.28515625" style="8" customWidth="1"/>
    <col min="10733" max="10733" width="14.28515625" style="8" customWidth="1"/>
    <col min="10734" max="10734" width="16.28515625" style="8" customWidth="1"/>
    <col min="10735" max="10735" width="22.28515625" style="8" customWidth="1"/>
    <col min="10736" max="10736" width="17.42578125" style="8" customWidth="1"/>
    <col min="10737" max="10737" width="21.5703125" style="8" customWidth="1"/>
    <col min="10738" max="10738" width="14.28515625" style="8" customWidth="1"/>
    <col min="10739" max="10739" width="9.140625" style="8" customWidth="1"/>
    <col min="10740" max="10740" width="11.28515625" style="8" customWidth="1"/>
    <col min="10741" max="10984" width="9.140625" style="8"/>
    <col min="10985" max="10985" width="26" style="8" customWidth="1"/>
    <col min="10986" max="10986" width="21.140625" style="8" customWidth="1"/>
    <col min="10987" max="10987" width="11.140625" style="8" customWidth="1"/>
    <col min="10988" max="10988" width="11.28515625" style="8" customWidth="1"/>
    <col min="10989" max="10989" width="14.28515625" style="8" customWidth="1"/>
    <col min="10990" max="10990" width="16.28515625" style="8" customWidth="1"/>
    <col min="10991" max="10991" width="22.28515625" style="8" customWidth="1"/>
    <col min="10992" max="10992" width="17.42578125" style="8" customWidth="1"/>
    <col min="10993" max="10993" width="21.5703125" style="8" customWidth="1"/>
    <col min="10994" max="10994" width="14.28515625" style="8" customWidth="1"/>
    <col min="10995" max="10995" width="9.140625" style="8" customWidth="1"/>
    <col min="10996" max="10996" width="11.28515625" style="8" customWidth="1"/>
    <col min="10997" max="11240" width="9.140625" style="8"/>
    <col min="11241" max="11241" width="26" style="8" customWidth="1"/>
    <col min="11242" max="11242" width="21.140625" style="8" customWidth="1"/>
    <col min="11243" max="11243" width="11.140625" style="8" customWidth="1"/>
    <col min="11244" max="11244" width="11.28515625" style="8" customWidth="1"/>
    <col min="11245" max="11245" width="14.28515625" style="8" customWidth="1"/>
    <col min="11246" max="11246" width="16.28515625" style="8" customWidth="1"/>
    <col min="11247" max="11247" width="22.28515625" style="8" customWidth="1"/>
    <col min="11248" max="11248" width="17.42578125" style="8" customWidth="1"/>
    <col min="11249" max="11249" width="21.5703125" style="8" customWidth="1"/>
    <col min="11250" max="11250" width="14.28515625" style="8" customWidth="1"/>
    <col min="11251" max="11251" width="9.140625" style="8" customWidth="1"/>
    <col min="11252" max="11252" width="11.28515625" style="8" customWidth="1"/>
    <col min="11253" max="11496" width="9.140625" style="8"/>
    <col min="11497" max="11497" width="26" style="8" customWidth="1"/>
    <col min="11498" max="11498" width="21.140625" style="8" customWidth="1"/>
    <col min="11499" max="11499" width="11.140625" style="8" customWidth="1"/>
    <col min="11500" max="11500" width="11.28515625" style="8" customWidth="1"/>
    <col min="11501" max="11501" width="14.28515625" style="8" customWidth="1"/>
    <col min="11502" max="11502" width="16.28515625" style="8" customWidth="1"/>
    <col min="11503" max="11503" width="22.28515625" style="8" customWidth="1"/>
    <col min="11504" max="11504" width="17.42578125" style="8" customWidth="1"/>
    <col min="11505" max="11505" width="21.5703125" style="8" customWidth="1"/>
    <col min="11506" max="11506" width="14.28515625" style="8" customWidth="1"/>
    <col min="11507" max="11507" width="9.140625" style="8" customWidth="1"/>
    <col min="11508" max="11508" width="11.28515625" style="8" customWidth="1"/>
    <col min="11509" max="11752" width="9.140625" style="8"/>
    <col min="11753" max="11753" width="26" style="8" customWidth="1"/>
    <col min="11754" max="11754" width="21.140625" style="8" customWidth="1"/>
    <col min="11755" max="11755" width="11.140625" style="8" customWidth="1"/>
    <col min="11756" max="11756" width="11.28515625" style="8" customWidth="1"/>
    <col min="11757" max="11757" width="14.28515625" style="8" customWidth="1"/>
    <col min="11758" max="11758" width="16.28515625" style="8" customWidth="1"/>
    <col min="11759" max="11759" width="22.28515625" style="8" customWidth="1"/>
    <col min="11760" max="11760" width="17.42578125" style="8" customWidth="1"/>
    <col min="11761" max="11761" width="21.5703125" style="8" customWidth="1"/>
    <col min="11762" max="11762" width="14.28515625" style="8" customWidth="1"/>
    <col min="11763" max="11763" width="9.140625" style="8" customWidth="1"/>
    <col min="11764" max="11764" width="11.28515625" style="8" customWidth="1"/>
    <col min="11765" max="12008" width="9.140625" style="8"/>
    <col min="12009" max="12009" width="26" style="8" customWidth="1"/>
    <col min="12010" max="12010" width="21.140625" style="8" customWidth="1"/>
    <col min="12011" max="12011" width="11.140625" style="8" customWidth="1"/>
    <col min="12012" max="12012" width="11.28515625" style="8" customWidth="1"/>
    <col min="12013" max="12013" width="14.28515625" style="8" customWidth="1"/>
    <col min="12014" max="12014" width="16.28515625" style="8" customWidth="1"/>
    <col min="12015" max="12015" width="22.28515625" style="8" customWidth="1"/>
    <col min="12016" max="12016" width="17.42578125" style="8" customWidth="1"/>
    <col min="12017" max="12017" width="21.5703125" style="8" customWidth="1"/>
    <col min="12018" max="12018" width="14.28515625" style="8" customWidth="1"/>
    <col min="12019" max="12019" width="9.140625" style="8" customWidth="1"/>
    <col min="12020" max="12020" width="11.28515625" style="8" customWidth="1"/>
    <col min="12021" max="12264" width="9.140625" style="8"/>
    <col min="12265" max="12265" width="26" style="8" customWidth="1"/>
    <col min="12266" max="12266" width="21.140625" style="8" customWidth="1"/>
    <col min="12267" max="12267" width="11.140625" style="8" customWidth="1"/>
    <col min="12268" max="12268" width="11.28515625" style="8" customWidth="1"/>
    <col min="12269" max="12269" width="14.28515625" style="8" customWidth="1"/>
    <col min="12270" max="12270" width="16.28515625" style="8" customWidth="1"/>
    <col min="12271" max="12271" width="22.28515625" style="8" customWidth="1"/>
    <col min="12272" max="12272" width="17.42578125" style="8" customWidth="1"/>
    <col min="12273" max="12273" width="21.5703125" style="8" customWidth="1"/>
    <col min="12274" max="12274" width="14.28515625" style="8" customWidth="1"/>
    <col min="12275" max="12275" width="9.140625" style="8" customWidth="1"/>
    <col min="12276" max="12276" width="11.28515625" style="8" customWidth="1"/>
    <col min="12277" max="12520" width="9.140625" style="8"/>
    <col min="12521" max="12521" width="26" style="8" customWidth="1"/>
    <col min="12522" max="12522" width="21.140625" style="8" customWidth="1"/>
    <col min="12523" max="12523" width="11.140625" style="8" customWidth="1"/>
    <col min="12524" max="12524" width="11.28515625" style="8" customWidth="1"/>
    <col min="12525" max="12525" width="14.28515625" style="8" customWidth="1"/>
    <col min="12526" max="12526" width="16.28515625" style="8" customWidth="1"/>
    <col min="12527" max="12527" width="22.28515625" style="8" customWidth="1"/>
    <col min="12528" max="12528" width="17.42578125" style="8" customWidth="1"/>
    <col min="12529" max="12529" width="21.5703125" style="8" customWidth="1"/>
    <col min="12530" max="12530" width="14.28515625" style="8" customWidth="1"/>
    <col min="12531" max="12531" width="9.140625" style="8" customWidth="1"/>
    <col min="12532" max="12532" width="11.28515625" style="8" customWidth="1"/>
    <col min="12533" max="12776" width="9.140625" style="8"/>
    <col min="12777" max="12777" width="26" style="8" customWidth="1"/>
    <col min="12778" max="12778" width="21.140625" style="8" customWidth="1"/>
    <col min="12779" max="12779" width="11.140625" style="8" customWidth="1"/>
    <col min="12780" max="12780" width="11.28515625" style="8" customWidth="1"/>
    <col min="12781" max="12781" width="14.28515625" style="8" customWidth="1"/>
    <col min="12782" max="12782" width="16.28515625" style="8" customWidth="1"/>
    <col min="12783" max="12783" width="22.28515625" style="8" customWidth="1"/>
    <col min="12784" max="12784" width="17.42578125" style="8" customWidth="1"/>
    <col min="12785" max="12785" width="21.5703125" style="8" customWidth="1"/>
    <col min="12786" max="12786" width="14.28515625" style="8" customWidth="1"/>
    <col min="12787" max="12787" width="9.140625" style="8" customWidth="1"/>
    <col min="12788" max="12788" width="11.28515625" style="8" customWidth="1"/>
    <col min="12789" max="13032" width="9.140625" style="8"/>
    <col min="13033" max="13033" width="26" style="8" customWidth="1"/>
    <col min="13034" max="13034" width="21.140625" style="8" customWidth="1"/>
    <col min="13035" max="13035" width="11.140625" style="8" customWidth="1"/>
    <col min="13036" max="13036" width="11.28515625" style="8" customWidth="1"/>
    <col min="13037" max="13037" width="14.28515625" style="8" customWidth="1"/>
    <col min="13038" max="13038" width="16.28515625" style="8" customWidth="1"/>
    <col min="13039" max="13039" width="22.28515625" style="8" customWidth="1"/>
    <col min="13040" max="13040" width="17.42578125" style="8" customWidth="1"/>
    <col min="13041" max="13041" width="21.5703125" style="8" customWidth="1"/>
    <col min="13042" max="13042" width="14.28515625" style="8" customWidth="1"/>
    <col min="13043" max="13043" width="9.140625" style="8" customWidth="1"/>
    <col min="13044" max="13044" width="11.28515625" style="8" customWidth="1"/>
    <col min="13045" max="13288" width="9.140625" style="8"/>
    <col min="13289" max="13289" width="26" style="8" customWidth="1"/>
    <col min="13290" max="13290" width="21.140625" style="8" customWidth="1"/>
    <col min="13291" max="13291" width="11.140625" style="8" customWidth="1"/>
    <col min="13292" max="13292" width="11.28515625" style="8" customWidth="1"/>
    <col min="13293" max="13293" width="14.28515625" style="8" customWidth="1"/>
    <col min="13294" max="13294" width="16.28515625" style="8" customWidth="1"/>
    <col min="13295" max="13295" width="22.28515625" style="8" customWidth="1"/>
    <col min="13296" max="13296" width="17.42578125" style="8" customWidth="1"/>
    <col min="13297" max="13297" width="21.5703125" style="8" customWidth="1"/>
    <col min="13298" max="13298" width="14.28515625" style="8" customWidth="1"/>
    <col min="13299" max="13299" width="9.140625" style="8" customWidth="1"/>
    <col min="13300" max="13300" width="11.28515625" style="8" customWidth="1"/>
    <col min="13301" max="13544" width="9.140625" style="8"/>
    <col min="13545" max="13545" width="26" style="8" customWidth="1"/>
    <col min="13546" max="13546" width="21.140625" style="8" customWidth="1"/>
    <col min="13547" max="13547" width="11.140625" style="8" customWidth="1"/>
    <col min="13548" max="13548" width="11.28515625" style="8" customWidth="1"/>
    <col min="13549" max="13549" width="14.28515625" style="8" customWidth="1"/>
    <col min="13550" max="13550" width="16.28515625" style="8" customWidth="1"/>
    <col min="13551" max="13551" width="22.28515625" style="8" customWidth="1"/>
    <col min="13552" max="13552" width="17.42578125" style="8" customWidth="1"/>
    <col min="13553" max="13553" width="21.5703125" style="8" customWidth="1"/>
    <col min="13554" max="13554" width="14.28515625" style="8" customWidth="1"/>
    <col min="13555" max="13555" width="9.140625" style="8" customWidth="1"/>
    <col min="13556" max="13556" width="11.28515625" style="8" customWidth="1"/>
    <col min="13557" max="13800" width="9.140625" style="8"/>
    <col min="13801" max="13801" width="26" style="8" customWidth="1"/>
    <col min="13802" max="13802" width="21.140625" style="8" customWidth="1"/>
    <col min="13803" max="13803" width="11.140625" style="8" customWidth="1"/>
    <col min="13804" max="13804" width="11.28515625" style="8" customWidth="1"/>
    <col min="13805" max="13805" width="14.28515625" style="8" customWidth="1"/>
    <col min="13806" max="13806" width="16.28515625" style="8" customWidth="1"/>
    <col min="13807" max="13807" width="22.28515625" style="8" customWidth="1"/>
    <col min="13808" max="13808" width="17.42578125" style="8" customWidth="1"/>
    <col min="13809" max="13809" width="21.5703125" style="8" customWidth="1"/>
    <col min="13810" max="13810" width="14.28515625" style="8" customWidth="1"/>
    <col min="13811" max="13811" width="9.140625" style="8" customWidth="1"/>
    <col min="13812" max="13812" width="11.28515625" style="8" customWidth="1"/>
    <col min="13813" max="14056" width="9.140625" style="8"/>
    <col min="14057" max="14057" width="26" style="8" customWidth="1"/>
    <col min="14058" max="14058" width="21.140625" style="8" customWidth="1"/>
    <col min="14059" max="14059" width="11.140625" style="8" customWidth="1"/>
    <col min="14060" max="14060" width="11.28515625" style="8" customWidth="1"/>
    <col min="14061" max="14061" width="14.28515625" style="8" customWidth="1"/>
    <col min="14062" max="14062" width="16.28515625" style="8" customWidth="1"/>
    <col min="14063" max="14063" width="22.28515625" style="8" customWidth="1"/>
    <col min="14064" max="14064" width="17.42578125" style="8" customWidth="1"/>
    <col min="14065" max="14065" width="21.5703125" style="8" customWidth="1"/>
    <col min="14066" max="14066" width="14.28515625" style="8" customWidth="1"/>
    <col min="14067" max="14067" width="9.140625" style="8" customWidth="1"/>
    <col min="14068" max="14068" width="11.28515625" style="8" customWidth="1"/>
    <col min="14069" max="14312" width="9.140625" style="8"/>
    <col min="14313" max="14313" width="26" style="8" customWidth="1"/>
    <col min="14314" max="14314" width="21.140625" style="8" customWidth="1"/>
    <col min="14315" max="14315" width="11.140625" style="8" customWidth="1"/>
    <col min="14316" max="14316" width="11.28515625" style="8" customWidth="1"/>
    <col min="14317" max="14317" width="14.28515625" style="8" customWidth="1"/>
    <col min="14318" max="14318" width="16.28515625" style="8" customWidth="1"/>
    <col min="14319" max="14319" width="22.28515625" style="8" customWidth="1"/>
    <col min="14320" max="14320" width="17.42578125" style="8" customWidth="1"/>
    <col min="14321" max="14321" width="21.5703125" style="8" customWidth="1"/>
    <col min="14322" max="14322" width="14.28515625" style="8" customWidth="1"/>
    <col min="14323" max="14323" width="9.140625" style="8" customWidth="1"/>
    <col min="14324" max="14324" width="11.28515625" style="8" customWidth="1"/>
    <col min="14325" max="14568" width="9.140625" style="8"/>
    <col min="14569" max="14569" width="26" style="8" customWidth="1"/>
    <col min="14570" max="14570" width="21.140625" style="8" customWidth="1"/>
    <col min="14571" max="14571" width="11.140625" style="8" customWidth="1"/>
    <col min="14572" max="14572" width="11.28515625" style="8" customWidth="1"/>
    <col min="14573" max="14573" width="14.28515625" style="8" customWidth="1"/>
    <col min="14574" max="14574" width="16.28515625" style="8" customWidth="1"/>
    <col min="14575" max="14575" width="22.28515625" style="8" customWidth="1"/>
    <col min="14576" max="14576" width="17.42578125" style="8" customWidth="1"/>
    <col min="14577" max="14577" width="21.5703125" style="8" customWidth="1"/>
    <col min="14578" max="14578" width="14.28515625" style="8" customWidth="1"/>
    <col min="14579" max="14579" width="9.140625" style="8" customWidth="1"/>
    <col min="14580" max="14580" width="11.28515625" style="8" customWidth="1"/>
    <col min="14581" max="14824" width="9.140625" style="8"/>
    <col min="14825" max="14825" width="26" style="8" customWidth="1"/>
    <col min="14826" max="14826" width="21.140625" style="8" customWidth="1"/>
    <col min="14827" max="14827" width="11.140625" style="8" customWidth="1"/>
    <col min="14828" max="14828" width="11.28515625" style="8" customWidth="1"/>
    <col min="14829" max="14829" width="14.28515625" style="8" customWidth="1"/>
    <col min="14830" max="14830" width="16.28515625" style="8" customWidth="1"/>
    <col min="14831" max="14831" width="22.28515625" style="8" customWidth="1"/>
    <col min="14832" max="14832" width="17.42578125" style="8" customWidth="1"/>
    <col min="14833" max="14833" width="21.5703125" style="8" customWidth="1"/>
    <col min="14834" max="14834" width="14.28515625" style="8" customWidth="1"/>
    <col min="14835" max="14835" width="9.140625" style="8" customWidth="1"/>
    <col min="14836" max="14836" width="11.28515625" style="8" customWidth="1"/>
    <col min="14837" max="15080" width="9.140625" style="8"/>
    <col min="15081" max="15081" width="26" style="8" customWidth="1"/>
    <col min="15082" max="15082" width="21.140625" style="8" customWidth="1"/>
    <col min="15083" max="15083" width="11.140625" style="8" customWidth="1"/>
    <col min="15084" max="15084" width="11.28515625" style="8" customWidth="1"/>
    <col min="15085" max="15085" width="14.28515625" style="8" customWidth="1"/>
    <col min="15086" max="15086" width="16.28515625" style="8" customWidth="1"/>
    <col min="15087" max="15087" width="22.28515625" style="8" customWidth="1"/>
    <col min="15088" max="15088" width="17.42578125" style="8" customWidth="1"/>
    <col min="15089" max="15089" width="21.5703125" style="8" customWidth="1"/>
    <col min="15090" max="15090" width="14.28515625" style="8" customWidth="1"/>
    <col min="15091" max="15091" width="9.140625" style="8" customWidth="1"/>
    <col min="15092" max="15092" width="11.28515625" style="8" customWidth="1"/>
    <col min="15093" max="15336" width="9.140625" style="8"/>
    <col min="15337" max="15337" width="26" style="8" customWidth="1"/>
    <col min="15338" max="15338" width="21.140625" style="8" customWidth="1"/>
    <col min="15339" max="15339" width="11.140625" style="8" customWidth="1"/>
    <col min="15340" max="15340" width="11.28515625" style="8" customWidth="1"/>
    <col min="15341" max="15341" width="14.28515625" style="8" customWidth="1"/>
    <col min="15342" max="15342" width="16.28515625" style="8" customWidth="1"/>
    <col min="15343" max="15343" width="22.28515625" style="8" customWidth="1"/>
    <col min="15344" max="15344" width="17.42578125" style="8" customWidth="1"/>
    <col min="15345" max="15345" width="21.5703125" style="8" customWidth="1"/>
    <col min="15346" max="15346" width="14.28515625" style="8" customWidth="1"/>
    <col min="15347" max="15347" width="9.140625" style="8" customWidth="1"/>
    <col min="15348" max="15348" width="11.28515625" style="8" customWidth="1"/>
    <col min="15349" max="15592" width="9.140625" style="8"/>
    <col min="15593" max="15593" width="26" style="8" customWidth="1"/>
    <col min="15594" max="15594" width="21.140625" style="8" customWidth="1"/>
    <col min="15595" max="15595" width="11.140625" style="8" customWidth="1"/>
    <col min="15596" max="15596" width="11.28515625" style="8" customWidth="1"/>
    <col min="15597" max="15597" width="14.28515625" style="8" customWidth="1"/>
    <col min="15598" max="15598" width="16.28515625" style="8" customWidth="1"/>
    <col min="15599" max="15599" width="22.28515625" style="8" customWidth="1"/>
    <col min="15600" max="15600" width="17.42578125" style="8" customWidth="1"/>
    <col min="15601" max="15601" width="21.5703125" style="8" customWidth="1"/>
    <col min="15602" max="15602" width="14.28515625" style="8" customWidth="1"/>
    <col min="15603" max="15603" width="9.140625" style="8" customWidth="1"/>
    <col min="15604" max="15604" width="11.28515625" style="8" customWidth="1"/>
    <col min="15605" max="15848" width="9.140625" style="8"/>
    <col min="15849" max="15849" width="26" style="8" customWidth="1"/>
    <col min="15850" max="15850" width="21.140625" style="8" customWidth="1"/>
    <col min="15851" max="15851" width="11.140625" style="8" customWidth="1"/>
    <col min="15852" max="15852" width="11.28515625" style="8" customWidth="1"/>
    <col min="15853" max="15853" width="14.28515625" style="8" customWidth="1"/>
    <col min="15854" max="15854" width="16.28515625" style="8" customWidth="1"/>
    <col min="15855" max="15855" width="22.28515625" style="8" customWidth="1"/>
    <col min="15856" max="15856" width="17.42578125" style="8" customWidth="1"/>
    <col min="15857" max="15857" width="21.5703125" style="8" customWidth="1"/>
    <col min="15858" max="15858" width="14.28515625" style="8" customWidth="1"/>
    <col min="15859" max="15859" width="9.140625" style="8" customWidth="1"/>
    <col min="15860" max="15860" width="11.28515625" style="8" customWidth="1"/>
    <col min="15861" max="16104" width="9.140625" style="8"/>
    <col min="16105" max="16105" width="26" style="8" customWidth="1"/>
    <col min="16106" max="16106" width="21.140625" style="8" customWidth="1"/>
    <col min="16107" max="16107" width="11.140625" style="8" customWidth="1"/>
    <col min="16108" max="16108" width="11.28515625" style="8" customWidth="1"/>
    <col min="16109" max="16109" width="14.28515625" style="8" customWidth="1"/>
    <col min="16110" max="16110" width="16.28515625" style="8" customWidth="1"/>
    <col min="16111" max="16111" width="22.28515625" style="8" customWidth="1"/>
    <col min="16112" max="16112" width="17.42578125" style="8" customWidth="1"/>
    <col min="16113" max="16113" width="21.5703125" style="8" customWidth="1"/>
    <col min="16114" max="16114" width="14.28515625" style="8" customWidth="1"/>
    <col min="16115" max="16115" width="9.140625" style="8" customWidth="1"/>
    <col min="16116" max="16116" width="11.28515625" style="8" customWidth="1"/>
    <col min="16117" max="16384" width="9.140625" style="8"/>
  </cols>
  <sheetData>
    <row r="1" spans="1:8" ht="15" customHeight="1" x14ac:dyDescent="0.25">
      <c r="C1" s="585" t="s">
        <v>362</v>
      </c>
      <c r="D1" s="585"/>
      <c r="E1" s="585"/>
      <c r="F1" s="585"/>
      <c r="G1" s="585"/>
      <c r="H1" s="536"/>
    </row>
    <row r="2" spans="1:8" ht="15" customHeight="1" x14ac:dyDescent="0.25">
      <c r="C2" s="502"/>
    </row>
    <row r="3" spans="1:8" ht="15.75" thickBot="1" x14ac:dyDescent="0.3"/>
    <row r="4" spans="1:8" ht="36" customHeight="1" x14ac:dyDescent="0.25">
      <c r="A4" s="518" t="s">
        <v>3</v>
      </c>
      <c r="B4" s="577"/>
      <c r="C4" s="519" t="s">
        <v>4</v>
      </c>
      <c r="D4" s="520" t="s">
        <v>32</v>
      </c>
      <c r="E4" s="520" t="s">
        <v>264</v>
      </c>
      <c r="F4" s="520" t="s">
        <v>55</v>
      </c>
      <c r="G4" s="535">
        <v>-0.25</v>
      </c>
      <c r="H4" s="521" t="s">
        <v>354</v>
      </c>
    </row>
    <row r="5" spans="1:8" ht="50.25" hidden="1" customHeight="1" x14ac:dyDescent="0.25">
      <c r="A5" s="504"/>
      <c r="B5" s="578"/>
      <c r="C5" s="505"/>
      <c r="D5" s="516"/>
      <c r="E5" s="516"/>
      <c r="F5" s="516"/>
      <c r="G5" s="529"/>
      <c r="H5" s="538"/>
    </row>
    <row r="6" spans="1:8" ht="15" hidden="1" customHeight="1" x14ac:dyDescent="0.25">
      <c r="A6" s="504"/>
      <c r="B6" s="578"/>
      <c r="C6" s="506"/>
      <c r="D6" s="517"/>
      <c r="E6" s="517"/>
      <c r="F6" s="517"/>
      <c r="G6" s="529"/>
      <c r="H6" s="538"/>
    </row>
    <row r="7" spans="1:8" x14ac:dyDescent="0.25">
      <c r="A7" s="6">
        <v>1</v>
      </c>
      <c r="B7" s="6">
        <v>1</v>
      </c>
      <c r="C7" s="28" t="s">
        <v>141</v>
      </c>
      <c r="D7" s="503">
        <v>0.64433333333333331</v>
      </c>
      <c r="E7" s="503">
        <v>4.3739999999999997</v>
      </c>
      <c r="F7" s="503">
        <f t="shared" ref="F7:F26" si="0">AVERAGE(D7:E7)</f>
        <v>2.5091666666666663</v>
      </c>
      <c r="G7" s="530"/>
      <c r="H7" s="503">
        <f>F7</f>
        <v>2.5091666666666663</v>
      </c>
    </row>
    <row r="8" spans="1:8" x14ac:dyDescent="0.25">
      <c r="A8" s="6">
        <v>2</v>
      </c>
      <c r="B8" s="6">
        <v>2</v>
      </c>
      <c r="C8" s="28" t="s">
        <v>140</v>
      </c>
      <c r="D8" s="503">
        <v>0.65100000000000002</v>
      </c>
      <c r="E8" s="560">
        <v>3.9630000000000001</v>
      </c>
      <c r="F8" s="503">
        <f t="shared" si="0"/>
        <v>2.3069999999999999</v>
      </c>
      <c r="G8" s="530"/>
      <c r="H8" s="503">
        <f>F8</f>
        <v>2.3069999999999999</v>
      </c>
    </row>
    <row r="9" spans="1:8" x14ac:dyDescent="0.25">
      <c r="A9" s="6">
        <v>3</v>
      </c>
      <c r="B9" s="6">
        <v>3</v>
      </c>
      <c r="C9" s="81" t="s">
        <v>170</v>
      </c>
      <c r="D9" s="503">
        <v>0.63940056022408964</v>
      </c>
      <c r="E9" s="560">
        <v>3.2440000000000002</v>
      </c>
      <c r="F9" s="503">
        <f t="shared" si="0"/>
        <v>1.9417002801120449</v>
      </c>
      <c r="G9" s="530"/>
      <c r="H9" s="503">
        <f>F9</f>
        <v>1.9417002801120449</v>
      </c>
    </row>
    <row r="10" spans="1:8" x14ac:dyDescent="0.25">
      <c r="A10" s="6">
        <v>4</v>
      </c>
      <c r="B10" s="6">
        <v>4</v>
      </c>
      <c r="C10" s="28" t="s">
        <v>143</v>
      </c>
      <c r="D10" s="503">
        <v>0.53200000000000003</v>
      </c>
      <c r="E10" s="558">
        <v>3.242</v>
      </c>
      <c r="F10" s="558">
        <f t="shared" si="0"/>
        <v>1.887</v>
      </c>
      <c r="G10" s="530"/>
      <c r="H10" s="558">
        <f>F10</f>
        <v>1.887</v>
      </c>
    </row>
    <row r="11" spans="1:8" x14ac:dyDescent="0.25">
      <c r="A11" s="6">
        <v>5</v>
      </c>
      <c r="B11" s="6">
        <v>5</v>
      </c>
      <c r="C11" s="28" t="s">
        <v>162</v>
      </c>
      <c r="D11" s="503">
        <v>0.55232609710550884</v>
      </c>
      <c r="E11" s="558">
        <v>3.0710000000000002</v>
      </c>
      <c r="F11" s="558">
        <f t="shared" si="0"/>
        <v>1.8116630485527545</v>
      </c>
      <c r="G11" s="530"/>
      <c r="H11" s="558">
        <v>1.8121630485527545</v>
      </c>
    </row>
    <row r="12" spans="1:8" x14ac:dyDescent="0.25">
      <c r="A12" s="6">
        <v>6</v>
      </c>
      <c r="B12" s="6">
        <v>6</v>
      </c>
      <c r="C12" s="28" t="s">
        <v>158</v>
      </c>
      <c r="D12" s="503">
        <v>0.83875070028011189</v>
      </c>
      <c r="E12" s="503">
        <v>2.7711533518103315</v>
      </c>
      <c r="F12" s="503">
        <f t="shared" si="0"/>
        <v>1.8049520260452216</v>
      </c>
      <c r="G12" s="530"/>
      <c r="H12" s="503">
        <v>1.8049520260452216</v>
      </c>
    </row>
    <row r="13" spans="1:8" x14ac:dyDescent="0.25">
      <c r="A13" s="6">
        <v>7</v>
      </c>
      <c r="B13" s="6">
        <v>7</v>
      </c>
      <c r="C13" s="28" t="s">
        <v>154</v>
      </c>
      <c r="D13" s="503">
        <v>0.71199999999999997</v>
      </c>
      <c r="E13" s="558">
        <v>2.7480000000000002</v>
      </c>
      <c r="F13" s="558">
        <f t="shared" si="0"/>
        <v>1.73</v>
      </c>
      <c r="G13" s="530"/>
      <c r="H13" s="558">
        <v>1.73</v>
      </c>
    </row>
    <row r="14" spans="1:8" x14ac:dyDescent="0.25">
      <c r="A14" s="6">
        <v>8</v>
      </c>
      <c r="B14" s="6">
        <v>8</v>
      </c>
      <c r="C14" s="28" t="s">
        <v>142</v>
      </c>
      <c r="D14" s="503">
        <v>0.62914529914529915</v>
      </c>
      <c r="E14" s="558">
        <v>3.262</v>
      </c>
      <c r="F14" s="558">
        <f t="shared" si="0"/>
        <v>1.9455726495726495</v>
      </c>
      <c r="G14" s="530">
        <v>0.25</v>
      </c>
      <c r="H14" s="558">
        <f>F14-G14</f>
        <v>1.6955726495726495</v>
      </c>
    </row>
    <row r="15" spans="1:8" x14ac:dyDescent="0.25">
      <c r="A15" s="6">
        <v>9</v>
      </c>
      <c r="B15" s="6">
        <v>9</v>
      </c>
      <c r="C15" s="28" t="s">
        <v>156</v>
      </c>
      <c r="D15" s="503">
        <v>0.51200000000000001</v>
      </c>
      <c r="E15" s="503">
        <v>2.84838651218063</v>
      </c>
      <c r="F15" s="503">
        <f t="shared" si="0"/>
        <v>1.680193256090315</v>
      </c>
      <c r="G15" s="530"/>
      <c r="H15" s="503">
        <f>F15</f>
        <v>1.680193256090315</v>
      </c>
    </row>
    <row r="16" spans="1:8" x14ac:dyDescent="0.25">
      <c r="A16" s="6">
        <v>10</v>
      </c>
      <c r="B16" s="6">
        <v>10</v>
      </c>
      <c r="C16" s="28" t="s">
        <v>144</v>
      </c>
      <c r="D16" s="503">
        <v>0.63228174603174603</v>
      </c>
      <c r="E16" s="558">
        <v>2.6920000000000002</v>
      </c>
      <c r="F16" s="558">
        <f t="shared" si="0"/>
        <v>1.6621408730158731</v>
      </c>
      <c r="G16" s="530"/>
      <c r="H16" s="558">
        <v>1.6621408730158731</v>
      </c>
    </row>
    <row r="17" spans="1:8" x14ac:dyDescent="0.25">
      <c r="A17" s="6">
        <v>11</v>
      </c>
      <c r="B17" s="6">
        <v>11</v>
      </c>
      <c r="C17" s="226" t="s">
        <v>147</v>
      </c>
      <c r="D17" s="503">
        <v>0.73548879551820734</v>
      </c>
      <c r="E17" s="558">
        <v>2.508</v>
      </c>
      <c r="F17" s="558">
        <f t="shared" si="0"/>
        <v>1.6217443977591037</v>
      </c>
      <c r="G17" s="530"/>
      <c r="H17" s="558">
        <f>F17</f>
        <v>1.6217443977591037</v>
      </c>
    </row>
    <row r="18" spans="1:8" x14ac:dyDescent="0.25">
      <c r="A18" s="6">
        <v>12</v>
      </c>
      <c r="B18" s="6">
        <v>12</v>
      </c>
      <c r="C18" s="28" t="s">
        <v>171</v>
      </c>
      <c r="D18" s="503">
        <v>0.57604848239136164</v>
      </c>
      <c r="E18" s="558">
        <v>3.1560000000000001</v>
      </c>
      <c r="F18" s="558">
        <f t="shared" si="0"/>
        <v>1.8660242411956809</v>
      </c>
      <c r="G18" s="530">
        <v>0.25</v>
      </c>
      <c r="H18" s="558">
        <f>F18-G18</f>
        <v>1.6160242411956809</v>
      </c>
    </row>
    <row r="19" spans="1:8" x14ac:dyDescent="0.25">
      <c r="A19" s="6">
        <v>13</v>
      </c>
      <c r="B19" s="6">
        <v>13</v>
      </c>
      <c r="C19" s="28" t="s">
        <v>159</v>
      </c>
      <c r="D19" s="503">
        <v>0.56641806722689081</v>
      </c>
      <c r="E19" s="503">
        <v>2.42090898976413</v>
      </c>
      <c r="F19" s="503">
        <f t="shared" si="0"/>
        <v>1.4936635284955104</v>
      </c>
      <c r="G19" s="530"/>
      <c r="H19" s="503">
        <v>1.4936635284955104</v>
      </c>
    </row>
    <row r="20" spans="1:8" x14ac:dyDescent="0.25">
      <c r="A20" s="6">
        <v>14</v>
      </c>
      <c r="B20" s="6">
        <v>14</v>
      </c>
      <c r="C20" s="28" t="s">
        <v>160</v>
      </c>
      <c r="D20" s="503">
        <v>0.55939402427637719</v>
      </c>
      <c r="E20" s="558">
        <v>2.41</v>
      </c>
      <c r="F20" s="558">
        <f t="shared" si="0"/>
        <v>1.4846970121381886</v>
      </c>
      <c r="G20" s="530"/>
      <c r="H20" s="558">
        <f>F20</f>
        <v>1.4846970121381886</v>
      </c>
    </row>
    <row r="21" spans="1:8" x14ac:dyDescent="0.25">
      <c r="A21" s="6">
        <v>15</v>
      </c>
      <c r="B21" s="6">
        <v>15</v>
      </c>
      <c r="C21" s="28" t="s">
        <v>167</v>
      </c>
      <c r="D21" s="503">
        <v>0.63786017740429513</v>
      </c>
      <c r="E21" s="503">
        <v>2.1105361344158324</v>
      </c>
      <c r="F21" s="503">
        <f t="shared" si="0"/>
        <v>1.3741981559100638</v>
      </c>
      <c r="G21" s="530"/>
      <c r="H21" s="503">
        <v>1.3741981559100638</v>
      </c>
    </row>
    <row r="22" spans="1:8" x14ac:dyDescent="0.25">
      <c r="A22" s="6">
        <v>16</v>
      </c>
      <c r="B22" s="6">
        <v>16</v>
      </c>
      <c r="C22" s="28" t="s">
        <v>165</v>
      </c>
      <c r="D22" s="503">
        <v>0.64263095238095236</v>
      </c>
      <c r="E22" s="503">
        <v>2.0787269508157888</v>
      </c>
      <c r="F22" s="503">
        <f t="shared" si="0"/>
        <v>1.3606789515983706</v>
      </c>
      <c r="G22" s="530"/>
      <c r="H22" s="503">
        <v>1.3606789515983706</v>
      </c>
    </row>
    <row r="23" spans="1:8" x14ac:dyDescent="0.25">
      <c r="A23" s="6">
        <v>17</v>
      </c>
      <c r="B23" s="6">
        <v>17</v>
      </c>
      <c r="C23" s="28" t="s">
        <v>148</v>
      </c>
      <c r="D23" s="503">
        <v>0.62493113912231557</v>
      </c>
      <c r="E23" s="558">
        <v>2.052</v>
      </c>
      <c r="F23" s="558">
        <f t="shared" si="0"/>
        <v>1.3384655695611578</v>
      </c>
      <c r="G23" s="530"/>
      <c r="H23" s="558">
        <v>1.3384655695611578</v>
      </c>
    </row>
    <row r="24" spans="1:8" x14ac:dyDescent="0.25">
      <c r="A24" s="6">
        <v>18</v>
      </c>
      <c r="B24" s="6">
        <v>18</v>
      </c>
      <c r="C24" s="559" t="s">
        <v>155</v>
      </c>
      <c r="D24" s="503">
        <v>0.54066199813258642</v>
      </c>
      <c r="E24" s="558">
        <v>2.601</v>
      </c>
      <c r="F24" s="558">
        <f t="shared" si="0"/>
        <v>1.5708309990662932</v>
      </c>
      <c r="G24" s="530">
        <v>0.25</v>
      </c>
      <c r="H24" s="558">
        <f>F24-G24</f>
        <v>1.3208309990662932</v>
      </c>
    </row>
    <row r="25" spans="1:8" x14ac:dyDescent="0.25">
      <c r="A25" s="6">
        <v>19</v>
      </c>
      <c r="B25" s="6">
        <v>19</v>
      </c>
      <c r="C25" s="559" t="s">
        <v>277</v>
      </c>
      <c r="D25" s="503">
        <v>0.58431722689075627</v>
      </c>
      <c r="E25" s="558">
        <v>2.5329999999999999</v>
      </c>
      <c r="F25" s="558">
        <f t="shared" si="0"/>
        <v>1.5586586134453781</v>
      </c>
      <c r="G25" s="530">
        <v>0.25</v>
      </c>
      <c r="H25" s="558">
        <f>F25-G25</f>
        <v>1.3086586134453781</v>
      </c>
    </row>
    <row r="26" spans="1:8" x14ac:dyDescent="0.25">
      <c r="A26" s="6">
        <v>20</v>
      </c>
      <c r="B26" s="6">
        <v>20</v>
      </c>
      <c r="C26" s="28" t="s">
        <v>163</v>
      </c>
      <c r="D26" s="503">
        <v>0.53200000000000003</v>
      </c>
      <c r="E26" s="558">
        <v>2.0379999999999998</v>
      </c>
      <c r="F26" s="558">
        <f t="shared" si="0"/>
        <v>1.2849999999999999</v>
      </c>
      <c r="G26" s="530"/>
      <c r="H26" s="558">
        <f>F26</f>
        <v>1.2849999999999999</v>
      </c>
    </row>
    <row r="27" spans="1:8" ht="25.5" x14ac:dyDescent="0.25">
      <c r="A27" s="258">
        <v>21</v>
      </c>
      <c r="B27" s="258">
        <v>21</v>
      </c>
      <c r="C27" s="28" t="s">
        <v>177</v>
      </c>
      <c r="D27" s="503">
        <v>0.53700000000000003</v>
      </c>
      <c r="E27" s="503">
        <v>1.7661647216133733</v>
      </c>
      <c r="F27" s="503">
        <f t="shared" ref="F27:F44" si="1">AVERAGE(D27:E27)</f>
        <v>1.1515823608066866</v>
      </c>
      <c r="G27" s="530"/>
      <c r="H27" s="503">
        <f>F27</f>
        <v>1.1515823608066866</v>
      </c>
    </row>
    <row r="28" spans="1:8" x14ac:dyDescent="0.25">
      <c r="A28" s="258">
        <v>22</v>
      </c>
      <c r="B28" s="258">
        <v>22</v>
      </c>
      <c r="C28" s="28" t="s">
        <v>161</v>
      </c>
      <c r="D28" s="503">
        <v>0.55100000000000005</v>
      </c>
      <c r="E28" s="503">
        <v>1.7191900164452409</v>
      </c>
      <c r="F28" s="503">
        <f t="shared" si="1"/>
        <v>1.1350950082226205</v>
      </c>
      <c r="G28" s="530"/>
      <c r="H28" s="503">
        <f>F28</f>
        <v>1.1350950082226205</v>
      </c>
    </row>
    <row r="29" spans="1:8" ht="25.5" x14ac:dyDescent="0.25">
      <c r="A29" s="258">
        <v>23</v>
      </c>
      <c r="B29" s="258">
        <v>22</v>
      </c>
      <c r="C29" s="28" t="s">
        <v>178</v>
      </c>
      <c r="D29" s="503">
        <v>0.60346405228758171</v>
      </c>
      <c r="E29" s="558">
        <v>2.1659999999999999</v>
      </c>
      <c r="F29" s="558">
        <f t="shared" si="1"/>
        <v>1.3847320261437908</v>
      </c>
      <c r="G29" s="530">
        <v>0.25</v>
      </c>
      <c r="H29" s="558">
        <f>F29-G29</f>
        <v>1.1347320261437908</v>
      </c>
    </row>
    <row r="30" spans="1:8" x14ac:dyDescent="0.25">
      <c r="A30" s="258">
        <v>24</v>
      </c>
      <c r="B30" s="258">
        <v>23</v>
      </c>
      <c r="C30" s="28" t="s">
        <v>168</v>
      </c>
      <c r="D30" s="503">
        <v>0.51560877684407092</v>
      </c>
      <c r="E30" s="503">
        <v>1.7493975207909802</v>
      </c>
      <c r="F30" s="503">
        <f t="shared" si="1"/>
        <v>1.1325031488175257</v>
      </c>
      <c r="G30" s="530"/>
      <c r="H30" s="503">
        <v>1.1325031488175257</v>
      </c>
    </row>
    <row r="31" spans="1:8" x14ac:dyDescent="0.25">
      <c r="A31" s="258">
        <v>25</v>
      </c>
      <c r="B31" s="258">
        <v>24</v>
      </c>
      <c r="C31" s="28" t="s">
        <v>153</v>
      </c>
      <c r="D31" s="503">
        <v>0.71234080298786173</v>
      </c>
      <c r="E31" s="558">
        <v>1.526</v>
      </c>
      <c r="F31" s="558">
        <f t="shared" si="1"/>
        <v>1.119170401493931</v>
      </c>
      <c r="G31" s="530"/>
      <c r="H31" s="558">
        <v>1.119170401493931</v>
      </c>
    </row>
    <row r="32" spans="1:8" x14ac:dyDescent="0.25">
      <c r="A32" s="258">
        <v>26</v>
      </c>
      <c r="B32" s="258">
        <v>25</v>
      </c>
      <c r="C32" s="28" t="s">
        <v>164</v>
      </c>
      <c r="D32" s="503">
        <v>0.46707889822595705</v>
      </c>
      <c r="E32" s="503">
        <v>1.758532414302262</v>
      </c>
      <c r="F32" s="503">
        <f t="shared" si="1"/>
        <v>1.1128056562641095</v>
      </c>
      <c r="G32" s="530"/>
      <c r="H32" s="503">
        <v>1.1128056562641095</v>
      </c>
    </row>
    <row r="33" spans="1:1005" x14ac:dyDescent="0.25">
      <c r="A33" s="258">
        <v>27</v>
      </c>
      <c r="B33" s="258">
        <v>26</v>
      </c>
      <c r="C33" s="28" t="s">
        <v>152</v>
      </c>
      <c r="D33" s="503">
        <v>0.53599579831932787</v>
      </c>
      <c r="E33" s="558">
        <v>1.6080000000000001</v>
      </c>
      <c r="F33" s="558">
        <f t="shared" si="1"/>
        <v>1.0719978991596639</v>
      </c>
      <c r="G33" s="530"/>
      <c r="H33" s="558">
        <f>F33</f>
        <v>1.0719978991596639</v>
      </c>
    </row>
    <row r="34" spans="1:1005" x14ac:dyDescent="0.25">
      <c r="A34" s="258">
        <v>28</v>
      </c>
      <c r="B34" s="258">
        <v>27</v>
      </c>
      <c r="C34" s="28" t="s">
        <v>149</v>
      </c>
      <c r="D34" s="503">
        <v>0.56935854341736691</v>
      </c>
      <c r="E34" s="503">
        <v>1.5280549698336054</v>
      </c>
      <c r="F34" s="503">
        <f t="shared" si="1"/>
        <v>1.0487067566254862</v>
      </c>
      <c r="G34" s="530"/>
      <c r="H34" s="503">
        <v>1.0487067566254862</v>
      </c>
    </row>
    <row r="35" spans="1:1005" x14ac:dyDescent="0.25">
      <c r="A35" s="258">
        <v>29</v>
      </c>
      <c r="B35" s="258">
        <v>28</v>
      </c>
      <c r="C35" s="28" t="s">
        <v>150</v>
      </c>
      <c r="D35" s="503">
        <v>0.59879458450046685</v>
      </c>
      <c r="E35" s="503">
        <v>1.3231973684210525</v>
      </c>
      <c r="F35" s="503">
        <f t="shared" si="1"/>
        <v>0.96099597646075963</v>
      </c>
      <c r="G35" s="530"/>
      <c r="H35" s="503">
        <v>0.96099597646075963</v>
      </c>
    </row>
    <row r="36" spans="1:1005" x14ac:dyDescent="0.25">
      <c r="A36" s="258">
        <v>30</v>
      </c>
      <c r="B36" s="258">
        <v>29</v>
      </c>
      <c r="C36" s="28" t="s">
        <v>145</v>
      </c>
      <c r="D36" s="503">
        <v>0.63195611577964517</v>
      </c>
      <c r="E36" s="503">
        <v>1.726341245024172</v>
      </c>
      <c r="F36" s="503">
        <f t="shared" si="1"/>
        <v>1.1791486804019087</v>
      </c>
      <c r="G36" s="530">
        <v>0.25</v>
      </c>
      <c r="H36" s="503">
        <v>0.92914868040190868</v>
      </c>
    </row>
    <row r="37" spans="1:1005" x14ac:dyDescent="0.25">
      <c r="A37" s="258">
        <v>31</v>
      </c>
      <c r="B37" s="258">
        <v>30</v>
      </c>
      <c r="C37" s="28" t="s">
        <v>157</v>
      </c>
      <c r="D37" s="503">
        <v>0.5529096638655463</v>
      </c>
      <c r="E37" s="503">
        <v>1.2753778044871793</v>
      </c>
      <c r="F37" s="503">
        <f t="shared" si="1"/>
        <v>0.91414373417636274</v>
      </c>
      <c r="G37" s="531"/>
      <c r="H37" s="503">
        <v>0.91414373417636274</v>
      </c>
    </row>
    <row r="38" spans="1:1005" x14ac:dyDescent="0.25">
      <c r="A38" s="258">
        <v>32</v>
      </c>
      <c r="B38" s="258">
        <v>31</v>
      </c>
      <c r="C38" s="28" t="s">
        <v>139</v>
      </c>
      <c r="D38" s="503">
        <v>0.56200000000000006</v>
      </c>
      <c r="E38" s="560">
        <v>1.637</v>
      </c>
      <c r="F38" s="560">
        <f t="shared" si="1"/>
        <v>1.0994999999999999</v>
      </c>
      <c r="G38" s="530">
        <v>0.25</v>
      </c>
      <c r="H38" s="560">
        <f>F38-G38</f>
        <v>0.84949999999999992</v>
      </c>
    </row>
    <row r="39" spans="1:1005" x14ac:dyDescent="0.25">
      <c r="A39" s="258">
        <v>33</v>
      </c>
      <c r="B39" s="258">
        <v>32</v>
      </c>
      <c r="C39" s="28" t="s">
        <v>151</v>
      </c>
      <c r="D39" s="503">
        <v>0.5002707749766574</v>
      </c>
      <c r="E39" s="558">
        <v>1.6220000000000001</v>
      </c>
      <c r="F39" s="558">
        <f t="shared" si="1"/>
        <v>1.0611353874883287</v>
      </c>
      <c r="G39" s="530">
        <v>0.25</v>
      </c>
      <c r="H39" s="558">
        <f>F39-G39</f>
        <v>0.8111353874883287</v>
      </c>
    </row>
    <row r="40" spans="1:1005" x14ac:dyDescent="0.25">
      <c r="A40" s="258">
        <v>34</v>
      </c>
      <c r="B40" s="258">
        <v>33</v>
      </c>
      <c r="C40" s="227" t="s">
        <v>172</v>
      </c>
      <c r="D40" s="503">
        <v>0.45600000000000002</v>
      </c>
      <c r="E40" s="503">
        <v>1.1458420348058904</v>
      </c>
      <c r="F40" s="503">
        <f t="shared" si="1"/>
        <v>0.80092101740294519</v>
      </c>
      <c r="G40" s="530"/>
      <c r="H40" s="503">
        <f>F40</f>
        <v>0.80092101740294519</v>
      </c>
      <c r="K40" s="515"/>
    </row>
    <row r="41" spans="1:1005" s="76" customFormat="1" x14ac:dyDescent="0.25">
      <c r="A41" s="258">
        <v>35</v>
      </c>
      <c r="B41" s="258">
        <v>34</v>
      </c>
      <c r="C41" s="28" t="s">
        <v>169</v>
      </c>
      <c r="D41" s="503">
        <v>0.59099999999999997</v>
      </c>
      <c r="E41" s="558">
        <v>0.98699999999999999</v>
      </c>
      <c r="F41" s="558">
        <f t="shared" si="1"/>
        <v>0.78899999999999992</v>
      </c>
      <c r="G41" s="530"/>
      <c r="H41" s="558">
        <f>F41-G41</f>
        <v>0.78899999999999992</v>
      </c>
    </row>
    <row r="42" spans="1:1005" x14ac:dyDescent="0.25">
      <c r="A42" s="258">
        <v>36</v>
      </c>
      <c r="B42" s="258">
        <v>35</v>
      </c>
      <c r="C42" s="28" t="s">
        <v>146</v>
      </c>
      <c r="D42" s="503">
        <v>0.61759873949579824</v>
      </c>
      <c r="E42" s="503">
        <v>0.87968240817453747</v>
      </c>
      <c r="F42" s="503">
        <f t="shared" si="1"/>
        <v>0.7486405738351678</v>
      </c>
      <c r="G42" s="532"/>
      <c r="H42" s="503">
        <v>0.7486405738351678</v>
      </c>
    </row>
    <row r="43" spans="1:1005" customFormat="1" x14ac:dyDescent="0.25">
      <c r="A43" s="258">
        <v>37</v>
      </c>
      <c r="B43" s="258">
        <v>36</v>
      </c>
      <c r="C43" s="28" t="s">
        <v>173</v>
      </c>
      <c r="D43" s="503">
        <v>0.47013942307692314</v>
      </c>
      <c r="E43" s="503">
        <v>1.0013697647733795</v>
      </c>
      <c r="F43" s="503">
        <f t="shared" si="1"/>
        <v>0.7357545939251513</v>
      </c>
      <c r="G43" s="530"/>
      <c r="H43" s="503">
        <v>0.7357545939251513</v>
      </c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  <c r="IA43" s="147"/>
      <c r="IB43" s="147"/>
      <c r="IC43" s="147"/>
      <c r="ID43" s="147"/>
      <c r="IE43" s="147"/>
      <c r="IF43" s="147"/>
      <c r="IG43" s="147"/>
      <c r="IH43" s="147"/>
      <c r="II43" s="147"/>
      <c r="IJ43" s="147"/>
      <c r="IK43" s="147"/>
      <c r="IL43" s="147"/>
      <c r="IM43" s="147"/>
      <c r="IN43" s="147"/>
      <c r="IO43" s="147"/>
      <c r="IP43" s="147"/>
      <c r="IQ43" s="147"/>
      <c r="IR43" s="147"/>
      <c r="IS43" s="147"/>
      <c r="IT43" s="147"/>
      <c r="IU43" s="147"/>
      <c r="IV43" s="147"/>
      <c r="IW43" s="147"/>
      <c r="IX43" s="147"/>
      <c r="IY43" s="147"/>
      <c r="IZ43" s="147"/>
      <c r="JA43" s="147"/>
      <c r="JB43" s="147"/>
      <c r="JC43" s="147"/>
      <c r="JD43" s="147"/>
      <c r="JE43" s="147"/>
      <c r="JF43" s="147"/>
      <c r="JG43" s="147"/>
      <c r="JH43" s="147"/>
      <c r="JI43" s="147"/>
      <c r="JJ43" s="147"/>
      <c r="JK43" s="147"/>
      <c r="JL43" s="147"/>
      <c r="JM43" s="147"/>
      <c r="JN43" s="147"/>
      <c r="JO43" s="147"/>
      <c r="JP43" s="147"/>
      <c r="JQ43" s="147"/>
      <c r="JR43" s="147"/>
      <c r="JS43" s="147"/>
      <c r="JT43" s="147"/>
      <c r="JU43" s="147"/>
      <c r="JV43" s="147"/>
      <c r="JW43" s="147"/>
      <c r="JX43" s="147"/>
      <c r="JY43" s="147"/>
      <c r="JZ43" s="147"/>
      <c r="KA43" s="147"/>
      <c r="KB43" s="147"/>
      <c r="KC43" s="147"/>
      <c r="KD43" s="147"/>
      <c r="KE43" s="147"/>
      <c r="KF43" s="147"/>
      <c r="KG43" s="147"/>
      <c r="KH43" s="147"/>
      <c r="KI43" s="147"/>
      <c r="KJ43" s="147"/>
      <c r="KK43" s="147"/>
      <c r="KL43" s="147"/>
      <c r="KM43" s="147"/>
      <c r="KN43" s="147"/>
      <c r="KO43" s="147"/>
      <c r="KP43" s="147"/>
      <c r="KQ43" s="147"/>
      <c r="KR43" s="147"/>
      <c r="KS43" s="147"/>
      <c r="KT43" s="147"/>
      <c r="KU43" s="147"/>
      <c r="KV43" s="147"/>
      <c r="KW43" s="147"/>
      <c r="KX43" s="147"/>
      <c r="KY43" s="147"/>
      <c r="KZ43" s="147"/>
      <c r="LA43" s="147"/>
      <c r="LB43" s="147"/>
      <c r="LC43" s="147"/>
      <c r="LD43" s="147"/>
      <c r="LE43" s="147"/>
      <c r="LF43" s="147"/>
      <c r="LG43" s="147"/>
      <c r="LH43" s="147"/>
      <c r="LI43" s="147"/>
      <c r="LJ43" s="147"/>
      <c r="LK43" s="147"/>
      <c r="LL43" s="147"/>
      <c r="LM43" s="147"/>
      <c r="LN43" s="147"/>
      <c r="LO43" s="147"/>
      <c r="LP43" s="147"/>
      <c r="LQ43" s="147"/>
      <c r="LR43" s="147"/>
      <c r="LS43" s="147"/>
      <c r="LT43" s="147"/>
      <c r="LU43" s="147"/>
      <c r="LV43" s="147"/>
      <c r="LW43" s="147"/>
      <c r="LX43" s="147"/>
      <c r="LY43" s="147"/>
      <c r="LZ43" s="147"/>
      <c r="MA43" s="147"/>
      <c r="MB43" s="147"/>
      <c r="MC43" s="147"/>
      <c r="MD43" s="147"/>
      <c r="ME43" s="147"/>
      <c r="MF43" s="147"/>
      <c r="MG43" s="147"/>
      <c r="MH43" s="147"/>
      <c r="MI43" s="147"/>
      <c r="MJ43" s="147"/>
      <c r="MK43" s="147"/>
      <c r="ML43" s="147"/>
      <c r="MM43" s="147"/>
      <c r="MN43" s="147"/>
      <c r="MO43" s="147"/>
      <c r="MP43" s="147"/>
      <c r="MQ43" s="147"/>
      <c r="MR43" s="147"/>
      <c r="MS43" s="147"/>
      <c r="MT43" s="147"/>
      <c r="MU43" s="147"/>
      <c r="MV43" s="147"/>
      <c r="MW43" s="147"/>
      <c r="MX43" s="147"/>
      <c r="MY43" s="147"/>
      <c r="MZ43" s="147"/>
      <c r="NA43" s="147"/>
      <c r="NB43" s="147"/>
      <c r="NC43" s="147"/>
      <c r="ND43" s="147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7"/>
      <c r="NS43" s="147"/>
      <c r="NT43" s="147"/>
      <c r="NU43" s="147"/>
      <c r="NV43" s="147"/>
      <c r="NW43" s="147"/>
      <c r="NX43" s="147"/>
      <c r="NY43" s="147"/>
      <c r="NZ43" s="147"/>
      <c r="OA43" s="147"/>
      <c r="OB43" s="147"/>
      <c r="OC43" s="147"/>
      <c r="OD43" s="147"/>
      <c r="OE43" s="147"/>
      <c r="OF43" s="147"/>
      <c r="OG43" s="147"/>
      <c r="OH43" s="147"/>
      <c r="OI43" s="147"/>
      <c r="OJ43" s="147"/>
      <c r="OK43" s="147"/>
      <c r="OL43" s="147"/>
      <c r="OM43" s="147"/>
      <c r="ON43" s="147"/>
      <c r="OO43" s="147"/>
      <c r="OP43" s="147"/>
      <c r="OQ43" s="147"/>
      <c r="OR43" s="147"/>
      <c r="OS43" s="147"/>
      <c r="OT43" s="147"/>
      <c r="OU43" s="147"/>
      <c r="OV43" s="147"/>
      <c r="OW43" s="147"/>
      <c r="OX43" s="147"/>
      <c r="OY43" s="147"/>
      <c r="OZ43" s="147"/>
      <c r="PA43" s="147"/>
      <c r="PB43" s="147"/>
      <c r="PC43" s="147"/>
      <c r="PD43" s="147"/>
      <c r="PE43" s="147"/>
      <c r="PF43" s="147"/>
      <c r="PG43" s="147"/>
      <c r="PH43" s="147"/>
      <c r="PI43" s="147"/>
      <c r="PJ43" s="147"/>
      <c r="PK43" s="147"/>
      <c r="PL43" s="147"/>
      <c r="PM43" s="147"/>
      <c r="PN43" s="147"/>
      <c r="PO43" s="147"/>
      <c r="PP43" s="147"/>
      <c r="PQ43" s="147"/>
      <c r="PR43" s="147"/>
      <c r="PS43" s="147"/>
      <c r="PT43" s="147"/>
      <c r="PU43" s="147"/>
      <c r="PV43" s="147"/>
      <c r="PW43" s="147"/>
      <c r="PX43" s="147"/>
      <c r="PY43" s="147"/>
      <c r="PZ43" s="147"/>
      <c r="QA43" s="147"/>
      <c r="QB43" s="147"/>
      <c r="QC43" s="147"/>
      <c r="QD43" s="147"/>
      <c r="QE43" s="147"/>
      <c r="QF43" s="147"/>
      <c r="QG43" s="147"/>
      <c r="QH43" s="147"/>
      <c r="QI43" s="147"/>
      <c r="QJ43" s="147"/>
      <c r="QK43" s="147"/>
      <c r="QL43" s="147"/>
      <c r="QM43" s="147"/>
      <c r="QN43" s="147"/>
      <c r="QO43" s="147"/>
      <c r="QP43" s="147"/>
      <c r="QQ43" s="147"/>
      <c r="QR43" s="147"/>
      <c r="QS43" s="147"/>
      <c r="QT43" s="147"/>
      <c r="QU43" s="147"/>
      <c r="QV43" s="147"/>
      <c r="QW43" s="147"/>
      <c r="QX43" s="147"/>
      <c r="QY43" s="147"/>
      <c r="QZ43" s="147"/>
      <c r="RA43" s="147"/>
      <c r="RB43" s="147"/>
      <c r="RC43" s="147"/>
      <c r="RD43" s="147"/>
      <c r="RE43" s="147"/>
      <c r="RF43" s="147"/>
      <c r="RG43" s="147"/>
      <c r="RH43" s="147"/>
      <c r="RI43" s="147"/>
      <c r="RJ43" s="147"/>
      <c r="RK43" s="147"/>
      <c r="RL43" s="147"/>
      <c r="RM43" s="147"/>
      <c r="RN43" s="147"/>
      <c r="RO43" s="147"/>
      <c r="RP43" s="147"/>
      <c r="RQ43" s="147"/>
      <c r="RR43" s="147"/>
      <c r="RS43" s="147"/>
      <c r="RT43" s="147"/>
      <c r="RU43" s="147"/>
      <c r="RV43" s="147"/>
      <c r="RW43" s="147"/>
      <c r="RX43" s="147"/>
      <c r="RY43" s="147"/>
      <c r="RZ43" s="147"/>
      <c r="SA43" s="147"/>
      <c r="SB43" s="147"/>
      <c r="SC43" s="147"/>
      <c r="SD43" s="147"/>
      <c r="SE43" s="147"/>
      <c r="SF43" s="147"/>
      <c r="SG43" s="147"/>
      <c r="SH43" s="147"/>
      <c r="SI43" s="147"/>
      <c r="SJ43" s="147"/>
      <c r="SK43" s="147"/>
      <c r="SL43" s="147"/>
      <c r="SM43" s="147"/>
      <c r="SN43" s="147"/>
      <c r="SO43" s="147"/>
      <c r="SP43" s="147"/>
      <c r="SQ43" s="147"/>
      <c r="SR43" s="147"/>
      <c r="SS43" s="147"/>
      <c r="ST43" s="147"/>
      <c r="SU43" s="147"/>
      <c r="SV43" s="147"/>
      <c r="SW43" s="147"/>
      <c r="SX43" s="147"/>
      <c r="SY43" s="147"/>
      <c r="SZ43" s="147"/>
      <c r="TA43" s="147"/>
      <c r="TB43" s="147"/>
      <c r="TC43" s="147"/>
      <c r="TD43" s="147"/>
      <c r="TE43" s="147"/>
      <c r="TF43" s="147"/>
      <c r="TG43" s="147"/>
      <c r="TH43" s="147"/>
      <c r="TI43" s="147"/>
      <c r="TJ43" s="147"/>
      <c r="TK43" s="147"/>
      <c r="TL43" s="147"/>
      <c r="TM43" s="147"/>
      <c r="TN43" s="147"/>
      <c r="TO43" s="147"/>
      <c r="TP43" s="147"/>
      <c r="TQ43" s="147"/>
      <c r="TR43" s="147"/>
      <c r="TS43" s="147"/>
      <c r="TT43" s="147"/>
      <c r="TU43" s="147"/>
      <c r="TV43" s="147"/>
      <c r="TW43" s="147"/>
      <c r="TX43" s="147"/>
      <c r="TY43" s="147"/>
      <c r="TZ43" s="147"/>
      <c r="UA43" s="147"/>
      <c r="UB43" s="147"/>
      <c r="UC43" s="147"/>
      <c r="UD43" s="147"/>
      <c r="UE43" s="147"/>
      <c r="UF43" s="147"/>
      <c r="UG43" s="147"/>
      <c r="UH43" s="147"/>
      <c r="UI43" s="147"/>
      <c r="UJ43" s="147"/>
      <c r="UK43" s="147"/>
      <c r="UL43" s="147"/>
      <c r="UM43" s="147"/>
      <c r="UN43" s="147"/>
      <c r="UO43" s="147"/>
      <c r="UP43" s="147"/>
      <c r="UQ43" s="147"/>
      <c r="UR43" s="147"/>
      <c r="US43" s="147"/>
      <c r="UT43" s="147"/>
      <c r="UU43" s="147"/>
      <c r="UV43" s="147"/>
      <c r="UW43" s="147"/>
      <c r="UX43" s="147"/>
      <c r="UY43" s="147"/>
      <c r="UZ43" s="147"/>
      <c r="VA43" s="147"/>
      <c r="VB43" s="147"/>
      <c r="VC43" s="147"/>
      <c r="VD43" s="147"/>
      <c r="VE43" s="147"/>
      <c r="VF43" s="147"/>
      <c r="VG43" s="147"/>
      <c r="VH43" s="147"/>
      <c r="VI43" s="147"/>
      <c r="VJ43" s="147"/>
      <c r="VK43" s="147"/>
      <c r="VL43" s="147"/>
      <c r="VM43" s="147"/>
      <c r="VN43" s="147"/>
      <c r="VO43" s="147"/>
      <c r="VP43" s="147"/>
      <c r="VQ43" s="147"/>
      <c r="VR43" s="147"/>
      <c r="VS43" s="147"/>
      <c r="VT43" s="147"/>
      <c r="VU43" s="147"/>
      <c r="VV43" s="147"/>
      <c r="VW43" s="147"/>
      <c r="VX43" s="147"/>
      <c r="VY43" s="147"/>
      <c r="VZ43" s="147"/>
      <c r="WA43" s="147"/>
      <c r="WB43" s="147"/>
      <c r="WC43" s="147"/>
      <c r="WD43" s="147"/>
      <c r="WE43" s="147"/>
      <c r="WF43" s="147"/>
      <c r="WG43" s="147"/>
      <c r="WH43" s="147"/>
      <c r="WI43" s="147"/>
      <c r="WJ43" s="147"/>
      <c r="WK43" s="147"/>
      <c r="WL43" s="147"/>
      <c r="WM43" s="147"/>
      <c r="WN43" s="147"/>
      <c r="WO43" s="147"/>
      <c r="WP43" s="147"/>
      <c r="WQ43" s="147"/>
      <c r="WR43" s="147"/>
      <c r="WS43" s="147"/>
      <c r="WT43" s="147"/>
      <c r="WU43" s="147"/>
      <c r="WV43" s="147"/>
      <c r="WW43" s="147"/>
      <c r="WX43" s="147"/>
      <c r="WY43" s="147"/>
      <c r="WZ43" s="147"/>
      <c r="XA43" s="147"/>
      <c r="XB43" s="147"/>
      <c r="XC43" s="147"/>
      <c r="XD43" s="147"/>
      <c r="XE43" s="147"/>
      <c r="XF43" s="147"/>
      <c r="XG43" s="147"/>
      <c r="XH43" s="147"/>
      <c r="XI43" s="147"/>
      <c r="XJ43" s="147"/>
      <c r="XK43" s="147"/>
      <c r="XL43" s="147"/>
      <c r="XM43" s="147"/>
      <c r="XN43" s="147"/>
      <c r="XO43" s="147"/>
      <c r="XP43" s="147"/>
      <c r="XQ43" s="147"/>
      <c r="XR43" s="147"/>
      <c r="XS43" s="147"/>
      <c r="XT43" s="147"/>
      <c r="XU43" s="147"/>
      <c r="XV43" s="147"/>
      <c r="XW43" s="147"/>
      <c r="XX43" s="147"/>
      <c r="XY43" s="147"/>
      <c r="XZ43" s="147"/>
      <c r="YA43" s="147"/>
      <c r="YB43" s="147"/>
      <c r="YC43" s="147"/>
      <c r="YD43" s="147"/>
      <c r="YE43" s="147"/>
      <c r="YF43" s="147"/>
      <c r="YG43" s="147"/>
      <c r="YH43" s="147"/>
      <c r="YI43" s="147"/>
      <c r="YJ43" s="147"/>
      <c r="YK43" s="147"/>
      <c r="YL43" s="147"/>
      <c r="YM43" s="147"/>
      <c r="YN43" s="147"/>
      <c r="YO43" s="147"/>
      <c r="YP43" s="147"/>
      <c r="YQ43" s="147"/>
      <c r="YR43" s="147"/>
      <c r="YS43" s="147"/>
      <c r="YT43" s="147"/>
      <c r="YU43" s="147"/>
      <c r="YV43" s="147"/>
      <c r="YW43" s="147"/>
      <c r="YX43" s="147"/>
      <c r="YY43" s="147"/>
      <c r="YZ43" s="147"/>
      <c r="ZA43" s="147"/>
      <c r="ZB43" s="147"/>
      <c r="ZC43" s="147"/>
      <c r="ZD43" s="147"/>
      <c r="ZE43" s="147"/>
      <c r="ZF43" s="147"/>
      <c r="ZG43" s="147"/>
      <c r="ZH43" s="147"/>
      <c r="ZI43" s="147"/>
      <c r="ZJ43" s="147"/>
      <c r="ZK43" s="147"/>
      <c r="ZL43" s="147"/>
      <c r="ZM43" s="147"/>
      <c r="ZN43" s="147"/>
      <c r="ZO43" s="147"/>
      <c r="ZP43" s="147"/>
      <c r="ZQ43" s="147"/>
      <c r="ZR43" s="147"/>
      <c r="ZS43" s="147"/>
      <c r="ZT43" s="147"/>
      <c r="ZU43" s="147"/>
      <c r="ZV43" s="147"/>
      <c r="ZW43" s="147"/>
      <c r="ZX43" s="147"/>
      <c r="ZY43" s="147"/>
      <c r="ZZ43" s="147"/>
      <c r="AAA43" s="147"/>
      <c r="AAB43" s="147"/>
      <c r="AAC43" s="147"/>
      <c r="AAD43" s="147"/>
      <c r="AAE43" s="147"/>
      <c r="AAF43" s="147"/>
      <c r="AAG43" s="147"/>
      <c r="AAH43" s="147"/>
      <c r="AAI43" s="147"/>
      <c r="AAJ43" s="147"/>
      <c r="AAK43" s="147"/>
      <c r="AAL43" s="147"/>
      <c r="AAM43" s="147"/>
      <c r="AAN43" s="147"/>
      <c r="AAO43" s="147"/>
      <c r="AAP43" s="147"/>
      <c r="AAQ43" s="147"/>
      <c r="AAR43" s="147"/>
      <c r="AAS43" s="147"/>
      <c r="AAT43" s="147"/>
      <c r="AAU43" s="147"/>
      <c r="AAV43" s="147"/>
      <c r="AAW43" s="147"/>
      <c r="AAX43" s="147"/>
      <c r="AAY43" s="147"/>
      <c r="AAZ43" s="147"/>
      <c r="ABA43" s="147"/>
      <c r="ABB43" s="147"/>
      <c r="ABC43" s="147"/>
      <c r="ABD43" s="147"/>
      <c r="ABE43" s="147"/>
      <c r="ABF43" s="147"/>
      <c r="ABG43" s="147"/>
      <c r="ABH43" s="147"/>
      <c r="ABI43" s="147"/>
      <c r="ABJ43" s="147"/>
      <c r="ABK43" s="147"/>
      <c r="ABL43" s="147"/>
      <c r="ABM43" s="147"/>
      <c r="ABN43" s="147"/>
      <c r="ABO43" s="147"/>
      <c r="ABP43" s="147"/>
      <c r="ABQ43" s="147"/>
      <c r="ABR43" s="147"/>
      <c r="ABS43" s="147"/>
      <c r="ABT43" s="147"/>
      <c r="ABU43" s="147"/>
      <c r="ABV43" s="147"/>
      <c r="ABW43" s="147"/>
      <c r="ABX43" s="147"/>
      <c r="ABY43" s="147"/>
      <c r="ABZ43" s="147"/>
      <c r="ACA43" s="147"/>
      <c r="ACB43" s="147"/>
      <c r="ACC43" s="147"/>
      <c r="ACD43" s="147"/>
      <c r="ACE43" s="147"/>
      <c r="ACF43" s="147"/>
      <c r="ACG43" s="147"/>
      <c r="ACH43" s="147"/>
      <c r="ACI43" s="147"/>
      <c r="ACJ43" s="147"/>
      <c r="ACK43" s="147"/>
      <c r="ACL43" s="147"/>
      <c r="ACM43" s="147"/>
      <c r="ACN43" s="147"/>
      <c r="ACO43" s="147"/>
      <c r="ACP43" s="147"/>
      <c r="ACQ43" s="147"/>
      <c r="ACR43" s="147"/>
      <c r="ACS43" s="147"/>
      <c r="ACT43" s="147"/>
      <c r="ACU43" s="147"/>
      <c r="ACV43" s="147"/>
      <c r="ACW43" s="147"/>
      <c r="ACX43" s="147"/>
      <c r="ACY43" s="147"/>
      <c r="ACZ43" s="147"/>
      <c r="ADA43" s="147"/>
      <c r="ADB43" s="147"/>
      <c r="ADC43" s="147"/>
      <c r="ADD43" s="147"/>
      <c r="ADE43" s="147"/>
      <c r="ADF43" s="147"/>
      <c r="ADG43" s="147"/>
      <c r="ADH43" s="147"/>
      <c r="ADI43" s="147"/>
      <c r="ADJ43" s="147"/>
      <c r="ADK43" s="147"/>
      <c r="ADL43" s="147"/>
      <c r="ADM43" s="147"/>
      <c r="ADN43" s="147"/>
      <c r="ADO43" s="147"/>
      <c r="ADP43" s="147"/>
      <c r="ADQ43" s="147"/>
      <c r="ADR43" s="147"/>
      <c r="ADS43" s="147"/>
      <c r="ADT43" s="147"/>
      <c r="ADU43" s="147"/>
      <c r="ADV43" s="147"/>
      <c r="ADW43" s="147"/>
      <c r="ADX43" s="147"/>
      <c r="ADY43" s="147"/>
      <c r="ADZ43" s="147"/>
      <c r="AEA43" s="147"/>
      <c r="AEB43" s="147"/>
      <c r="AEC43" s="147"/>
      <c r="AED43" s="147"/>
      <c r="AEE43" s="147"/>
      <c r="AEF43" s="147"/>
      <c r="AEG43" s="147"/>
      <c r="AEH43" s="147"/>
      <c r="AEI43" s="147"/>
      <c r="AEJ43" s="147"/>
      <c r="AEK43" s="147"/>
      <c r="AEL43" s="147"/>
      <c r="AEM43" s="147"/>
      <c r="AEN43" s="147"/>
      <c r="AEO43" s="147"/>
      <c r="AEP43" s="147"/>
      <c r="AEQ43" s="147"/>
      <c r="AER43" s="147"/>
      <c r="AES43" s="147"/>
      <c r="AET43" s="147"/>
      <c r="AEU43" s="147"/>
      <c r="AEV43" s="147"/>
      <c r="AEW43" s="147"/>
      <c r="AEX43" s="147"/>
      <c r="AEY43" s="147"/>
      <c r="AEZ43" s="147"/>
      <c r="AFA43" s="147"/>
      <c r="AFB43" s="147"/>
      <c r="AFC43" s="147"/>
      <c r="AFD43" s="147"/>
      <c r="AFE43" s="147"/>
      <c r="AFF43" s="147"/>
      <c r="AFG43" s="147"/>
      <c r="AFH43" s="147"/>
      <c r="AFI43" s="147"/>
      <c r="AFJ43" s="147"/>
      <c r="AFK43" s="147"/>
      <c r="AFL43" s="147"/>
      <c r="AFM43" s="147"/>
      <c r="AFN43" s="147"/>
      <c r="AFO43" s="147"/>
      <c r="AFP43" s="147"/>
      <c r="AFQ43" s="147"/>
      <c r="AFR43" s="147"/>
      <c r="AFS43" s="147"/>
      <c r="AFT43" s="147"/>
      <c r="AFU43" s="147"/>
      <c r="AFV43" s="147"/>
      <c r="AFW43" s="147"/>
      <c r="AFX43" s="147"/>
      <c r="AFY43" s="147"/>
      <c r="AFZ43" s="147"/>
      <c r="AGA43" s="147"/>
      <c r="AGB43" s="147"/>
      <c r="AGC43" s="147"/>
      <c r="AGD43" s="147"/>
      <c r="AGE43" s="147"/>
      <c r="AGF43" s="147"/>
      <c r="AGG43" s="147"/>
      <c r="AGH43" s="147"/>
      <c r="AGI43" s="147"/>
      <c r="AGJ43" s="147"/>
      <c r="AGK43" s="147"/>
      <c r="AGL43" s="147"/>
      <c r="AGM43" s="147"/>
      <c r="AGN43" s="147"/>
      <c r="AGO43" s="147"/>
      <c r="AGP43" s="147"/>
      <c r="AGQ43" s="147"/>
      <c r="AGR43" s="147"/>
      <c r="AGS43" s="147"/>
      <c r="AGT43" s="147"/>
      <c r="AGU43" s="147"/>
      <c r="AGV43" s="147"/>
      <c r="AGW43" s="147"/>
      <c r="AGX43" s="147"/>
      <c r="AGY43" s="147"/>
      <c r="AGZ43" s="147"/>
      <c r="AHA43" s="147"/>
      <c r="AHB43" s="147"/>
      <c r="AHC43" s="147"/>
      <c r="AHD43" s="147"/>
      <c r="AHE43" s="147"/>
      <c r="AHF43" s="147"/>
      <c r="AHG43" s="147"/>
      <c r="AHH43" s="147"/>
      <c r="AHI43" s="147"/>
      <c r="AHJ43" s="147"/>
      <c r="AHK43" s="147"/>
      <c r="AHL43" s="147"/>
      <c r="AHM43" s="147"/>
      <c r="AHN43" s="147"/>
      <c r="AHO43" s="147"/>
      <c r="AHP43" s="147"/>
      <c r="AHQ43" s="147"/>
      <c r="AHR43" s="147"/>
      <c r="AHS43" s="147"/>
      <c r="AHT43" s="147"/>
      <c r="AHU43" s="147"/>
      <c r="AHV43" s="147"/>
      <c r="AHW43" s="147"/>
      <c r="AHX43" s="147"/>
      <c r="AHY43" s="147"/>
      <c r="AHZ43" s="147"/>
      <c r="AIA43" s="147"/>
      <c r="AIB43" s="147"/>
      <c r="AIC43" s="147"/>
      <c r="AID43" s="147"/>
      <c r="AIE43" s="147"/>
      <c r="AIF43" s="147"/>
      <c r="AIG43" s="147"/>
      <c r="AIH43" s="147"/>
      <c r="AII43" s="147"/>
      <c r="AIJ43" s="147"/>
      <c r="AIK43" s="147"/>
      <c r="AIL43" s="147"/>
      <c r="AIM43" s="147"/>
      <c r="AIN43" s="147"/>
      <c r="AIO43" s="147"/>
      <c r="AIP43" s="147"/>
      <c r="AIQ43" s="147"/>
      <c r="AIR43" s="147"/>
      <c r="AIS43" s="147"/>
      <c r="AIT43" s="147"/>
      <c r="AIU43" s="147"/>
      <c r="AIV43" s="147"/>
      <c r="AIW43" s="147"/>
      <c r="AIX43" s="147"/>
      <c r="AIY43" s="147"/>
      <c r="AIZ43" s="147"/>
      <c r="AJA43" s="147"/>
      <c r="AJB43" s="147"/>
      <c r="AJC43" s="147"/>
      <c r="AJD43" s="147"/>
      <c r="AJE43" s="147"/>
      <c r="AJF43" s="147"/>
      <c r="AJG43" s="147"/>
      <c r="AJH43" s="147"/>
      <c r="AJI43" s="147"/>
      <c r="AJJ43" s="147"/>
      <c r="AJK43" s="147"/>
      <c r="AJL43" s="147"/>
      <c r="AJM43" s="147"/>
      <c r="AJN43" s="147"/>
      <c r="AJO43" s="147"/>
      <c r="AJP43" s="147"/>
      <c r="AJQ43" s="147"/>
      <c r="AJR43" s="147"/>
      <c r="AJS43" s="147"/>
      <c r="AJT43" s="147"/>
      <c r="AJU43" s="147"/>
      <c r="AJV43" s="147"/>
      <c r="AJW43" s="147"/>
      <c r="AJX43" s="147"/>
      <c r="AJY43" s="147"/>
      <c r="AJZ43" s="147"/>
      <c r="AKA43" s="147"/>
      <c r="AKB43" s="147"/>
      <c r="AKC43" s="147"/>
      <c r="AKD43" s="147"/>
      <c r="AKE43" s="147"/>
      <c r="AKF43" s="147"/>
      <c r="AKG43" s="147"/>
      <c r="AKH43" s="147"/>
      <c r="AKI43" s="147"/>
      <c r="AKJ43" s="147"/>
      <c r="AKK43" s="147"/>
      <c r="AKL43" s="147"/>
      <c r="AKM43" s="147"/>
      <c r="AKN43" s="147"/>
      <c r="AKO43" s="147"/>
      <c r="AKP43" s="147"/>
      <c r="AKQ43" s="147"/>
      <c r="AKR43" s="147"/>
      <c r="AKS43" s="147"/>
      <c r="AKT43" s="147"/>
      <c r="AKU43" s="147"/>
      <c r="AKV43" s="147"/>
      <c r="AKW43" s="147"/>
      <c r="AKX43" s="147"/>
      <c r="AKY43" s="147"/>
      <c r="AKZ43" s="147"/>
      <c r="ALA43" s="147"/>
      <c r="ALB43" s="147"/>
      <c r="ALC43" s="147"/>
      <c r="ALD43" s="147"/>
      <c r="ALE43" s="147"/>
      <c r="ALF43" s="147"/>
      <c r="ALG43" s="147"/>
      <c r="ALH43" s="147"/>
      <c r="ALI43" s="147"/>
      <c r="ALJ43" s="147"/>
      <c r="ALK43" s="147"/>
      <c r="ALL43" s="147"/>
      <c r="ALM43" s="147"/>
      <c r="ALN43" s="147"/>
      <c r="ALO43" s="147"/>
      <c r="ALP43" s="147"/>
      <c r="ALQ43" s="147"/>
    </row>
    <row r="44" spans="1:1005" x14ac:dyDescent="0.25">
      <c r="A44" s="258">
        <v>38</v>
      </c>
      <c r="B44" s="258">
        <v>37</v>
      </c>
      <c r="C44" s="28" t="s">
        <v>166</v>
      </c>
      <c r="D44" s="503">
        <v>0.57779458450046683</v>
      </c>
      <c r="E44" s="558">
        <v>0.73099999999999998</v>
      </c>
      <c r="F44" s="558">
        <f t="shared" si="1"/>
        <v>0.65439729225023346</v>
      </c>
      <c r="G44" s="530">
        <v>0.25</v>
      </c>
      <c r="H44" s="558">
        <f>F44-G44</f>
        <v>0.40439729225023346</v>
      </c>
    </row>
    <row r="45" spans="1:1005" x14ac:dyDescent="0.25">
      <c r="A45" s="527" t="s">
        <v>118</v>
      </c>
      <c r="B45" s="527"/>
      <c r="C45" s="564"/>
      <c r="D45" s="522">
        <f>AVERAGE(D7:D26,D27:D44)</f>
        <v>0.58929735151951312</v>
      </c>
      <c r="E45" s="522">
        <f>AVERAGE(E7:E26,E27:E44)</f>
        <v>2.1651016370436418</v>
      </c>
      <c r="F45" s="523">
        <f>AVERAGE(F7:F26,F27:F44)</f>
        <v>1.3771994942815773</v>
      </c>
      <c r="G45" s="530"/>
      <c r="H45" s="523">
        <f>AVERAGE(H7:H26,H27:H44)</f>
        <v>1.3180021258605246</v>
      </c>
    </row>
    <row r="46" spans="1:1005" ht="15.75" thickBot="1" x14ac:dyDescent="0.3"/>
    <row r="47" spans="1:1005" ht="21.75" customHeight="1" x14ac:dyDescent="0.25">
      <c r="A47" s="196">
        <v>1</v>
      </c>
      <c r="B47" s="580"/>
      <c r="C47" s="204" t="s">
        <v>174</v>
      </c>
      <c r="D47" s="503">
        <v>0.66612500000000008</v>
      </c>
      <c r="E47" s="503">
        <v>2.0605870771433685</v>
      </c>
      <c r="F47" s="503">
        <v>1.3633560385716843</v>
      </c>
      <c r="G47" s="533"/>
      <c r="H47" s="539"/>
    </row>
    <row r="48" spans="1:1005" x14ac:dyDescent="0.25">
      <c r="A48" s="582" t="s">
        <v>118</v>
      </c>
      <c r="B48" s="583"/>
      <c r="C48" s="584"/>
      <c r="D48" s="522">
        <v>0.66612500000000008</v>
      </c>
      <c r="E48" s="522">
        <v>2.0605870771433685</v>
      </c>
      <c r="F48" s="523">
        <v>1.3633560385716843</v>
      </c>
      <c r="G48" s="530"/>
      <c r="H48" s="503"/>
    </row>
    <row r="49" spans="1:8" ht="25.5" x14ac:dyDescent="0.25">
      <c r="A49" s="23">
        <v>2</v>
      </c>
      <c r="B49" s="579"/>
      <c r="C49" s="28" t="s">
        <v>176</v>
      </c>
      <c r="D49" s="503">
        <v>0.8288958333333335</v>
      </c>
      <c r="E49" s="503">
        <v>0.79588786154575641</v>
      </c>
      <c r="F49" s="503">
        <v>0.81239184743954496</v>
      </c>
      <c r="G49" s="530"/>
      <c r="H49" s="503"/>
    </row>
    <row r="50" spans="1:8" ht="15.75" thickBot="1" x14ac:dyDescent="0.3">
      <c r="A50" s="235">
        <v>3</v>
      </c>
      <c r="B50" s="581"/>
      <c r="C50" s="524" t="s">
        <v>175</v>
      </c>
      <c r="D50" s="525">
        <v>0.56473958333333329</v>
      </c>
      <c r="E50" s="525">
        <v>0.83081955922865003</v>
      </c>
      <c r="F50" s="525">
        <v>0.69777957128099166</v>
      </c>
      <c r="G50" s="534"/>
      <c r="H50" s="525"/>
    </row>
  </sheetData>
  <sheetProtection algorithmName="SHA-512" hashValue="wk6NS7Ob2TAz1s6rK1ANbhtFwjIMrQd0KsHJMRnfbun1rQYUDZ71aK5XfvybMVLfbSNV0Y2CTb78l5XXXylBCw==" saltValue="HTq0+gG5WeRhkHMTKid/0A==" spinCount="100000" sheet="1" objects="1" selectLockedCells="1" selectUnlockedCells="1"/>
  <sortState ref="A7:H45">
    <sortCondition descending="1" ref="H45"/>
  </sortState>
  <mergeCells count="2">
    <mergeCell ref="A48:C48"/>
    <mergeCell ref="C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X45"/>
  <sheetViews>
    <sheetView topLeftCell="A2" zoomScale="68" zoomScaleNormal="68" workbookViewId="0">
      <pane xSplit="2" ySplit="1" topLeftCell="BE14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RowHeight="15" x14ac:dyDescent="0.25"/>
  <cols>
    <col min="1" max="1" width="4.7109375" style="317" bestFit="1" customWidth="1"/>
    <col min="2" max="2" width="38.85546875" style="317" customWidth="1"/>
    <col min="3" max="3" width="9.5703125" style="318" customWidth="1"/>
    <col min="4" max="194" width="9.140625" style="317"/>
    <col min="195" max="195" width="9.140625" style="317" customWidth="1"/>
    <col min="196" max="196" width="9.140625" style="317"/>
    <col min="197" max="197" width="11.28515625" style="317" customWidth="1"/>
    <col min="198" max="199" width="9.140625" style="317"/>
    <col min="200" max="200" width="11.5703125" style="317" customWidth="1"/>
    <col min="201" max="202" width="9.140625" style="317"/>
    <col min="203" max="203" width="10.42578125" style="317" customWidth="1"/>
    <col min="204" max="205" width="9.140625" style="317"/>
    <col min="206" max="206" width="12.140625" style="317" customWidth="1"/>
  </cols>
  <sheetData>
    <row r="1" spans="1:206" ht="18.75" hidden="1" customHeight="1" x14ac:dyDescent="0.3">
      <c r="A1" s="656" t="s">
        <v>218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656"/>
      <c r="AK1" s="656"/>
      <c r="AL1" s="656"/>
      <c r="AM1" s="656"/>
      <c r="AN1" s="656"/>
      <c r="AO1" s="656"/>
      <c r="AP1" s="656"/>
      <c r="AQ1" s="656"/>
      <c r="AR1" s="656"/>
      <c r="AS1" s="656"/>
      <c r="AT1" s="656"/>
      <c r="AU1" s="656"/>
      <c r="AV1" s="656"/>
      <c r="AW1" s="656"/>
      <c r="AX1" s="656"/>
      <c r="AY1" s="656"/>
      <c r="AZ1" s="656"/>
      <c r="BA1" s="656"/>
      <c r="BB1" s="656"/>
      <c r="BC1" s="656"/>
      <c r="BD1" s="656"/>
      <c r="BE1" s="656"/>
      <c r="BF1" s="656"/>
      <c r="BG1" s="656"/>
      <c r="BH1" s="656"/>
      <c r="BI1" s="656"/>
      <c r="BJ1" s="656"/>
      <c r="BK1" s="656"/>
      <c r="BL1" s="656"/>
      <c r="BM1" s="656"/>
      <c r="BN1" s="656"/>
      <c r="BO1" s="656"/>
      <c r="BP1" s="656"/>
      <c r="BQ1" s="656"/>
      <c r="BR1" s="656"/>
      <c r="BS1" s="656"/>
      <c r="BT1" s="656"/>
      <c r="BU1" s="656"/>
      <c r="BV1" s="656"/>
      <c r="BW1" s="656"/>
      <c r="BX1" s="656"/>
      <c r="BY1" s="656"/>
      <c r="BZ1" s="656"/>
      <c r="CA1" s="656"/>
      <c r="CB1" s="656"/>
      <c r="CC1" s="656"/>
      <c r="CD1" s="656"/>
      <c r="CE1" s="656"/>
      <c r="CF1" s="656"/>
      <c r="CG1" s="656"/>
      <c r="CH1" s="656"/>
      <c r="CI1" s="656"/>
      <c r="CJ1" s="656"/>
      <c r="CK1" s="656"/>
      <c r="CL1" s="656"/>
      <c r="CM1" s="656"/>
      <c r="CN1" s="656"/>
      <c r="CO1" s="656"/>
      <c r="CP1" s="656"/>
      <c r="CQ1" s="656"/>
      <c r="CR1" s="656"/>
      <c r="CS1" s="656"/>
      <c r="CT1" s="656"/>
      <c r="CU1" s="656"/>
      <c r="CV1" s="656"/>
      <c r="CW1" s="656"/>
      <c r="CX1" s="656"/>
      <c r="CY1" s="656"/>
      <c r="CZ1" s="656"/>
      <c r="DA1" s="656"/>
      <c r="DB1" s="656"/>
      <c r="DC1" s="656"/>
      <c r="DD1" s="656"/>
      <c r="DE1" s="656"/>
      <c r="DF1" s="656"/>
      <c r="DG1" s="656"/>
      <c r="DH1" s="656"/>
      <c r="DI1" s="656"/>
      <c r="DJ1" s="656"/>
      <c r="DK1" s="656"/>
      <c r="DL1" s="656"/>
      <c r="DM1" s="656"/>
      <c r="DN1" s="656"/>
      <c r="DO1" s="656"/>
      <c r="DP1" s="656"/>
      <c r="DQ1" s="656"/>
      <c r="DR1" s="656"/>
      <c r="DS1" s="656"/>
      <c r="DT1" s="656"/>
      <c r="DU1" s="656"/>
      <c r="DV1" s="656"/>
      <c r="DW1" s="656"/>
      <c r="DX1" s="656"/>
      <c r="DY1" s="656"/>
      <c r="DZ1" s="656"/>
      <c r="EA1" s="656"/>
      <c r="EB1" s="656"/>
      <c r="EC1" s="656"/>
      <c r="ED1" s="656"/>
      <c r="EE1" s="656"/>
      <c r="EF1" s="656"/>
      <c r="EG1" s="656"/>
      <c r="EH1" s="656"/>
      <c r="EI1" s="656"/>
      <c r="EJ1" s="656"/>
      <c r="EK1" s="656"/>
      <c r="EL1" s="656"/>
      <c r="EM1" s="656"/>
      <c r="EN1" s="656"/>
      <c r="EO1" s="656"/>
      <c r="EP1" s="656"/>
      <c r="EQ1" s="656"/>
      <c r="ER1" s="656"/>
      <c r="ES1" s="656"/>
      <c r="ET1" s="656"/>
      <c r="EU1" s="656"/>
      <c r="EV1" s="656"/>
      <c r="EW1" s="656"/>
      <c r="EX1" s="656"/>
      <c r="EY1" s="656"/>
      <c r="EZ1" s="656"/>
      <c r="FA1" s="656"/>
      <c r="FB1" s="656"/>
      <c r="FC1" s="656"/>
      <c r="FD1" s="656"/>
      <c r="FE1" s="656"/>
      <c r="FF1" s="656"/>
      <c r="FG1" s="656"/>
      <c r="FH1" s="656"/>
      <c r="FI1" s="656"/>
      <c r="FJ1" s="656"/>
      <c r="FK1" s="656"/>
      <c r="FL1" s="656"/>
      <c r="FM1" s="656"/>
      <c r="FN1" s="656"/>
      <c r="FO1" s="656"/>
      <c r="FP1" s="656"/>
      <c r="FQ1" s="656"/>
      <c r="FR1" s="656"/>
      <c r="FS1" s="656"/>
      <c r="FT1" s="656"/>
      <c r="FU1" s="656"/>
      <c r="FV1" s="656"/>
      <c r="FW1" s="656"/>
      <c r="FX1" s="656"/>
      <c r="FY1" s="656"/>
      <c r="FZ1" s="656"/>
      <c r="GA1" s="656"/>
      <c r="GB1" s="656"/>
      <c r="GC1" s="656"/>
      <c r="GD1" s="656"/>
      <c r="GE1" s="656"/>
      <c r="GF1" s="656"/>
      <c r="GG1" s="656"/>
      <c r="GH1" s="656"/>
      <c r="GI1" s="656"/>
      <c r="GJ1" s="656"/>
      <c r="GK1" s="656"/>
      <c r="GL1" s="656"/>
      <c r="GM1" s="656"/>
      <c r="GN1" s="656"/>
      <c r="GO1" s="656"/>
      <c r="GP1" s="656"/>
      <c r="GQ1" s="656"/>
      <c r="GR1" s="656"/>
      <c r="GS1" s="656"/>
      <c r="GT1" s="656"/>
      <c r="GU1" s="656"/>
      <c r="GV1" s="656"/>
      <c r="GW1" s="656"/>
      <c r="GX1" s="656"/>
    </row>
    <row r="2" spans="1:206" x14ac:dyDescent="0.25">
      <c r="A2"/>
      <c r="B2" s="245"/>
      <c r="C2" s="321"/>
      <c r="D2" s="321"/>
      <c r="E2" s="32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</row>
    <row r="3" spans="1:206" x14ac:dyDescent="0.25">
      <c r="A3"/>
      <c r="B3" s="245"/>
      <c r="C3" s="321"/>
      <c r="D3" s="321"/>
      <c r="E3" s="32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</row>
    <row r="4" spans="1:206" s="325" customFormat="1" x14ac:dyDescent="0.25">
      <c r="A4" s="323"/>
      <c r="B4" s="324" t="s">
        <v>295</v>
      </c>
      <c r="C4" s="693" t="s">
        <v>296</v>
      </c>
      <c r="D4" s="693"/>
      <c r="E4" s="693"/>
      <c r="F4" s="693"/>
      <c r="G4" s="693"/>
      <c r="H4" s="693"/>
      <c r="I4" s="693" t="s">
        <v>297</v>
      </c>
      <c r="J4" s="693"/>
      <c r="K4" s="693"/>
      <c r="L4" s="693"/>
      <c r="M4" s="693"/>
      <c r="N4" s="693"/>
      <c r="O4" s="693" t="s">
        <v>298</v>
      </c>
      <c r="P4" s="693"/>
      <c r="Q4" s="693"/>
      <c r="R4" s="693"/>
      <c r="S4" s="693"/>
      <c r="T4" s="693"/>
      <c r="U4" s="693" t="s">
        <v>299</v>
      </c>
      <c r="V4" s="693"/>
      <c r="W4" s="693"/>
      <c r="X4" s="693"/>
      <c r="Y4" s="693"/>
      <c r="Z4" s="693"/>
      <c r="AA4" s="693" t="s">
        <v>300</v>
      </c>
      <c r="AB4" s="693"/>
      <c r="AC4" s="693"/>
      <c r="AD4" s="693"/>
      <c r="AE4" s="693"/>
      <c r="AF4" s="693"/>
      <c r="AG4" s="693" t="s">
        <v>301</v>
      </c>
      <c r="AH4" s="693"/>
      <c r="AI4" s="693"/>
      <c r="AJ4" s="693"/>
      <c r="AK4" s="693"/>
      <c r="AL4" s="693"/>
      <c r="AM4" s="693" t="s">
        <v>302</v>
      </c>
      <c r="AN4" s="693"/>
      <c r="AO4" s="693"/>
      <c r="AP4" s="693"/>
      <c r="AQ4" s="693"/>
      <c r="AR4" s="693"/>
      <c r="AS4" s="693"/>
      <c r="AT4" s="693"/>
      <c r="AU4" s="693"/>
      <c r="AV4" s="693" t="s">
        <v>303</v>
      </c>
      <c r="AW4" s="693"/>
      <c r="AX4" s="693"/>
      <c r="AY4" s="693"/>
      <c r="AZ4" s="693"/>
      <c r="BA4" s="693"/>
      <c r="BB4" s="693" t="s">
        <v>304</v>
      </c>
      <c r="BC4" s="693"/>
      <c r="BD4" s="693"/>
      <c r="BE4" s="693"/>
      <c r="BF4" s="693"/>
      <c r="BG4" s="693"/>
      <c r="BH4" s="693" t="s">
        <v>305</v>
      </c>
      <c r="BI4" s="693"/>
      <c r="BJ4" s="693"/>
      <c r="BK4" s="693"/>
      <c r="BL4" s="693"/>
      <c r="BM4" s="693"/>
      <c r="BN4" s="693" t="s">
        <v>306</v>
      </c>
      <c r="BO4" s="693"/>
      <c r="BP4" s="693"/>
      <c r="BQ4" s="323"/>
      <c r="BR4" s="323"/>
      <c r="BS4" s="323"/>
    </row>
    <row r="5" spans="1:206" ht="165" customHeight="1" x14ac:dyDescent="0.25">
      <c r="A5" s="323"/>
      <c r="B5" s="326"/>
      <c r="C5" s="680" t="s">
        <v>51</v>
      </c>
      <c r="D5" s="680"/>
      <c r="E5" s="680"/>
      <c r="F5" s="680" t="s">
        <v>274</v>
      </c>
      <c r="G5" s="680"/>
      <c r="H5" s="680"/>
      <c r="I5" s="680" t="s">
        <v>51</v>
      </c>
      <c r="J5" s="680"/>
      <c r="K5" s="680"/>
      <c r="L5" s="680" t="s">
        <v>274</v>
      </c>
      <c r="M5" s="680"/>
      <c r="N5" s="680"/>
      <c r="O5" s="680" t="s">
        <v>51</v>
      </c>
      <c r="P5" s="680"/>
      <c r="Q5" s="680"/>
      <c r="R5" s="680" t="s">
        <v>274</v>
      </c>
      <c r="S5" s="680"/>
      <c r="T5" s="680"/>
      <c r="U5" s="680" t="s">
        <v>51</v>
      </c>
      <c r="V5" s="680"/>
      <c r="W5" s="680"/>
      <c r="X5" s="680" t="s">
        <v>274</v>
      </c>
      <c r="Y5" s="680"/>
      <c r="Z5" s="680"/>
      <c r="AA5" s="680" t="s">
        <v>51</v>
      </c>
      <c r="AB5" s="680"/>
      <c r="AC5" s="680"/>
      <c r="AD5" s="680" t="s">
        <v>274</v>
      </c>
      <c r="AE5" s="680"/>
      <c r="AF5" s="680"/>
      <c r="AG5" s="680" t="s">
        <v>51</v>
      </c>
      <c r="AH5" s="680"/>
      <c r="AI5" s="680"/>
      <c r="AJ5" s="680" t="s">
        <v>274</v>
      </c>
      <c r="AK5" s="680"/>
      <c r="AL5" s="680"/>
      <c r="AM5" s="680" t="s">
        <v>51</v>
      </c>
      <c r="AN5" s="680"/>
      <c r="AO5" s="680"/>
      <c r="AP5" s="680" t="s">
        <v>274</v>
      </c>
      <c r="AQ5" s="680"/>
      <c r="AR5" s="680"/>
      <c r="AS5" s="680" t="s">
        <v>52</v>
      </c>
      <c r="AT5" s="680"/>
      <c r="AU5" s="680"/>
      <c r="AV5" s="680" t="s">
        <v>51</v>
      </c>
      <c r="AW5" s="680"/>
      <c r="AX5" s="680"/>
      <c r="AY5" s="680" t="s">
        <v>274</v>
      </c>
      <c r="AZ5" s="680"/>
      <c r="BA5" s="680"/>
      <c r="BB5" s="680" t="s">
        <v>51</v>
      </c>
      <c r="BC5" s="680"/>
      <c r="BD5" s="680"/>
      <c r="BE5" s="680" t="s">
        <v>274</v>
      </c>
      <c r="BF5" s="680"/>
      <c r="BG5" s="680"/>
      <c r="BH5" s="680" t="s">
        <v>274</v>
      </c>
      <c r="BI5" s="680"/>
      <c r="BJ5" s="680"/>
      <c r="BK5" s="680" t="s">
        <v>52</v>
      </c>
      <c r="BL5" s="680"/>
      <c r="BM5" s="680"/>
      <c r="BN5" s="680" t="s">
        <v>307</v>
      </c>
      <c r="BO5" s="680"/>
      <c r="BP5" s="680"/>
      <c r="BQ5" s="694" t="s">
        <v>118</v>
      </c>
      <c r="BR5" s="694"/>
      <c r="BS5" s="694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</row>
    <row r="6" spans="1:206" s="333" customFormat="1" ht="51" x14ac:dyDescent="0.25">
      <c r="A6" s="327" t="s">
        <v>308</v>
      </c>
      <c r="B6" s="328" t="s">
        <v>309</v>
      </c>
      <c r="C6" s="329" t="s">
        <v>310</v>
      </c>
      <c r="D6" s="329" t="s">
        <v>311</v>
      </c>
      <c r="E6" s="330" t="s">
        <v>312</v>
      </c>
      <c r="F6" s="329" t="s">
        <v>310</v>
      </c>
      <c r="G6" s="329" t="s">
        <v>311</v>
      </c>
      <c r="H6" s="330" t="s">
        <v>312</v>
      </c>
      <c r="I6" s="329" t="s">
        <v>310</v>
      </c>
      <c r="J6" s="329" t="s">
        <v>311</v>
      </c>
      <c r="K6" s="330" t="s">
        <v>312</v>
      </c>
      <c r="L6" s="329" t="s">
        <v>310</v>
      </c>
      <c r="M6" s="329" t="s">
        <v>311</v>
      </c>
      <c r="N6" s="330" t="s">
        <v>312</v>
      </c>
      <c r="O6" s="329" t="s">
        <v>310</v>
      </c>
      <c r="P6" s="329" t="s">
        <v>311</v>
      </c>
      <c r="Q6" s="330" t="s">
        <v>312</v>
      </c>
      <c r="R6" s="329" t="s">
        <v>310</v>
      </c>
      <c r="S6" s="329" t="s">
        <v>311</v>
      </c>
      <c r="T6" s="330" t="s">
        <v>312</v>
      </c>
      <c r="U6" s="329" t="s">
        <v>310</v>
      </c>
      <c r="V6" s="329" t="s">
        <v>311</v>
      </c>
      <c r="W6" s="330" t="s">
        <v>312</v>
      </c>
      <c r="X6" s="329" t="s">
        <v>310</v>
      </c>
      <c r="Y6" s="329" t="s">
        <v>311</v>
      </c>
      <c r="Z6" s="330" t="s">
        <v>312</v>
      </c>
      <c r="AA6" s="329" t="s">
        <v>310</v>
      </c>
      <c r="AB6" s="329" t="s">
        <v>311</v>
      </c>
      <c r="AC6" s="330" t="s">
        <v>312</v>
      </c>
      <c r="AD6" s="329" t="s">
        <v>310</v>
      </c>
      <c r="AE6" s="329" t="s">
        <v>311</v>
      </c>
      <c r="AF6" s="330" t="s">
        <v>312</v>
      </c>
      <c r="AG6" s="329" t="s">
        <v>310</v>
      </c>
      <c r="AH6" s="329" t="s">
        <v>311</v>
      </c>
      <c r="AI6" s="330" t="s">
        <v>312</v>
      </c>
      <c r="AJ6" s="329" t="s">
        <v>310</v>
      </c>
      <c r="AK6" s="329" t="s">
        <v>311</v>
      </c>
      <c r="AL6" s="330" t="s">
        <v>312</v>
      </c>
      <c r="AM6" s="329" t="s">
        <v>310</v>
      </c>
      <c r="AN6" s="329" t="s">
        <v>311</v>
      </c>
      <c r="AO6" s="330" t="s">
        <v>312</v>
      </c>
      <c r="AP6" s="329" t="s">
        <v>310</v>
      </c>
      <c r="AQ6" s="329" t="s">
        <v>311</v>
      </c>
      <c r="AR6" s="330" t="s">
        <v>312</v>
      </c>
      <c r="AS6" s="329" t="s">
        <v>310</v>
      </c>
      <c r="AT6" s="329" t="s">
        <v>311</v>
      </c>
      <c r="AU6" s="330" t="s">
        <v>312</v>
      </c>
      <c r="AV6" s="329" t="s">
        <v>310</v>
      </c>
      <c r="AW6" s="329" t="s">
        <v>311</v>
      </c>
      <c r="AX6" s="330" t="s">
        <v>312</v>
      </c>
      <c r="AY6" s="329" t="s">
        <v>310</v>
      </c>
      <c r="AZ6" s="329" t="s">
        <v>311</v>
      </c>
      <c r="BA6" s="330" t="s">
        <v>312</v>
      </c>
      <c r="BB6" s="329" t="s">
        <v>310</v>
      </c>
      <c r="BC6" s="329" t="s">
        <v>311</v>
      </c>
      <c r="BD6" s="330" t="s">
        <v>312</v>
      </c>
      <c r="BE6" s="329" t="s">
        <v>310</v>
      </c>
      <c r="BF6" s="329" t="s">
        <v>311</v>
      </c>
      <c r="BG6" s="330" t="s">
        <v>312</v>
      </c>
      <c r="BH6" s="329" t="s">
        <v>310</v>
      </c>
      <c r="BI6" s="329" t="s">
        <v>311</v>
      </c>
      <c r="BJ6" s="330" t="s">
        <v>312</v>
      </c>
      <c r="BK6" s="329" t="s">
        <v>310</v>
      </c>
      <c r="BL6" s="329" t="s">
        <v>311</v>
      </c>
      <c r="BM6" s="330" t="s">
        <v>312</v>
      </c>
      <c r="BN6" s="329" t="s">
        <v>310</v>
      </c>
      <c r="BO6" s="329" t="s">
        <v>311</v>
      </c>
      <c r="BP6" s="330" t="s">
        <v>312</v>
      </c>
      <c r="BQ6" s="331" t="s">
        <v>310</v>
      </c>
      <c r="BR6" s="331" t="s">
        <v>311</v>
      </c>
      <c r="BS6" s="332" t="s">
        <v>312</v>
      </c>
    </row>
    <row r="7" spans="1:206" ht="15.75" x14ac:dyDescent="0.25">
      <c r="A7" s="334">
        <v>1</v>
      </c>
      <c r="B7" s="335" t="s">
        <v>139</v>
      </c>
      <c r="C7" s="71">
        <v>1</v>
      </c>
      <c r="D7" s="71"/>
      <c r="E7" s="336">
        <f t="shared" ref="E7:E30" si="0">D7/C7</f>
        <v>0</v>
      </c>
      <c r="F7" s="72"/>
      <c r="G7" s="72"/>
      <c r="H7" s="336" t="e">
        <f t="shared" ref="H7:H30" si="1">G7/F7</f>
        <v>#DIV/0!</v>
      </c>
      <c r="I7" s="71">
        <v>1</v>
      </c>
      <c r="J7" s="71"/>
      <c r="K7" s="336">
        <f t="shared" ref="K7:K30" si="2">J7/I7</f>
        <v>0</v>
      </c>
      <c r="L7" s="72"/>
      <c r="M7" s="72"/>
      <c r="N7" s="336" t="e">
        <f t="shared" ref="N7:N30" si="3">M7/L7</f>
        <v>#DIV/0!</v>
      </c>
      <c r="O7" s="71"/>
      <c r="P7" s="71"/>
      <c r="Q7" s="336" t="e">
        <f t="shared" ref="Q7:Q30" si="4">P7/O7</f>
        <v>#DIV/0!</v>
      </c>
      <c r="R7" s="72"/>
      <c r="S7" s="72"/>
      <c r="T7" s="336" t="e">
        <f t="shared" ref="T7:T30" si="5">S7/R7</f>
        <v>#DIV/0!</v>
      </c>
      <c r="U7" s="72"/>
      <c r="V7" s="72"/>
      <c r="W7" s="336" t="e">
        <f t="shared" ref="W7:W30" si="6">V7/U7</f>
        <v>#DIV/0!</v>
      </c>
      <c r="X7" s="72"/>
      <c r="Y7" s="72"/>
      <c r="Z7" s="336" t="e">
        <f t="shared" ref="Z7:Z30" si="7">Y7/X7</f>
        <v>#DIV/0!</v>
      </c>
      <c r="AA7" s="72">
        <v>1</v>
      </c>
      <c r="AB7" s="72"/>
      <c r="AC7" s="336">
        <f t="shared" ref="AC7:AC30" si="8">AB7/AA7</f>
        <v>0</v>
      </c>
      <c r="AD7" s="72"/>
      <c r="AE7" s="72"/>
      <c r="AF7" s="336" t="e">
        <f t="shared" ref="AF7:AF30" si="9">AE7/AD7</f>
        <v>#DIV/0!</v>
      </c>
      <c r="AG7" s="72">
        <v>1</v>
      </c>
      <c r="AH7" s="72"/>
      <c r="AI7" s="336">
        <f t="shared" ref="AI7:AI30" si="10">AH7/AG7</f>
        <v>0</v>
      </c>
      <c r="AJ7" s="72"/>
      <c r="AK7" s="72"/>
      <c r="AL7" s="336" t="e">
        <f t="shared" ref="AL7:AL30" si="11">AK7/AJ7</f>
        <v>#DIV/0!</v>
      </c>
      <c r="AM7" s="72">
        <v>1</v>
      </c>
      <c r="AN7" s="72"/>
      <c r="AO7" s="336">
        <f t="shared" ref="AO7:AO30" si="12">AN7/AM7</f>
        <v>0</v>
      </c>
      <c r="AP7" s="72"/>
      <c r="AQ7" s="72"/>
      <c r="AR7" s="336" t="e">
        <f t="shared" ref="AR7:AR30" si="13">AQ7/AP7</f>
        <v>#DIV/0!</v>
      </c>
      <c r="AS7" s="72"/>
      <c r="AT7" s="72"/>
      <c r="AU7" s="336" t="e">
        <f t="shared" ref="AU7:AU30" si="14">AT7/AS7</f>
        <v>#DIV/0!</v>
      </c>
      <c r="AV7" s="72">
        <v>1</v>
      </c>
      <c r="AW7" s="72"/>
      <c r="AX7" s="336">
        <f t="shared" ref="AX7:AX30" si="15">AW7/AV7</f>
        <v>0</v>
      </c>
      <c r="AY7" s="72"/>
      <c r="AZ7" s="72"/>
      <c r="BA7" s="336" t="e">
        <f t="shared" ref="BA7:BA30" si="16">AZ7/AY7</f>
        <v>#DIV/0!</v>
      </c>
      <c r="BB7" s="72">
        <v>1</v>
      </c>
      <c r="BC7" s="72"/>
      <c r="BD7" s="336">
        <f t="shared" ref="BD7:BD30" si="17">BC7/BB7</f>
        <v>0</v>
      </c>
      <c r="BE7" s="72"/>
      <c r="BF7" s="72"/>
      <c r="BG7" s="336" t="e">
        <f t="shared" ref="BG7:BG30" si="18">BF7/BE7</f>
        <v>#DIV/0!</v>
      </c>
      <c r="BH7" s="72"/>
      <c r="BI7" s="72"/>
      <c r="BJ7" s="336" t="e">
        <f t="shared" ref="BJ7:BJ30" si="19">BI7/BH7</f>
        <v>#DIV/0!</v>
      </c>
      <c r="BK7" s="72"/>
      <c r="BL7" s="72"/>
      <c r="BM7" s="336" t="e">
        <f t="shared" ref="BM7:BM30" si="20">BL7/BK7</f>
        <v>#DIV/0!</v>
      </c>
      <c r="BN7" s="72">
        <v>0</v>
      </c>
      <c r="BO7" s="72"/>
      <c r="BP7" s="336" t="e">
        <f>BO7/BN7</f>
        <v>#DIV/0!</v>
      </c>
      <c r="BQ7" s="337">
        <f>BN7+BK7+BH7+BE7+BB7+AY7+AV7+AS7+AP7+AM7+AJ7+AG7+AD7+AA7+X7+U7+R7+O7+L7+I7+F7+C7</f>
        <v>7</v>
      </c>
      <c r="BR7" s="337">
        <f>BO7+BL7+BI7+BF7+BC7+AZ7+AW7+AT7+AQ7+AN7+AK7+AH7+AE7+AB7+Y7+V7+S7+P7+M7+J7+G7+D7</f>
        <v>0</v>
      </c>
      <c r="BS7" s="338">
        <f>BR7/BQ7</f>
        <v>0</v>
      </c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</row>
    <row r="8" spans="1:206" ht="15.75" x14ac:dyDescent="0.25">
      <c r="A8" s="334">
        <v>2</v>
      </c>
      <c r="B8" s="335" t="s">
        <v>140</v>
      </c>
      <c r="C8" s="71">
        <v>1</v>
      </c>
      <c r="D8" s="71"/>
      <c r="E8" s="336">
        <f t="shared" si="0"/>
        <v>0</v>
      </c>
      <c r="F8" s="72">
        <v>2</v>
      </c>
      <c r="G8" s="72"/>
      <c r="H8" s="336">
        <f t="shared" si="1"/>
        <v>0</v>
      </c>
      <c r="I8" s="71">
        <v>1</v>
      </c>
      <c r="J8" s="71"/>
      <c r="K8" s="336">
        <f t="shared" si="2"/>
        <v>0</v>
      </c>
      <c r="L8" s="72"/>
      <c r="M8" s="72"/>
      <c r="N8" s="336" t="e">
        <f t="shared" si="3"/>
        <v>#DIV/0!</v>
      </c>
      <c r="O8" s="71">
        <v>1</v>
      </c>
      <c r="P8" s="71"/>
      <c r="Q8" s="336">
        <f t="shared" si="4"/>
        <v>0</v>
      </c>
      <c r="R8" s="72"/>
      <c r="S8" s="72"/>
      <c r="T8" s="336" t="e">
        <f t="shared" si="5"/>
        <v>#DIV/0!</v>
      </c>
      <c r="U8" s="72">
        <v>1</v>
      </c>
      <c r="V8" s="72">
        <v>1</v>
      </c>
      <c r="W8" s="336">
        <f t="shared" si="6"/>
        <v>1</v>
      </c>
      <c r="X8" s="72"/>
      <c r="Y8" s="72"/>
      <c r="Z8" s="336" t="e">
        <f t="shared" si="7"/>
        <v>#DIV/0!</v>
      </c>
      <c r="AA8" s="72">
        <v>1</v>
      </c>
      <c r="AB8" s="72">
        <v>1</v>
      </c>
      <c r="AC8" s="336">
        <f t="shared" si="8"/>
        <v>1</v>
      </c>
      <c r="AD8" s="72">
        <v>1</v>
      </c>
      <c r="AE8" s="72">
        <v>1</v>
      </c>
      <c r="AF8" s="336">
        <f t="shared" si="9"/>
        <v>1</v>
      </c>
      <c r="AG8" s="72">
        <v>1</v>
      </c>
      <c r="AH8" s="72">
        <v>1</v>
      </c>
      <c r="AI8" s="336">
        <f t="shared" si="10"/>
        <v>1</v>
      </c>
      <c r="AJ8" s="72"/>
      <c r="AK8" s="72"/>
      <c r="AL8" s="336" t="e">
        <f t="shared" si="11"/>
        <v>#DIV/0!</v>
      </c>
      <c r="AM8" s="72">
        <v>1</v>
      </c>
      <c r="AN8" s="72"/>
      <c r="AO8" s="336">
        <f t="shared" si="12"/>
        <v>0</v>
      </c>
      <c r="AP8" s="72"/>
      <c r="AQ8" s="72"/>
      <c r="AR8" s="336" t="e">
        <f t="shared" si="13"/>
        <v>#DIV/0!</v>
      </c>
      <c r="AS8" s="72"/>
      <c r="AT8" s="72"/>
      <c r="AU8" s="336" t="e">
        <f t="shared" si="14"/>
        <v>#DIV/0!</v>
      </c>
      <c r="AV8" s="72">
        <v>1</v>
      </c>
      <c r="AW8" s="72"/>
      <c r="AX8" s="336">
        <f t="shared" si="15"/>
        <v>0</v>
      </c>
      <c r="AY8" s="72"/>
      <c r="AZ8" s="72"/>
      <c r="BA8" s="336" t="e">
        <f t="shared" si="16"/>
        <v>#DIV/0!</v>
      </c>
      <c r="BB8" s="72">
        <v>1</v>
      </c>
      <c r="BC8" s="72">
        <v>1</v>
      </c>
      <c r="BD8" s="336">
        <f t="shared" si="17"/>
        <v>1</v>
      </c>
      <c r="BE8" s="72"/>
      <c r="BF8" s="72"/>
      <c r="BG8" s="336" t="e">
        <f t="shared" si="18"/>
        <v>#DIV/0!</v>
      </c>
      <c r="BH8" s="72">
        <v>1</v>
      </c>
      <c r="BI8" s="72">
        <v>1</v>
      </c>
      <c r="BJ8" s="336">
        <f t="shared" si="19"/>
        <v>1</v>
      </c>
      <c r="BK8" s="72"/>
      <c r="BL8" s="72"/>
      <c r="BM8" s="336" t="e">
        <f t="shared" si="20"/>
        <v>#DIV/0!</v>
      </c>
      <c r="BN8" s="72">
        <v>1</v>
      </c>
      <c r="BO8" s="72">
        <v>1</v>
      </c>
      <c r="BP8" s="336">
        <f t="shared" ref="BP8:BP30" si="21">BO8/BN8</f>
        <v>1</v>
      </c>
      <c r="BQ8" s="337">
        <f t="shared" ref="BQ8:BR30" si="22">BN8+BK8+BH8+BE8+BB8+AY8+AV8+AS8+AP8+AM8+AJ8+AG8+AD8+AA8+X8+U8+R8+O8+L8+I8+F8+C8</f>
        <v>14</v>
      </c>
      <c r="BR8" s="337">
        <f t="shared" si="22"/>
        <v>7</v>
      </c>
      <c r="BS8" s="338">
        <f t="shared" ref="BS8:BS30" si="23">BR8/BQ8</f>
        <v>0.5</v>
      </c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</row>
    <row r="9" spans="1:206" ht="31.5" x14ac:dyDescent="0.25">
      <c r="A9" s="334">
        <v>3</v>
      </c>
      <c r="B9" s="339" t="s">
        <v>141</v>
      </c>
      <c r="C9" s="71">
        <v>1</v>
      </c>
      <c r="D9" s="71">
        <v>1</v>
      </c>
      <c r="E9" s="336">
        <f t="shared" si="0"/>
        <v>1</v>
      </c>
      <c r="F9" s="72">
        <v>1</v>
      </c>
      <c r="G9" s="72"/>
      <c r="H9" s="336">
        <f t="shared" si="1"/>
        <v>0</v>
      </c>
      <c r="I9" s="71">
        <v>0</v>
      </c>
      <c r="J9" s="71"/>
      <c r="K9" s="336" t="e">
        <f t="shared" si="2"/>
        <v>#DIV/0!</v>
      </c>
      <c r="L9" s="72"/>
      <c r="M9" s="72"/>
      <c r="N9" s="336" t="e">
        <f t="shared" si="3"/>
        <v>#DIV/0!</v>
      </c>
      <c r="O9" s="71">
        <v>1</v>
      </c>
      <c r="P9" s="71"/>
      <c r="Q9" s="336">
        <f t="shared" si="4"/>
        <v>0</v>
      </c>
      <c r="R9" s="72"/>
      <c r="S9" s="72"/>
      <c r="T9" s="336" t="e">
        <f t="shared" si="5"/>
        <v>#DIV/0!</v>
      </c>
      <c r="U9" s="72">
        <v>1</v>
      </c>
      <c r="V9" s="72">
        <v>1</v>
      </c>
      <c r="W9" s="336">
        <f t="shared" si="6"/>
        <v>1</v>
      </c>
      <c r="X9" s="72"/>
      <c r="Y9" s="72"/>
      <c r="Z9" s="336" t="e">
        <f t="shared" si="7"/>
        <v>#DIV/0!</v>
      </c>
      <c r="AA9" s="72"/>
      <c r="AB9" s="72"/>
      <c r="AC9" s="336" t="e">
        <f t="shared" si="8"/>
        <v>#DIV/0!</v>
      </c>
      <c r="AD9" s="72"/>
      <c r="AE9" s="72"/>
      <c r="AF9" s="336" t="e">
        <f t="shared" si="9"/>
        <v>#DIV/0!</v>
      </c>
      <c r="AG9" s="72"/>
      <c r="AH9" s="72"/>
      <c r="AI9" s="336" t="e">
        <f t="shared" si="10"/>
        <v>#DIV/0!</v>
      </c>
      <c r="AJ9" s="72"/>
      <c r="AK9" s="72"/>
      <c r="AL9" s="336" t="e">
        <f t="shared" si="11"/>
        <v>#DIV/0!</v>
      </c>
      <c r="AM9" s="72">
        <v>1</v>
      </c>
      <c r="AN9" s="72"/>
      <c r="AO9" s="336">
        <f t="shared" si="12"/>
        <v>0</v>
      </c>
      <c r="AP9" s="72"/>
      <c r="AQ9" s="72"/>
      <c r="AR9" s="336" t="e">
        <f t="shared" si="13"/>
        <v>#DIV/0!</v>
      </c>
      <c r="AS9" s="72"/>
      <c r="AT9" s="72"/>
      <c r="AU9" s="336" t="e">
        <f t="shared" si="14"/>
        <v>#DIV/0!</v>
      </c>
      <c r="AV9" s="72">
        <v>1</v>
      </c>
      <c r="AW9" s="72"/>
      <c r="AX9" s="336">
        <f t="shared" si="15"/>
        <v>0</v>
      </c>
      <c r="AY9" s="72"/>
      <c r="AZ9" s="72"/>
      <c r="BA9" s="336" t="e">
        <f t="shared" si="16"/>
        <v>#DIV/0!</v>
      </c>
      <c r="BB9" s="72">
        <v>1</v>
      </c>
      <c r="BC9" s="72"/>
      <c r="BD9" s="336">
        <f t="shared" si="17"/>
        <v>0</v>
      </c>
      <c r="BE9" s="72"/>
      <c r="BF9" s="72"/>
      <c r="BG9" s="336" t="e">
        <f t="shared" si="18"/>
        <v>#DIV/0!</v>
      </c>
      <c r="BH9" s="72"/>
      <c r="BI9" s="72"/>
      <c r="BJ9" s="336" t="e">
        <f t="shared" si="19"/>
        <v>#DIV/0!</v>
      </c>
      <c r="BK9" s="72"/>
      <c r="BL9" s="72"/>
      <c r="BM9" s="336" t="e">
        <f t="shared" si="20"/>
        <v>#DIV/0!</v>
      </c>
      <c r="BN9" s="72">
        <v>1</v>
      </c>
      <c r="BO9" s="72"/>
      <c r="BP9" s="336">
        <f t="shared" si="21"/>
        <v>0</v>
      </c>
      <c r="BQ9" s="337">
        <f t="shared" si="22"/>
        <v>8</v>
      </c>
      <c r="BR9" s="337">
        <f t="shared" si="22"/>
        <v>2</v>
      </c>
      <c r="BS9" s="338">
        <f t="shared" si="23"/>
        <v>0.25</v>
      </c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</row>
    <row r="10" spans="1:206" ht="31.5" x14ac:dyDescent="0.25">
      <c r="A10" s="334">
        <v>4</v>
      </c>
      <c r="B10" s="339" t="s">
        <v>142</v>
      </c>
      <c r="C10" s="71">
        <v>1</v>
      </c>
      <c r="D10" s="71"/>
      <c r="E10" s="336">
        <f t="shared" si="0"/>
        <v>0</v>
      </c>
      <c r="F10" s="72"/>
      <c r="G10" s="72"/>
      <c r="H10" s="336" t="e">
        <f t="shared" si="1"/>
        <v>#DIV/0!</v>
      </c>
      <c r="I10" s="71">
        <v>1</v>
      </c>
      <c r="J10" s="71"/>
      <c r="K10" s="336">
        <f t="shared" si="2"/>
        <v>0</v>
      </c>
      <c r="L10" s="72"/>
      <c r="M10" s="72"/>
      <c r="N10" s="336" t="e">
        <f t="shared" si="3"/>
        <v>#DIV/0!</v>
      </c>
      <c r="O10" s="71">
        <v>1</v>
      </c>
      <c r="P10" s="71"/>
      <c r="Q10" s="336">
        <f t="shared" si="4"/>
        <v>0</v>
      </c>
      <c r="R10" s="72"/>
      <c r="S10" s="72"/>
      <c r="T10" s="336" t="e">
        <f t="shared" si="5"/>
        <v>#DIV/0!</v>
      </c>
      <c r="U10" s="72">
        <v>1</v>
      </c>
      <c r="V10" s="72"/>
      <c r="W10" s="336">
        <f t="shared" si="6"/>
        <v>0</v>
      </c>
      <c r="X10" s="72"/>
      <c r="Y10" s="72"/>
      <c r="Z10" s="336" t="e">
        <f t="shared" si="7"/>
        <v>#DIV/0!</v>
      </c>
      <c r="AA10" s="72">
        <v>1</v>
      </c>
      <c r="AB10" s="72"/>
      <c r="AC10" s="336">
        <f t="shared" si="8"/>
        <v>0</v>
      </c>
      <c r="AD10" s="72"/>
      <c r="AE10" s="72"/>
      <c r="AF10" s="336" t="e">
        <f t="shared" si="9"/>
        <v>#DIV/0!</v>
      </c>
      <c r="AG10" s="72">
        <v>1</v>
      </c>
      <c r="AH10" s="72"/>
      <c r="AI10" s="336">
        <f t="shared" si="10"/>
        <v>0</v>
      </c>
      <c r="AJ10" s="72"/>
      <c r="AK10" s="72"/>
      <c r="AL10" s="336" t="e">
        <f t="shared" si="11"/>
        <v>#DIV/0!</v>
      </c>
      <c r="AM10" s="72">
        <v>1</v>
      </c>
      <c r="AN10" s="72"/>
      <c r="AO10" s="336">
        <f t="shared" si="12"/>
        <v>0</v>
      </c>
      <c r="AP10" s="72"/>
      <c r="AQ10" s="72"/>
      <c r="AR10" s="336" t="e">
        <f t="shared" si="13"/>
        <v>#DIV/0!</v>
      </c>
      <c r="AS10" s="72"/>
      <c r="AT10" s="72"/>
      <c r="AU10" s="336" t="e">
        <f t="shared" si="14"/>
        <v>#DIV/0!</v>
      </c>
      <c r="AV10" s="72">
        <v>1</v>
      </c>
      <c r="AW10" s="72"/>
      <c r="AX10" s="336">
        <f t="shared" si="15"/>
        <v>0</v>
      </c>
      <c r="AY10" s="72"/>
      <c r="AZ10" s="72"/>
      <c r="BA10" s="336" t="e">
        <f t="shared" si="16"/>
        <v>#DIV/0!</v>
      </c>
      <c r="BB10" s="72">
        <v>1</v>
      </c>
      <c r="BC10" s="72"/>
      <c r="BD10" s="336">
        <f t="shared" si="17"/>
        <v>0</v>
      </c>
      <c r="BE10" s="72"/>
      <c r="BF10" s="72"/>
      <c r="BG10" s="336" t="e">
        <f t="shared" si="18"/>
        <v>#DIV/0!</v>
      </c>
      <c r="BH10" s="72"/>
      <c r="BI10" s="72"/>
      <c r="BJ10" s="336" t="e">
        <f t="shared" si="19"/>
        <v>#DIV/0!</v>
      </c>
      <c r="BK10" s="72"/>
      <c r="BL10" s="72"/>
      <c r="BM10" s="336" t="e">
        <f t="shared" si="20"/>
        <v>#DIV/0!</v>
      </c>
      <c r="BN10" s="72">
        <v>1</v>
      </c>
      <c r="BO10" s="72"/>
      <c r="BP10" s="336">
        <f t="shared" si="21"/>
        <v>0</v>
      </c>
      <c r="BQ10" s="337">
        <f t="shared" si="22"/>
        <v>10</v>
      </c>
      <c r="BR10" s="337">
        <f t="shared" si="22"/>
        <v>0</v>
      </c>
      <c r="BS10" s="338">
        <f t="shared" si="23"/>
        <v>0</v>
      </c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</row>
    <row r="11" spans="1:206" ht="15.75" x14ac:dyDescent="0.25">
      <c r="A11" s="334">
        <v>5</v>
      </c>
      <c r="B11" s="339" t="s">
        <v>143</v>
      </c>
      <c r="C11" s="71">
        <v>1</v>
      </c>
      <c r="D11" s="71"/>
      <c r="E11" s="336">
        <f t="shared" si="0"/>
        <v>0</v>
      </c>
      <c r="F11" s="72"/>
      <c r="G11" s="72"/>
      <c r="H11" s="336" t="e">
        <f t="shared" si="1"/>
        <v>#DIV/0!</v>
      </c>
      <c r="I11" s="71">
        <v>0</v>
      </c>
      <c r="J11" s="71"/>
      <c r="K11" s="336" t="e">
        <f t="shared" si="2"/>
        <v>#DIV/0!</v>
      </c>
      <c r="L11" s="72"/>
      <c r="M11" s="72"/>
      <c r="N11" s="336" t="e">
        <f t="shared" si="3"/>
        <v>#DIV/0!</v>
      </c>
      <c r="O11" s="71"/>
      <c r="P11" s="71"/>
      <c r="Q11" s="336" t="e">
        <f t="shared" si="4"/>
        <v>#DIV/0!</v>
      </c>
      <c r="R11" s="72"/>
      <c r="S11" s="72"/>
      <c r="T11" s="336" t="e">
        <f t="shared" si="5"/>
        <v>#DIV/0!</v>
      </c>
      <c r="U11" s="72"/>
      <c r="V11" s="72"/>
      <c r="W11" s="336" t="e">
        <f t="shared" si="6"/>
        <v>#DIV/0!</v>
      </c>
      <c r="X11" s="72"/>
      <c r="Y11" s="72"/>
      <c r="Z11" s="336" t="e">
        <f t="shared" si="7"/>
        <v>#DIV/0!</v>
      </c>
      <c r="AA11" s="72"/>
      <c r="AB11" s="72"/>
      <c r="AC11" s="336" t="e">
        <f t="shared" si="8"/>
        <v>#DIV/0!</v>
      </c>
      <c r="AD11" s="72"/>
      <c r="AE11" s="72"/>
      <c r="AF11" s="336" t="e">
        <f t="shared" si="9"/>
        <v>#DIV/0!</v>
      </c>
      <c r="AG11" s="72"/>
      <c r="AH11" s="72"/>
      <c r="AI11" s="336" t="e">
        <f t="shared" si="10"/>
        <v>#DIV/0!</v>
      </c>
      <c r="AJ11" s="72"/>
      <c r="AK11" s="72"/>
      <c r="AL11" s="336" t="e">
        <f t="shared" si="11"/>
        <v>#DIV/0!</v>
      </c>
      <c r="AM11" s="72">
        <v>1</v>
      </c>
      <c r="AN11" s="72"/>
      <c r="AO11" s="336">
        <f t="shared" si="12"/>
        <v>0</v>
      </c>
      <c r="AP11" s="72"/>
      <c r="AQ11" s="72"/>
      <c r="AR11" s="336" t="e">
        <f t="shared" si="13"/>
        <v>#DIV/0!</v>
      </c>
      <c r="AS11" s="72"/>
      <c r="AT11" s="72"/>
      <c r="AU11" s="336" t="e">
        <f t="shared" si="14"/>
        <v>#DIV/0!</v>
      </c>
      <c r="AV11" s="72">
        <v>1</v>
      </c>
      <c r="AW11" s="72"/>
      <c r="AX11" s="336">
        <f t="shared" si="15"/>
        <v>0</v>
      </c>
      <c r="AY11" s="72"/>
      <c r="AZ11" s="72"/>
      <c r="BA11" s="336" t="e">
        <f t="shared" si="16"/>
        <v>#DIV/0!</v>
      </c>
      <c r="BB11" s="72">
        <v>1</v>
      </c>
      <c r="BC11" s="72"/>
      <c r="BD11" s="336">
        <f t="shared" si="17"/>
        <v>0</v>
      </c>
      <c r="BE11" s="72"/>
      <c r="BF11" s="72"/>
      <c r="BG11" s="336" t="e">
        <f t="shared" si="18"/>
        <v>#DIV/0!</v>
      </c>
      <c r="BH11" s="72"/>
      <c r="BI11" s="72"/>
      <c r="BJ11" s="336" t="e">
        <f t="shared" si="19"/>
        <v>#DIV/0!</v>
      </c>
      <c r="BK11" s="72"/>
      <c r="BL11" s="72"/>
      <c r="BM11" s="336" t="e">
        <f t="shared" si="20"/>
        <v>#DIV/0!</v>
      </c>
      <c r="BN11" s="72">
        <v>1</v>
      </c>
      <c r="BO11" s="72"/>
      <c r="BP11" s="336">
        <f t="shared" si="21"/>
        <v>0</v>
      </c>
      <c r="BQ11" s="337">
        <f t="shared" si="22"/>
        <v>5</v>
      </c>
      <c r="BR11" s="337">
        <f t="shared" si="22"/>
        <v>0</v>
      </c>
      <c r="BS11" s="338">
        <f t="shared" si="23"/>
        <v>0</v>
      </c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</row>
    <row r="12" spans="1:206" ht="15.75" x14ac:dyDescent="0.25">
      <c r="A12" s="334">
        <v>6</v>
      </c>
      <c r="B12" s="339" t="s">
        <v>313</v>
      </c>
      <c r="C12" s="71">
        <v>1</v>
      </c>
      <c r="D12" s="71"/>
      <c r="E12" s="336">
        <f t="shared" si="0"/>
        <v>0</v>
      </c>
      <c r="F12" s="72"/>
      <c r="G12" s="72"/>
      <c r="H12" s="336" t="e">
        <f t="shared" si="1"/>
        <v>#DIV/0!</v>
      </c>
      <c r="I12" s="71">
        <v>1</v>
      </c>
      <c r="J12" s="71"/>
      <c r="K12" s="336">
        <f t="shared" si="2"/>
        <v>0</v>
      </c>
      <c r="L12" s="72"/>
      <c r="M12" s="72"/>
      <c r="N12" s="336" t="e">
        <f t="shared" si="3"/>
        <v>#DIV/0!</v>
      </c>
      <c r="O12" s="71"/>
      <c r="P12" s="71"/>
      <c r="Q12" s="336" t="e">
        <f t="shared" si="4"/>
        <v>#DIV/0!</v>
      </c>
      <c r="R12" s="72"/>
      <c r="S12" s="72"/>
      <c r="T12" s="336" t="e">
        <f t="shared" si="5"/>
        <v>#DIV/0!</v>
      </c>
      <c r="U12" s="72"/>
      <c r="V12" s="72"/>
      <c r="W12" s="336" t="e">
        <f t="shared" si="6"/>
        <v>#DIV/0!</v>
      </c>
      <c r="X12" s="72"/>
      <c r="Y12" s="72"/>
      <c r="Z12" s="336" t="e">
        <f t="shared" si="7"/>
        <v>#DIV/0!</v>
      </c>
      <c r="AA12" s="72">
        <v>1</v>
      </c>
      <c r="AB12" s="72"/>
      <c r="AC12" s="336">
        <f t="shared" si="8"/>
        <v>0</v>
      </c>
      <c r="AD12" s="72"/>
      <c r="AE12" s="72"/>
      <c r="AF12" s="336" t="e">
        <f t="shared" si="9"/>
        <v>#DIV/0!</v>
      </c>
      <c r="AG12" s="72"/>
      <c r="AH12" s="72"/>
      <c r="AI12" s="336" t="e">
        <f t="shared" si="10"/>
        <v>#DIV/0!</v>
      </c>
      <c r="AJ12" s="72"/>
      <c r="AK12" s="72"/>
      <c r="AL12" s="336" t="e">
        <f t="shared" si="11"/>
        <v>#DIV/0!</v>
      </c>
      <c r="AM12" s="72">
        <v>1</v>
      </c>
      <c r="AN12" s="72"/>
      <c r="AO12" s="336">
        <f t="shared" si="12"/>
        <v>0</v>
      </c>
      <c r="AP12" s="72"/>
      <c r="AQ12" s="72"/>
      <c r="AR12" s="336" t="e">
        <f t="shared" si="13"/>
        <v>#DIV/0!</v>
      </c>
      <c r="AS12" s="72"/>
      <c r="AT12" s="72"/>
      <c r="AU12" s="336" t="e">
        <f t="shared" si="14"/>
        <v>#DIV/0!</v>
      </c>
      <c r="AV12" s="72">
        <v>1</v>
      </c>
      <c r="AW12" s="72"/>
      <c r="AX12" s="336">
        <f t="shared" si="15"/>
        <v>0</v>
      </c>
      <c r="AY12" s="72"/>
      <c r="AZ12" s="72"/>
      <c r="BA12" s="336" t="e">
        <f t="shared" si="16"/>
        <v>#DIV/0!</v>
      </c>
      <c r="BB12" s="72">
        <v>1</v>
      </c>
      <c r="BC12" s="72"/>
      <c r="BD12" s="336">
        <f t="shared" si="17"/>
        <v>0</v>
      </c>
      <c r="BE12" s="72"/>
      <c r="BF12" s="72"/>
      <c r="BG12" s="336" t="e">
        <f t="shared" si="18"/>
        <v>#DIV/0!</v>
      </c>
      <c r="BH12" s="72"/>
      <c r="BI12" s="72"/>
      <c r="BJ12" s="336" t="e">
        <f t="shared" si="19"/>
        <v>#DIV/0!</v>
      </c>
      <c r="BK12" s="72"/>
      <c r="BL12" s="72"/>
      <c r="BM12" s="336" t="e">
        <f t="shared" si="20"/>
        <v>#DIV/0!</v>
      </c>
      <c r="BN12" s="72">
        <v>1</v>
      </c>
      <c r="BO12" s="72"/>
      <c r="BP12" s="336">
        <f t="shared" si="21"/>
        <v>0</v>
      </c>
      <c r="BQ12" s="337">
        <f t="shared" si="22"/>
        <v>7</v>
      </c>
      <c r="BR12" s="337">
        <f t="shared" si="22"/>
        <v>0</v>
      </c>
      <c r="BS12" s="338">
        <f t="shared" si="23"/>
        <v>0</v>
      </c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</row>
    <row r="13" spans="1:206" ht="15.75" x14ac:dyDescent="0.25">
      <c r="A13" s="334">
        <v>7</v>
      </c>
      <c r="B13" s="339" t="s">
        <v>144</v>
      </c>
      <c r="C13" s="71">
        <v>0</v>
      </c>
      <c r="D13" s="71"/>
      <c r="E13" s="336" t="e">
        <f t="shared" si="0"/>
        <v>#DIV/0!</v>
      </c>
      <c r="F13" s="72"/>
      <c r="G13" s="72"/>
      <c r="H13" s="336" t="e">
        <f t="shared" si="1"/>
        <v>#DIV/0!</v>
      </c>
      <c r="I13" s="71">
        <v>1</v>
      </c>
      <c r="J13" s="71"/>
      <c r="K13" s="336">
        <f t="shared" si="2"/>
        <v>0</v>
      </c>
      <c r="L13" s="72"/>
      <c r="M13" s="72"/>
      <c r="N13" s="336" t="e">
        <f t="shared" si="3"/>
        <v>#DIV/0!</v>
      </c>
      <c r="O13" s="71"/>
      <c r="P13" s="71"/>
      <c r="Q13" s="336" t="e">
        <f t="shared" si="4"/>
        <v>#DIV/0!</v>
      </c>
      <c r="R13" s="72"/>
      <c r="S13" s="72"/>
      <c r="T13" s="336" t="e">
        <f t="shared" si="5"/>
        <v>#DIV/0!</v>
      </c>
      <c r="U13" s="72"/>
      <c r="V13" s="72"/>
      <c r="W13" s="336" t="e">
        <f t="shared" si="6"/>
        <v>#DIV/0!</v>
      </c>
      <c r="X13" s="72"/>
      <c r="Y13" s="72"/>
      <c r="Z13" s="336" t="e">
        <f t="shared" si="7"/>
        <v>#DIV/0!</v>
      </c>
      <c r="AA13" s="72">
        <v>1</v>
      </c>
      <c r="AB13" s="72"/>
      <c r="AC13" s="336">
        <f t="shared" si="8"/>
        <v>0</v>
      </c>
      <c r="AD13" s="72"/>
      <c r="AE13" s="72"/>
      <c r="AF13" s="336" t="e">
        <f t="shared" si="9"/>
        <v>#DIV/0!</v>
      </c>
      <c r="AG13" s="72">
        <v>1</v>
      </c>
      <c r="AH13" s="72">
        <v>1</v>
      </c>
      <c r="AI13" s="336">
        <f t="shared" si="10"/>
        <v>1</v>
      </c>
      <c r="AJ13" s="72"/>
      <c r="AK13" s="72"/>
      <c r="AL13" s="336" t="e">
        <f t="shared" si="11"/>
        <v>#DIV/0!</v>
      </c>
      <c r="AM13" s="72">
        <v>1</v>
      </c>
      <c r="AN13" s="72"/>
      <c r="AO13" s="336">
        <f t="shared" si="12"/>
        <v>0</v>
      </c>
      <c r="AP13" s="72"/>
      <c r="AQ13" s="72"/>
      <c r="AR13" s="336" t="e">
        <f t="shared" si="13"/>
        <v>#DIV/0!</v>
      </c>
      <c r="AS13" s="72"/>
      <c r="AT13" s="72"/>
      <c r="AU13" s="336" t="e">
        <f t="shared" si="14"/>
        <v>#DIV/0!</v>
      </c>
      <c r="AV13" s="72">
        <v>1</v>
      </c>
      <c r="AW13" s="72"/>
      <c r="AX13" s="336">
        <f t="shared" si="15"/>
        <v>0</v>
      </c>
      <c r="AY13" s="72"/>
      <c r="AZ13" s="72"/>
      <c r="BA13" s="336" t="e">
        <f t="shared" si="16"/>
        <v>#DIV/0!</v>
      </c>
      <c r="BB13" s="72">
        <v>1</v>
      </c>
      <c r="BC13" s="72"/>
      <c r="BD13" s="336">
        <f t="shared" si="17"/>
        <v>0</v>
      </c>
      <c r="BE13" s="72"/>
      <c r="BF13" s="72"/>
      <c r="BG13" s="336" t="e">
        <f t="shared" si="18"/>
        <v>#DIV/0!</v>
      </c>
      <c r="BH13" s="72"/>
      <c r="BI13" s="72"/>
      <c r="BJ13" s="336" t="e">
        <f t="shared" si="19"/>
        <v>#DIV/0!</v>
      </c>
      <c r="BK13" s="72"/>
      <c r="BL13" s="72"/>
      <c r="BM13" s="336" t="e">
        <f t="shared" si="20"/>
        <v>#DIV/0!</v>
      </c>
      <c r="BN13" s="72">
        <v>1</v>
      </c>
      <c r="BO13" s="72"/>
      <c r="BP13" s="336">
        <f t="shared" si="21"/>
        <v>0</v>
      </c>
      <c r="BQ13" s="337">
        <f t="shared" si="22"/>
        <v>7</v>
      </c>
      <c r="BR13" s="337">
        <f t="shared" si="22"/>
        <v>1</v>
      </c>
      <c r="BS13" s="338">
        <f t="shared" si="23"/>
        <v>0.14285714285714285</v>
      </c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</row>
    <row r="14" spans="1:206" ht="15.75" x14ac:dyDescent="0.25">
      <c r="A14" s="334">
        <v>8</v>
      </c>
      <c r="B14" s="339" t="s">
        <v>145</v>
      </c>
      <c r="C14" s="71">
        <v>1</v>
      </c>
      <c r="D14" s="71"/>
      <c r="E14" s="336">
        <f t="shared" si="0"/>
        <v>0</v>
      </c>
      <c r="F14" s="72"/>
      <c r="G14" s="72"/>
      <c r="H14" s="336" t="e">
        <f t="shared" si="1"/>
        <v>#DIV/0!</v>
      </c>
      <c r="I14" s="71">
        <v>1</v>
      </c>
      <c r="J14" s="71"/>
      <c r="K14" s="336">
        <f t="shared" si="2"/>
        <v>0</v>
      </c>
      <c r="L14" s="72"/>
      <c r="M14" s="72"/>
      <c r="N14" s="336" t="e">
        <f t="shared" si="3"/>
        <v>#DIV/0!</v>
      </c>
      <c r="O14" s="71">
        <v>1</v>
      </c>
      <c r="P14" s="71"/>
      <c r="Q14" s="336">
        <f t="shared" si="4"/>
        <v>0</v>
      </c>
      <c r="R14" s="72"/>
      <c r="S14" s="72"/>
      <c r="T14" s="336" t="e">
        <f t="shared" si="5"/>
        <v>#DIV/0!</v>
      </c>
      <c r="U14" s="72">
        <v>1</v>
      </c>
      <c r="V14" s="72"/>
      <c r="W14" s="336">
        <f t="shared" si="6"/>
        <v>0</v>
      </c>
      <c r="X14" s="72"/>
      <c r="Y14" s="72"/>
      <c r="Z14" s="336" t="e">
        <f t="shared" si="7"/>
        <v>#DIV/0!</v>
      </c>
      <c r="AA14" s="72">
        <v>1</v>
      </c>
      <c r="AB14" s="72"/>
      <c r="AC14" s="336">
        <f t="shared" si="8"/>
        <v>0</v>
      </c>
      <c r="AD14" s="72"/>
      <c r="AE14" s="72"/>
      <c r="AF14" s="336" t="e">
        <f t="shared" si="9"/>
        <v>#DIV/0!</v>
      </c>
      <c r="AG14" s="72">
        <v>1</v>
      </c>
      <c r="AH14" s="72"/>
      <c r="AI14" s="336">
        <f t="shared" si="10"/>
        <v>0</v>
      </c>
      <c r="AJ14" s="72"/>
      <c r="AK14" s="72"/>
      <c r="AL14" s="336" t="e">
        <f t="shared" si="11"/>
        <v>#DIV/0!</v>
      </c>
      <c r="AM14" s="72">
        <v>1</v>
      </c>
      <c r="AN14" s="72"/>
      <c r="AO14" s="336">
        <f t="shared" si="12"/>
        <v>0</v>
      </c>
      <c r="AP14" s="72"/>
      <c r="AQ14" s="72"/>
      <c r="AR14" s="336" t="e">
        <f t="shared" si="13"/>
        <v>#DIV/0!</v>
      </c>
      <c r="AS14" s="72"/>
      <c r="AT14" s="72"/>
      <c r="AU14" s="336" t="e">
        <f t="shared" si="14"/>
        <v>#DIV/0!</v>
      </c>
      <c r="AV14" s="72">
        <v>1</v>
      </c>
      <c r="AW14" s="72"/>
      <c r="AX14" s="336">
        <f t="shared" si="15"/>
        <v>0</v>
      </c>
      <c r="AY14" s="72"/>
      <c r="AZ14" s="72"/>
      <c r="BA14" s="336" t="e">
        <f t="shared" si="16"/>
        <v>#DIV/0!</v>
      </c>
      <c r="BB14" s="72">
        <v>1</v>
      </c>
      <c r="BC14" s="72"/>
      <c r="BD14" s="336">
        <f t="shared" si="17"/>
        <v>0</v>
      </c>
      <c r="BE14" s="72"/>
      <c r="BF14" s="72"/>
      <c r="BG14" s="336" t="e">
        <f t="shared" si="18"/>
        <v>#DIV/0!</v>
      </c>
      <c r="BH14" s="72"/>
      <c r="BI14" s="72"/>
      <c r="BJ14" s="336" t="e">
        <f t="shared" si="19"/>
        <v>#DIV/0!</v>
      </c>
      <c r="BK14" s="72"/>
      <c r="BL14" s="72"/>
      <c r="BM14" s="336" t="e">
        <f t="shared" si="20"/>
        <v>#DIV/0!</v>
      </c>
      <c r="BN14" s="72">
        <v>1</v>
      </c>
      <c r="BO14" s="72"/>
      <c r="BP14" s="336">
        <f t="shared" si="21"/>
        <v>0</v>
      </c>
      <c r="BQ14" s="337">
        <f t="shared" si="22"/>
        <v>10</v>
      </c>
      <c r="BR14" s="337">
        <f t="shared" si="22"/>
        <v>0</v>
      </c>
      <c r="BS14" s="338">
        <f t="shared" si="23"/>
        <v>0</v>
      </c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</row>
    <row r="15" spans="1:206" ht="15.75" x14ac:dyDescent="0.25">
      <c r="A15" s="334">
        <v>9</v>
      </c>
      <c r="B15" s="339" t="s">
        <v>146</v>
      </c>
      <c r="C15" s="71">
        <v>0</v>
      </c>
      <c r="D15" s="71"/>
      <c r="E15" s="336" t="e">
        <f t="shared" si="0"/>
        <v>#DIV/0!</v>
      </c>
      <c r="F15" s="72"/>
      <c r="G15" s="72"/>
      <c r="H15" s="336" t="e">
        <f t="shared" si="1"/>
        <v>#DIV/0!</v>
      </c>
      <c r="I15" s="71">
        <v>0</v>
      </c>
      <c r="J15" s="71"/>
      <c r="K15" s="336" t="e">
        <f t="shared" si="2"/>
        <v>#DIV/0!</v>
      </c>
      <c r="L15" s="72"/>
      <c r="M15" s="72"/>
      <c r="N15" s="336" t="e">
        <f t="shared" si="3"/>
        <v>#DIV/0!</v>
      </c>
      <c r="O15" s="71"/>
      <c r="P15" s="71"/>
      <c r="Q15" s="336" t="e">
        <f t="shared" si="4"/>
        <v>#DIV/0!</v>
      </c>
      <c r="R15" s="72"/>
      <c r="S15" s="72"/>
      <c r="T15" s="336" t="e">
        <f t="shared" si="5"/>
        <v>#DIV/0!</v>
      </c>
      <c r="U15" s="72"/>
      <c r="V15" s="72"/>
      <c r="W15" s="336" t="e">
        <f t="shared" si="6"/>
        <v>#DIV/0!</v>
      </c>
      <c r="X15" s="72"/>
      <c r="Y15" s="72"/>
      <c r="Z15" s="336" t="e">
        <f t="shared" si="7"/>
        <v>#DIV/0!</v>
      </c>
      <c r="AA15" s="72"/>
      <c r="AB15" s="72"/>
      <c r="AC15" s="336" t="e">
        <f t="shared" si="8"/>
        <v>#DIV/0!</v>
      </c>
      <c r="AD15" s="72"/>
      <c r="AE15" s="72"/>
      <c r="AF15" s="336" t="e">
        <f t="shared" si="9"/>
        <v>#DIV/0!</v>
      </c>
      <c r="AG15" s="72"/>
      <c r="AH15" s="72"/>
      <c r="AI15" s="336" t="e">
        <f t="shared" si="10"/>
        <v>#DIV/0!</v>
      </c>
      <c r="AJ15" s="72"/>
      <c r="AK15" s="72"/>
      <c r="AL15" s="336" t="e">
        <f t="shared" si="11"/>
        <v>#DIV/0!</v>
      </c>
      <c r="AM15" s="72">
        <v>1</v>
      </c>
      <c r="AN15" s="72"/>
      <c r="AO15" s="336">
        <f t="shared" si="12"/>
        <v>0</v>
      </c>
      <c r="AP15" s="72"/>
      <c r="AQ15" s="72"/>
      <c r="AR15" s="336" t="e">
        <f t="shared" si="13"/>
        <v>#DIV/0!</v>
      </c>
      <c r="AS15" s="72"/>
      <c r="AT15" s="72"/>
      <c r="AU15" s="336" t="e">
        <f t="shared" si="14"/>
        <v>#DIV/0!</v>
      </c>
      <c r="AV15" s="72">
        <v>1</v>
      </c>
      <c r="AW15" s="72"/>
      <c r="AX15" s="336">
        <f t="shared" si="15"/>
        <v>0</v>
      </c>
      <c r="AY15" s="72"/>
      <c r="AZ15" s="72"/>
      <c r="BA15" s="336" t="e">
        <f t="shared" si="16"/>
        <v>#DIV/0!</v>
      </c>
      <c r="BB15" s="72">
        <v>1</v>
      </c>
      <c r="BC15" s="72"/>
      <c r="BD15" s="336">
        <f t="shared" si="17"/>
        <v>0</v>
      </c>
      <c r="BE15" s="72"/>
      <c r="BF15" s="72"/>
      <c r="BG15" s="336" t="e">
        <f t="shared" si="18"/>
        <v>#DIV/0!</v>
      </c>
      <c r="BH15" s="72"/>
      <c r="BI15" s="72"/>
      <c r="BJ15" s="336" t="e">
        <f t="shared" si="19"/>
        <v>#DIV/0!</v>
      </c>
      <c r="BK15" s="72"/>
      <c r="BL15" s="72"/>
      <c r="BM15" s="336" t="e">
        <f t="shared" si="20"/>
        <v>#DIV/0!</v>
      </c>
      <c r="BN15" s="72">
        <v>1</v>
      </c>
      <c r="BO15" s="72"/>
      <c r="BP15" s="336">
        <f t="shared" si="21"/>
        <v>0</v>
      </c>
      <c r="BQ15" s="337">
        <f t="shared" si="22"/>
        <v>4</v>
      </c>
      <c r="BR15" s="337">
        <f t="shared" si="22"/>
        <v>0</v>
      </c>
      <c r="BS15" s="338">
        <f t="shared" si="23"/>
        <v>0</v>
      </c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</row>
    <row r="16" spans="1:206" ht="31.5" x14ac:dyDescent="0.25">
      <c r="A16" s="334">
        <v>10</v>
      </c>
      <c r="B16" s="339" t="s">
        <v>172</v>
      </c>
      <c r="C16" s="71">
        <v>1</v>
      </c>
      <c r="D16" s="71"/>
      <c r="E16" s="336">
        <f>D16/C16</f>
        <v>0</v>
      </c>
      <c r="F16" s="72"/>
      <c r="G16" s="72"/>
      <c r="H16" s="336" t="e">
        <f>G16/F16</f>
        <v>#DIV/0!</v>
      </c>
      <c r="I16" s="71">
        <v>1</v>
      </c>
      <c r="J16" s="71"/>
      <c r="K16" s="336">
        <f>J16/I16</f>
        <v>0</v>
      </c>
      <c r="L16" s="72"/>
      <c r="M16" s="72"/>
      <c r="N16" s="336" t="e">
        <f>M16/L16</f>
        <v>#DIV/0!</v>
      </c>
      <c r="O16" s="71">
        <v>1</v>
      </c>
      <c r="P16" s="71"/>
      <c r="Q16" s="336">
        <f>P16/O16</f>
        <v>0</v>
      </c>
      <c r="R16" s="72"/>
      <c r="S16" s="72"/>
      <c r="T16" s="336" t="e">
        <f>S16/R16</f>
        <v>#DIV/0!</v>
      </c>
      <c r="U16" s="72"/>
      <c r="V16" s="72"/>
      <c r="W16" s="336" t="e">
        <f t="shared" si="6"/>
        <v>#DIV/0!</v>
      </c>
      <c r="X16" s="72"/>
      <c r="Y16" s="72"/>
      <c r="Z16" s="336" t="e">
        <f t="shared" si="7"/>
        <v>#DIV/0!</v>
      </c>
      <c r="AA16" s="72"/>
      <c r="AB16" s="72"/>
      <c r="AC16" s="336" t="e">
        <f t="shared" si="8"/>
        <v>#DIV/0!</v>
      </c>
      <c r="AD16" s="72"/>
      <c r="AE16" s="72"/>
      <c r="AF16" s="336" t="e">
        <f t="shared" si="9"/>
        <v>#DIV/0!</v>
      </c>
      <c r="AG16" s="72"/>
      <c r="AH16" s="72"/>
      <c r="AI16" s="336" t="e">
        <f t="shared" si="10"/>
        <v>#DIV/0!</v>
      </c>
      <c r="AJ16" s="72"/>
      <c r="AK16" s="72"/>
      <c r="AL16" s="336" t="e">
        <f t="shared" si="11"/>
        <v>#DIV/0!</v>
      </c>
      <c r="AM16" s="72">
        <v>1</v>
      </c>
      <c r="AN16" s="72"/>
      <c r="AO16" s="336">
        <f t="shared" si="12"/>
        <v>0</v>
      </c>
      <c r="AP16" s="72"/>
      <c r="AQ16" s="72"/>
      <c r="AR16" s="336" t="e">
        <f t="shared" si="13"/>
        <v>#DIV/0!</v>
      </c>
      <c r="AS16" s="72"/>
      <c r="AT16" s="72"/>
      <c r="AU16" s="336" t="e">
        <f t="shared" si="14"/>
        <v>#DIV/0!</v>
      </c>
      <c r="AV16" s="72">
        <v>1</v>
      </c>
      <c r="AW16" s="72"/>
      <c r="AX16" s="336">
        <f t="shared" si="15"/>
        <v>0</v>
      </c>
      <c r="AY16" s="72"/>
      <c r="AZ16" s="72"/>
      <c r="BA16" s="336" t="e">
        <f t="shared" si="16"/>
        <v>#DIV/0!</v>
      </c>
      <c r="BB16" s="72">
        <v>1</v>
      </c>
      <c r="BC16" s="72"/>
      <c r="BD16" s="336">
        <f t="shared" si="17"/>
        <v>0</v>
      </c>
      <c r="BE16" s="72"/>
      <c r="BF16" s="72"/>
      <c r="BG16" s="336" t="e">
        <f t="shared" si="18"/>
        <v>#DIV/0!</v>
      </c>
      <c r="BH16" s="72"/>
      <c r="BI16" s="72"/>
      <c r="BJ16" s="336" t="e">
        <f t="shared" si="19"/>
        <v>#DIV/0!</v>
      </c>
      <c r="BK16" s="72"/>
      <c r="BL16" s="72"/>
      <c r="BM16" s="336" t="e">
        <f t="shared" si="20"/>
        <v>#DIV/0!</v>
      </c>
      <c r="BN16" s="72">
        <v>1</v>
      </c>
      <c r="BO16" s="72"/>
      <c r="BP16" s="336">
        <f t="shared" si="21"/>
        <v>0</v>
      </c>
      <c r="BQ16" s="337">
        <f t="shared" si="22"/>
        <v>7</v>
      </c>
      <c r="BR16" s="337">
        <f t="shared" si="22"/>
        <v>0</v>
      </c>
      <c r="BS16" s="338">
        <f t="shared" si="23"/>
        <v>0</v>
      </c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</row>
    <row r="17" spans="1:206" ht="15.75" x14ac:dyDescent="0.25">
      <c r="A17" s="334">
        <v>11</v>
      </c>
      <c r="B17" s="339" t="s">
        <v>314</v>
      </c>
      <c r="C17" s="71">
        <v>1</v>
      </c>
      <c r="D17" s="71">
        <v>1</v>
      </c>
      <c r="E17" s="336">
        <f t="shared" si="0"/>
        <v>1</v>
      </c>
      <c r="F17" s="72"/>
      <c r="G17" s="72"/>
      <c r="H17" s="336" t="e">
        <f t="shared" si="1"/>
        <v>#DIV/0!</v>
      </c>
      <c r="I17" s="71">
        <v>1</v>
      </c>
      <c r="J17" s="71"/>
      <c r="K17" s="336">
        <f t="shared" si="2"/>
        <v>0</v>
      </c>
      <c r="L17" s="72"/>
      <c r="M17" s="72"/>
      <c r="N17" s="336" t="e">
        <f t="shared" si="3"/>
        <v>#DIV/0!</v>
      </c>
      <c r="O17" s="71"/>
      <c r="P17" s="71"/>
      <c r="Q17" s="336" t="e">
        <f t="shared" si="4"/>
        <v>#DIV/0!</v>
      </c>
      <c r="R17" s="72"/>
      <c r="S17" s="72"/>
      <c r="T17" s="336" t="e">
        <f t="shared" si="5"/>
        <v>#DIV/0!</v>
      </c>
      <c r="U17" s="72"/>
      <c r="V17" s="72"/>
      <c r="W17" s="336" t="e">
        <f t="shared" si="6"/>
        <v>#DIV/0!</v>
      </c>
      <c r="X17" s="72"/>
      <c r="Y17" s="72"/>
      <c r="Z17" s="336" t="e">
        <f t="shared" si="7"/>
        <v>#DIV/0!</v>
      </c>
      <c r="AA17" s="72">
        <v>1</v>
      </c>
      <c r="AB17" s="72"/>
      <c r="AC17" s="336">
        <f t="shared" si="8"/>
        <v>0</v>
      </c>
      <c r="AD17" s="72"/>
      <c r="AE17" s="72"/>
      <c r="AF17" s="336" t="e">
        <f t="shared" si="9"/>
        <v>#DIV/0!</v>
      </c>
      <c r="AG17" s="72">
        <v>1</v>
      </c>
      <c r="AH17" s="72"/>
      <c r="AI17" s="336">
        <f t="shared" si="10"/>
        <v>0</v>
      </c>
      <c r="AJ17" s="72"/>
      <c r="AK17" s="72"/>
      <c r="AL17" s="336" t="e">
        <f t="shared" si="11"/>
        <v>#DIV/0!</v>
      </c>
      <c r="AM17" s="72">
        <v>1</v>
      </c>
      <c r="AN17" s="72"/>
      <c r="AO17" s="336">
        <f t="shared" si="12"/>
        <v>0</v>
      </c>
      <c r="AP17" s="72"/>
      <c r="AQ17" s="72"/>
      <c r="AR17" s="336" t="e">
        <f t="shared" si="13"/>
        <v>#DIV/0!</v>
      </c>
      <c r="AS17" s="72"/>
      <c r="AT17" s="72"/>
      <c r="AU17" s="336" t="e">
        <f t="shared" si="14"/>
        <v>#DIV/0!</v>
      </c>
      <c r="AV17" s="72">
        <v>1</v>
      </c>
      <c r="AW17" s="72"/>
      <c r="AX17" s="336">
        <f t="shared" si="15"/>
        <v>0</v>
      </c>
      <c r="AY17" s="72"/>
      <c r="AZ17" s="72"/>
      <c r="BA17" s="336" t="e">
        <f t="shared" si="16"/>
        <v>#DIV/0!</v>
      </c>
      <c r="BB17" s="72">
        <v>1</v>
      </c>
      <c r="BC17" s="72"/>
      <c r="BD17" s="336">
        <f t="shared" si="17"/>
        <v>0</v>
      </c>
      <c r="BE17" s="72"/>
      <c r="BF17" s="72"/>
      <c r="BG17" s="336" t="e">
        <f t="shared" si="18"/>
        <v>#DIV/0!</v>
      </c>
      <c r="BH17" s="72"/>
      <c r="BI17" s="72"/>
      <c r="BJ17" s="336" t="e">
        <f t="shared" si="19"/>
        <v>#DIV/0!</v>
      </c>
      <c r="BK17" s="72"/>
      <c r="BL17" s="72"/>
      <c r="BM17" s="336" t="e">
        <f t="shared" si="20"/>
        <v>#DIV/0!</v>
      </c>
      <c r="BN17" s="72">
        <v>1</v>
      </c>
      <c r="BO17" s="72">
        <v>1</v>
      </c>
      <c r="BP17" s="336">
        <f t="shared" si="21"/>
        <v>1</v>
      </c>
      <c r="BQ17" s="337">
        <f t="shared" si="22"/>
        <v>8</v>
      </c>
      <c r="BR17" s="337">
        <f t="shared" si="22"/>
        <v>2</v>
      </c>
      <c r="BS17" s="338">
        <f t="shared" si="23"/>
        <v>0.25</v>
      </c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</row>
    <row r="18" spans="1:206" ht="15.75" x14ac:dyDescent="0.25">
      <c r="A18" s="334">
        <v>12</v>
      </c>
      <c r="B18" s="339" t="s">
        <v>315</v>
      </c>
      <c r="C18" s="71">
        <v>1</v>
      </c>
      <c r="D18" s="71"/>
      <c r="E18" s="336">
        <f t="shared" si="0"/>
        <v>0</v>
      </c>
      <c r="F18" s="72"/>
      <c r="G18" s="72"/>
      <c r="H18" s="336" t="e">
        <f t="shared" si="1"/>
        <v>#DIV/0!</v>
      </c>
      <c r="I18" s="71">
        <v>1</v>
      </c>
      <c r="J18" s="71"/>
      <c r="K18" s="336">
        <f t="shared" si="2"/>
        <v>0</v>
      </c>
      <c r="L18" s="72"/>
      <c r="M18" s="72"/>
      <c r="N18" s="336" t="e">
        <f t="shared" si="3"/>
        <v>#DIV/0!</v>
      </c>
      <c r="O18" s="71"/>
      <c r="P18" s="71"/>
      <c r="Q18" s="336" t="e">
        <f t="shared" si="4"/>
        <v>#DIV/0!</v>
      </c>
      <c r="R18" s="72"/>
      <c r="S18" s="72"/>
      <c r="T18" s="336" t="e">
        <f t="shared" si="5"/>
        <v>#DIV/0!</v>
      </c>
      <c r="U18" s="72"/>
      <c r="V18" s="72"/>
      <c r="W18" s="336" t="e">
        <f t="shared" si="6"/>
        <v>#DIV/0!</v>
      </c>
      <c r="X18" s="72"/>
      <c r="Y18" s="72"/>
      <c r="Z18" s="336" t="e">
        <f t="shared" si="7"/>
        <v>#DIV/0!</v>
      </c>
      <c r="AA18" s="72">
        <v>1</v>
      </c>
      <c r="AB18" s="72"/>
      <c r="AC18" s="336">
        <f t="shared" si="8"/>
        <v>0</v>
      </c>
      <c r="AD18" s="72"/>
      <c r="AE18" s="72"/>
      <c r="AF18" s="336" t="e">
        <f t="shared" si="9"/>
        <v>#DIV/0!</v>
      </c>
      <c r="AG18" s="72">
        <v>1</v>
      </c>
      <c r="AH18" s="72"/>
      <c r="AI18" s="336">
        <f t="shared" si="10"/>
        <v>0</v>
      </c>
      <c r="AJ18" s="72"/>
      <c r="AK18" s="72"/>
      <c r="AL18" s="336" t="e">
        <f t="shared" si="11"/>
        <v>#DIV/0!</v>
      </c>
      <c r="AM18" s="72">
        <v>1</v>
      </c>
      <c r="AN18" s="72"/>
      <c r="AO18" s="336">
        <f t="shared" si="12"/>
        <v>0</v>
      </c>
      <c r="AP18" s="72"/>
      <c r="AQ18" s="72"/>
      <c r="AR18" s="336" t="e">
        <f t="shared" si="13"/>
        <v>#DIV/0!</v>
      </c>
      <c r="AS18" s="72"/>
      <c r="AT18" s="72"/>
      <c r="AU18" s="336" t="e">
        <f t="shared" si="14"/>
        <v>#DIV/0!</v>
      </c>
      <c r="AV18" s="72">
        <v>1</v>
      </c>
      <c r="AW18" s="72"/>
      <c r="AX18" s="336">
        <f t="shared" si="15"/>
        <v>0</v>
      </c>
      <c r="AY18" s="72"/>
      <c r="AZ18" s="72"/>
      <c r="BA18" s="336" t="e">
        <f t="shared" si="16"/>
        <v>#DIV/0!</v>
      </c>
      <c r="BB18" s="72">
        <v>1</v>
      </c>
      <c r="BC18" s="72"/>
      <c r="BD18" s="336">
        <f t="shared" si="17"/>
        <v>0</v>
      </c>
      <c r="BE18" s="72"/>
      <c r="BF18" s="72"/>
      <c r="BG18" s="336" t="e">
        <f t="shared" si="18"/>
        <v>#DIV/0!</v>
      </c>
      <c r="BH18" s="72"/>
      <c r="BI18" s="72"/>
      <c r="BJ18" s="336" t="e">
        <f t="shared" si="19"/>
        <v>#DIV/0!</v>
      </c>
      <c r="BK18" s="72"/>
      <c r="BL18" s="72"/>
      <c r="BM18" s="336" t="e">
        <f t="shared" si="20"/>
        <v>#DIV/0!</v>
      </c>
      <c r="BN18" s="72">
        <v>1</v>
      </c>
      <c r="BO18" s="72">
        <v>1</v>
      </c>
      <c r="BP18" s="336">
        <f t="shared" si="21"/>
        <v>1</v>
      </c>
      <c r="BQ18" s="337">
        <f t="shared" si="22"/>
        <v>8</v>
      </c>
      <c r="BR18" s="337">
        <f t="shared" si="22"/>
        <v>1</v>
      </c>
      <c r="BS18" s="338">
        <f t="shared" si="23"/>
        <v>0.125</v>
      </c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</row>
    <row r="19" spans="1:206" ht="15.75" x14ac:dyDescent="0.25">
      <c r="A19" s="334">
        <v>13</v>
      </c>
      <c r="B19" s="339" t="s">
        <v>148</v>
      </c>
      <c r="C19" s="71">
        <v>0</v>
      </c>
      <c r="D19" s="71"/>
      <c r="E19" s="336" t="e">
        <f t="shared" si="0"/>
        <v>#DIV/0!</v>
      </c>
      <c r="F19" s="72"/>
      <c r="G19" s="72"/>
      <c r="H19" s="336" t="e">
        <f t="shared" si="1"/>
        <v>#DIV/0!</v>
      </c>
      <c r="I19" s="71">
        <v>1</v>
      </c>
      <c r="J19" s="71"/>
      <c r="K19" s="336">
        <f t="shared" si="2"/>
        <v>0</v>
      </c>
      <c r="L19" s="72"/>
      <c r="M19" s="72"/>
      <c r="N19" s="336" t="e">
        <f t="shared" si="3"/>
        <v>#DIV/0!</v>
      </c>
      <c r="O19" s="71"/>
      <c r="P19" s="71"/>
      <c r="Q19" s="336" t="e">
        <f t="shared" si="4"/>
        <v>#DIV/0!</v>
      </c>
      <c r="R19" s="72"/>
      <c r="S19" s="72"/>
      <c r="T19" s="336" t="e">
        <f t="shared" si="5"/>
        <v>#DIV/0!</v>
      </c>
      <c r="U19" s="72"/>
      <c r="V19" s="72"/>
      <c r="W19" s="336" t="e">
        <f t="shared" si="6"/>
        <v>#DIV/0!</v>
      </c>
      <c r="X19" s="72"/>
      <c r="Y19" s="72"/>
      <c r="Z19" s="336" t="e">
        <f t="shared" si="7"/>
        <v>#DIV/0!</v>
      </c>
      <c r="AA19" s="72"/>
      <c r="AB19" s="72"/>
      <c r="AC19" s="336" t="e">
        <f t="shared" si="8"/>
        <v>#DIV/0!</v>
      </c>
      <c r="AD19" s="72"/>
      <c r="AE19" s="72"/>
      <c r="AF19" s="336" t="e">
        <f t="shared" si="9"/>
        <v>#DIV/0!</v>
      </c>
      <c r="AG19" s="72">
        <v>1</v>
      </c>
      <c r="AH19" s="72"/>
      <c r="AI19" s="336">
        <f t="shared" si="10"/>
        <v>0</v>
      </c>
      <c r="AJ19" s="72"/>
      <c r="AK19" s="72"/>
      <c r="AL19" s="336" t="e">
        <f t="shared" si="11"/>
        <v>#DIV/0!</v>
      </c>
      <c r="AM19" s="72">
        <v>1</v>
      </c>
      <c r="AN19" s="72"/>
      <c r="AO19" s="336">
        <f t="shared" si="12"/>
        <v>0</v>
      </c>
      <c r="AP19" s="72"/>
      <c r="AQ19" s="72"/>
      <c r="AR19" s="336" t="e">
        <f t="shared" si="13"/>
        <v>#DIV/0!</v>
      </c>
      <c r="AS19" s="72"/>
      <c r="AT19" s="72"/>
      <c r="AU19" s="336" t="e">
        <f t="shared" si="14"/>
        <v>#DIV/0!</v>
      </c>
      <c r="AV19" s="72">
        <v>1</v>
      </c>
      <c r="AW19" s="72"/>
      <c r="AX19" s="336">
        <f t="shared" si="15"/>
        <v>0</v>
      </c>
      <c r="AY19" s="72"/>
      <c r="AZ19" s="72"/>
      <c r="BA19" s="336" t="e">
        <f t="shared" si="16"/>
        <v>#DIV/0!</v>
      </c>
      <c r="BB19" s="72"/>
      <c r="BC19" s="72"/>
      <c r="BD19" s="336" t="e">
        <f t="shared" si="17"/>
        <v>#DIV/0!</v>
      </c>
      <c r="BE19" s="72"/>
      <c r="BF19" s="72"/>
      <c r="BG19" s="336" t="e">
        <f t="shared" si="18"/>
        <v>#DIV/0!</v>
      </c>
      <c r="BH19" s="72"/>
      <c r="BI19" s="72"/>
      <c r="BJ19" s="336" t="e">
        <f t="shared" si="19"/>
        <v>#DIV/0!</v>
      </c>
      <c r="BK19" s="72"/>
      <c r="BL19" s="72"/>
      <c r="BM19" s="336" t="e">
        <f t="shared" si="20"/>
        <v>#DIV/0!</v>
      </c>
      <c r="BN19" s="72">
        <v>1</v>
      </c>
      <c r="BO19" s="72"/>
      <c r="BP19" s="336">
        <f t="shared" si="21"/>
        <v>0</v>
      </c>
      <c r="BQ19" s="337">
        <f t="shared" si="22"/>
        <v>5</v>
      </c>
      <c r="BR19" s="337">
        <f t="shared" si="22"/>
        <v>0</v>
      </c>
      <c r="BS19" s="338">
        <f t="shared" si="23"/>
        <v>0</v>
      </c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</row>
    <row r="20" spans="1:206" ht="31.5" x14ac:dyDescent="0.25">
      <c r="A20" s="334">
        <v>14</v>
      </c>
      <c r="B20" s="339" t="s">
        <v>173</v>
      </c>
      <c r="C20" s="71">
        <v>0</v>
      </c>
      <c r="D20" s="71"/>
      <c r="E20" s="336" t="e">
        <f>D20/C20</f>
        <v>#DIV/0!</v>
      </c>
      <c r="F20" s="72"/>
      <c r="G20" s="72"/>
      <c r="H20" s="336" t="e">
        <f>G20/F20</f>
        <v>#DIV/0!</v>
      </c>
      <c r="I20" s="71">
        <v>1</v>
      </c>
      <c r="J20" s="71"/>
      <c r="K20" s="336">
        <f>J20/I20</f>
        <v>0</v>
      </c>
      <c r="L20" s="72"/>
      <c r="M20" s="72"/>
      <c r="N20" s="336" t="e">
        <f>M20/L20</f>
        <v>#DIV/0!</v>
      </c>
      <c r="O20" s="71"/>
      <c r="P20" s="71"/>
      <c r="Q20" s="336" t="e">
        <f>P20/O20</f>
        <v>#DIV/0!</v>
      </c>
      <c r="R20" s="72"/>
      <c r="S20" s="72"/>
      <c r="T20" s="336" t="e">
        <f>S20/R20</f>
        <v>#DIV/0!</v>
      </c>
      <c r="U20" s="72"/>
      <c r="V20" s="72"/>
      <c r="W20" s="336" t="e">
        <f t="shared" si="6"/>
        <v>#DIV/0!</v>
      </c>
      <c r="X20" s="72"/>
      <c r="Y20" s="72"/>
      <c r="Z20" s="336" t="e">
        <f t="shared" si="7"/>
        <v>#DIV/0!</v>
      </c>
      <c r="AA20" s="72"/>
      <c r="AB20" s="72"/>
      <c r="AC20" s="336" t="e">
        <f t="shared" si="8"/>
        <v>#DIV/0!</v>
      </c>
      <c r="AD20" s="72"/>
      <c r="AE20" s="72"/>
      <c r="AF20" s="336" t="e">
        <f t="shared" si="9"/>
        <v>#DIV/0!</v>
      </c>
      <c r="AG20" s="72"/>
      <c r="AH20" s="72"/>
      <c r="AI20" s="336" t="e">
        <f t="shared" si="10"/>
        <v>#DIV/0!</v>
      </c>
      <c r="AJ20" s="72"/>
      <c r="AK20" s="72"/>
      <c r="AL20" s="336" t="e">
        <f t="shared" si="11"/>
        <v>#DIV/0!</v>
      </c>
      <c r="AM20" s="72">
        <v>1</v>
      </c>
      <c r="AN20" s="72"/>
      <c r="AO20" s="336">
        <f t="shared" si="12"/>
        <v>0</v>
      </c>
      <c r="AP20" s="72"/>
      <c r="AQ20" s="72"/>
      <c r="AR20" s="336" t="e">
        <f t="shared" si="13"/>
        <v>#DIV/0!</v>
      </c>
      <c r="AS20" s="72"/>
      <c r="AT20" s="72"/>
      <c r="AU20" s="336" t="e">
        <f t="shared" si="14"/>
        <v>#DIV/0!</v>
      </c>
      <c r="AV20" s="72">
        <v>1</v>
      </c>
      <c r="AW20" s="72"/>
      <c r="AX20" s="336">
        <f t="shared" si="15"/>
        <v>0</v>
      </c>
      <c r="AY20" s="72"/>
      <c r="AZ20" s="72"/>
      <c r="BA20" s="336" t="e">
        <f t="shared" si="16"/>
        <v>#DIV/0!</v>
      </c>
      <c r="BB20" s="72">
        <v>1</v>
      </c>
      <c r="BC20" s="72"/>
      <c r="BD20" s="336">
        <f t="shared" si="17"/>
        <v>0</v>
      </c>
      <c r="BE20" s="72"/>
      <c r="BF20" s="72"/>
      <c r="BG20" s="336" t="e">
        <f t="shared" si="18"/>
        <v>#DIV/0!</v>
      </c>
      <c r="BH20" s="72"/>
      <c r="BI20" s="72"/>
      <c r="BJ20" s="336" t="e">
        <f t="shared" si="19"/>
        <v>#DIV/0!</v>
      </c>
      <c r="BK20" s="72"/>
      <c r="BL20" s="72"/>
      <c r="BM20" s="336" t="e">
        <f t="shared" si="20"/>
        <v>#DIV/0!</v>
      </c>
      <c r="BN20" s="72">
        <v>1</v>
      </c>
      <c r="BO20" s="72"/>
      <c r="BP20" s="336">
        <f t="shared" si="21"/>
        <v>0</v>
      </c>
      <c r="BQ20" s="337">
        <f t="shared" si="22"/>
        <v>5</v>
      </c>
      <c r="BR20" s="337">
        <f t="shared" si="22"/>
        <v>0</v>
      </c>
      <c r="BS20" s="338">
        <f t="shared" si="23"/>
        <v>0</v>
      </c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</row>
    <row r="21" spans="1:206" ht="15.75" x14ac:dyDescent="0.25">
      <c r="A21" s="334">
        <v>15</v>
      </c>
      <c r="B21" s="339" t="s">
        <v>149</v>
      </c>
      <c r="C21" s="71">
        <v>0</v>
      </c>
      <c r="D21" s="71"/>
      <c r="E21" s="336" t="e">
        <f t="shared" si="0"/>
        <v>#DIV/0!</v>
      </c>
      <c r="F21" s="72"/>
      <c r="G21" s="72"/>
      <c r="H21" s="336" t="e">
        <f t="shared" si="1"/>
        <v>#DIV/0!</v>
      </c>
      <c r="I21" s="71">
        <v>0</v>
      </c>
      <c r="J21" s="71"/>
      <c r="K21" s="336" t="e">
        <f t="shared" si="2"/>
        <v>#DIV/0!</v>
      </c>
      <c r="L21" s="72"/>
      <c r="M21" s="72"/>
      <c r="N21" s="336" t="e">
        <f t="shared" si="3"/>
        <v>#DIV/0!</v>
      </c>
      <c r="O21" s="71"/>
      <c r="P21" s="71"/>
      <c r="Q21" s="336" t="e">
        <f t="shared" si="4"/>
        <v>#DIV/0!</v>
      </c>
      <c r="R21" s="72"/>
      <c r="S21" s="72"/>
      <c r="T21" s="336" t="e">
        <f t="shared" si="5"/>
        <v>#DIV/0!</v>
      </c>
      <c r="U21" s="72"/>
      <c r="V21" s="72"/>
      <c r="W21" s="336" t="e">
        <f t="shared" si="6"/>
        <v>#DIV/0!</v>
      </c>
      <c r="X21" s="72"/>
      <c r="Y21" s="72"/>
      <c r="Z21" s="336" t="e">
        <f t="shared" si="7"/>
        <v>#DIV/0!</v>
      </c>
      <c r="AA21" s="72"/>
      <c r="AB21" s="72"/>
      <c r="AC21" s="336" t="e">
        <f t="shared" si="8"/>
        <v>#DIV/0!</v>
      </c>
      <c r="AD21" s="72"/>
      <c r="AE21" s="72"/>
      <c r="AF21" s="336" t="e">
        <f t="shared" si="9"/>
        <v>#DIV/0!</v>
      </c>
      <c r="AG21" s="72">
        <v>1</v>
      </c>
      <c r="AH21" s="72"/>
      <c r="AI21" s="336">
        <f t="shared" si="10"/>
        <v>0</v>
      </c>
      <c r="AJ21" s="72"/>
      <c r="AK21" s="72"/>
      <c r="AL21" s="336" t="e">
        <f t="shared" si="11"/>
        <v>#DIV/0!</v>
      </c>
      <c r="AM21" s="72">
        <v>1</v>
      </c>
      <c r="AN21" s="72"/>
      <c r="AO21" s="336">
        <f t="shared" si="12"/>
        <v>0</v>
      </c>
      <c r="AP21" s="72"/>
      <c r="AQ21" s="72"/>
      <c r="AR21" s="336" t="e">
        <f t="shared" si="13"/>
        <v>#DIV/0!</v>
      </c>
      <c r="AS21" s="72"/>
      <c r="AT21" s="72"/>
      <c r="AU21" s="336" t="e">
        <f t="shared" si="14"/>
        <v>#DIV/0!</v>
      </c>
      <c r="AV21" s="72">
        <v>1</v>
      </c>
      <c r="AW21" s="72"/>
      <c r="AX21" s="336">
        <f t="shared" si="15"/>
        <v>0</v>
      </c>
      <c r="AY21" s="72"/>
      <c r="AZ21" s="72"/>
      <c r="BA21" s="336" t="e">
        <f t="shared" si="16"/>
        <v>#DIV/0!</v>
      </c>
      <c r="BB21" s="72">
        <v>1</v>
      </c>
      <c r="BC21" s="72"/>
      <c r="BD21" s="336">
        <f t="shared" si="17"/>
        <v>0</v>
      </c>
      <c r="BE21" s="72"/>
      <c r="BF21" s="72"/>
      <c r="BG21" s="336" t="e">
        <f t="shared" si="18"/>
        <v>#DIV/0!</v>
      </c>
      <c r="BH21" s="72"/>
      <c r="BI21" s="72"/>
      <c r="BJ21" s="336" t="e">
        <f t="shared" si="19"/>
        <v>#DIV/0!</v>
      </c>
      <c r="BK21" s="72"/>
      <c r="BL21" s="72"/>
      <c r="BM21" s="336" t="e">
        <f t="shared" si="20"/>
        <v>#DIV/0!</v>
      </c>
      <c r="BN21" s="72">
        <v>1</v>
      </c>
      <c r="BO21" s="72"/>
      <c r="BP21" s="336">
        <f t="shared" si="21"/>
        <v>0</v>
      </c>
      <c r="BQ21" s="337">
        <f t="shared" si="22"/>
        <v>5</v>
      </c>
      <c r="BR21" s="337">
        <f t="shared" si="22"/>
        <v>0</v>
      </c>
      <c r="BS21" s="338">
        <f t="shared" si="23"/>
        <v>0</v>
      </c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</row>
    <row r="22" spans="1:206" ht="15.75" x14ac:dyDescent="0.25">
      <c r="A22" s="334">
        <v>16</v>
      </c>
      <c r="B22" s="339" t="s">
        <v>150</v>
      </c>
      <c r="C22" s="71">
        <v>1</v>
      </c>
      <c r="D22" s="71"/>
      <c r="E22" s="336">
        <f t="shared" si="0"/>
        <v>0</v>
      </c>
      <c r="F22" s="72"/>
      <c r="G22" s="72"/>
      <c r="H22" s="336" t="e">
        <f t="shared" si="1"/>
        <v>#DIV/0!</v>
      </c>
      <c r="I22" s="71">
        <v>1</v>
      </c>
      <c r="J22" s="71"/>
      <c r="K22" s="336">
        <f t="shared" si="2"/>
        <v>0</v>
      </c>
      <c r="L22" s="72"/>
      <c r="M22" s="72"/>
      <c r="N22" s="336" t="e">
        <f t="shared" si="3"/>
        <v>#DIV/0!</v>
      </c>
      <c r="O22" s="71"/>
      <c r="P22" s="71"/>
      <c r="Q22" s="336" t="e">
        <f t="shared" si="4"/>
        <v>#DIV/0!</v>
      </c>
      <c r="R22" s="72"/>
      <c r="S22" s="72"/>
      <c r="T22" s="336" t="e">
        <f t="shared" si="5"/>
        <v>#DIV/0!</v>
      </c>
      <c r="U22" s="72"/>
      <c r="V22" s="72"/>
      <c r="W22" s="336" t="e">
        <f t="shared" si="6"/>
        <v>#DIV/0!</v>
      </c>
      <c r="X22" s="72"/>
      <c r="Y22" s="72"/>
      <c r="Z22" s="336" t="e">
        <f t="shared" si="7"/>
        <v>#DIV/0!</v>
      </c>
      <c r="AA22" s="72">
        <v>1</v>
      </c>
      <c r="AB22" s="72"/>
      <c r="AC22" s="336">
        <f t="shared" si="8"/>
        <v>0</v>
      </c>
      <c r="AD22" s="72"/>
      <c r="AE22" s="72"/>
      <c r="AF22" s="336" t="e">
        <f t="shared" si="9"/>
        <v>#DIV/0!</v>
      </c>
      <c r="AG22" s="72">
        <v>1</v>
      </c>
      <c r="AH22" s="72"/>
      <c r="AI22" s="336">
        <f t="shared" si="10"/>
        <v>0</v>
      </c>
      <c r="AJ22" s="72"/>
      <c r="AK22" s="72"/>
      <c r="AL22" s="336" t="e">
        <f t="shared" si="11"/>
        <v>#DIV/0!</v>
      </c>
      <c r="AM22" s="72">
        <v>1</v>
      </c>
      <c r="AN22" s="72"/>
      <c r="AO22" s="336">
        <f t="shared" si="12"/>
        <v>0</v>
      </c>
      <c r="AP22" s="72"/>
      <c r="AQ22" s="72"/>
      <c r="AR22" s="336" t="e">
        <f t="shared" si="13"/>
        <v>#DIV/0!</v>
      </c>
      <c r="AS22" s="72"/>
      <c r="AT22" s="72"/>
      <c r="AU22" s="336" t="e">
        <f t="shared" si="14"/>
        <v>#DIV/0!</v>
      </c>
      <c r="AV22" s="72">
        <v>1</v>
      </c>
      <c r="AW22" s="72"/>
      <c r="AX22" s="336">
        <f t="shared" si="15"/>
        <v>0</v>
      </c>
      <c r="AY22" s="72"/>
      <c r="AZ22" s="72"/>
      <c r="BA22" s="336" t="e">
        <f t="shared" si="16"/>
        <v>#DIV/0!</v>
      </c>
      <c r="BB22" s="72">
        <v>1</v>
      </c>
      <c r="BC22" s="72"/>
      <c r="BD22" s="336">
        <f t="shared" si="17"/>
        <v>0</v>
      </c>
      <c r="BE22" s="72"/>
      <c r="BF22" s="72"/>
      <c r="BG22" s="336" t="e">
        <f t="shared" si="18"/>
        <v>#DIV/0!</v>
      </c>
      <c r="BH22" s="72"/>
      <c r="BI22" s="72"/>
      <c r="BJ22" s="336" t="e">
        <f t="shared" si="19"/>
        <v>#DIV/0!</v>
      </c>
      <c r="BK22" s="72"/>
      <c r="BL22" s="72"/>
      <c r="BM22" s="336" t="e">
        <f t="shared" si="20"/>
        <v>#DIV/0!</v>
      </c>
      <c r="BN22" s="72">
        <v>1</v>
      </c>
      <c r="BO22" s="72"/>
      <c r="BP22" s="336">
        <f t="shared" si="21"/>
        <v>0</v>
      </c>
      <c r="BQ22" s="337">
        <f t="shared" si="22"/>
        <v>8</v>
      </c>
      <c r="BR22" s="337">
        <f t="shared" si="22"/>
        <v>0</v>
      </c>
      <c r="BS22" s="338">
        <f t="shared" si="23"/>
        <v>0</v>
      </c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</row>
    <row r="23" spans="1:206" ht="15.75" x14ac:dyDescent="0.25">
      <c r="A23" s="334">
        <v>17</v>
      </c>
      <c r="B23" s="339" t="s">
        <v>151</v>
      </c>
      <c r="C23" s="71">
        <v>1</v>
      </c>
      <c r="D23" s="71"/>
      <c r="E23" s="336">
        <f t="shared" si="0"/>
        <v>0</v>
      </c>
      <c r="F23" s="72"/>
      <c r="G23" s="72"/>
      <c r="H23" s="336" t="e">
        <f t="shared" si="1"/>
        <v>#DIV/0!</v>
      </c>
      <c r="I23" s="71">
        <v>1</v>
      </c>
      <c r="J23" s="71">
        <v>1</v>
      </c>
      <c r="K23" s="336">
        <f t="shared" si="2"/>
        <v>1</v>
      </c>
      <c r="L23" s="72"/>
      <c r="M23" s="72"/>
      <c r="N23" s="336" t="e">
        <f t="shared" si="3"/>
        <v>#DIV/0!</v>
      </c>
      <c r="O23" s="71"/>
      <c r="P23" s="71"/>
      <c r="Q23" s="336" t="e">
        <f t="shared" si="4"/>
        <v>#DIV/0!</v>
      </c>
      <c r="R23" s="72"/>
      <c r="S23" s="72"/>
      <c r="T23" s="336" t="e">
        <f t="shared" si="5"/>
        <v>#DIV/0!</v>
      </c>
      <c r="U23" s="72">
        <v>1</v>
      </c>
      <c r="V23" s="72"/>
      <c r="W23" s="336">
        <f t="shared" si="6"/>
        <v>0</v>
      </c>
      <c r="X23" s="72"/>
      <c r="Y23" s="72"/>
      <c r="Z23" s="336" t="e">
        <f t="shared" si="7"/>
        <v>#DIV/0!</v>
      </c>
      <c r="AA23" s="72">
        <v>1</v>
      </c>
      <c r="AB23" s="72">
        <v>1</v>
      </c>
      <c r="AC23" s="336">
        <f t="shared" si="8"/>
        <v>1</v>
      </c>
      <c r="AD23" s="72"/>
      <c r="AE23" s="72"/>
      <c r="AF23" s="336" t="e">
        <f t="shared" si="9"/>
        <v>#DIV/0!</v>
      </c>
      <c r="AG23" s="72">
        <v>1</v>
      </c>
      <c r="AH23" s="72"/>
      <c r="AI23" s="336">
        <f t="shared" si="10"/>
        <v>0</v>
      </c>
      <c r="AJ23" s="72"/>
      <c r="AK23" s="72"/>
      <c r="AL23" s="336" t="e">
        <f t="shared" si="11"/>
        <v>#DIV/0!</v>
      </c>
      <c r="AM23" s="72">
        <v>1</v>
      </c>
      <c r="AN23" s="72"/>
      <c r="AO23" s="336">
        <f t="shared" si="12"/>
        <v>0</v>
      </c>
      <c r="AP23" s="72"/>
      <c r="AQ23" s="72"/>
      <c r="AR23" s="336" t="e">
        <f t="shared" si="13"/>
        <v>#DIV/0!</v>
      </c>
      <c r="AS23" s="72"/>
      <c r="AT23" s="72"/>
      <c r="AU23" s="336" t="e">
        <f t="shared" si="14"/>
        <v>#DIV/0!</v>
      </c>
      <c r="AV23" s="72">
        <v>1</v>
      </c>
      <c r="AW23" s="72"/>
      <c r="AX23" s="336">
        <f t="shared" si="15"/>
        <v>0</v>
      </c>
      <c r="AY23" s="72"/>
      <c r="AZ23" s="72"/>
      <c r="BA23" s="336" t="e">
        <f t="shared" si="16"/>
        <v>#DIV/0!</v>
      </c>
      <c r="BB23" s="72">
        <v>1</v>
      </c>
      <c r="BC23" s="72">
        <v>1</v>
      </c>
      <c r="BD23" s="336">
        <f t="shared" si="17"/>
        <v>1</v>
      </c>
      <c r="BE23" s="72"/>
      <c r="BF23" s="72"/>
      <c r="BG23" s="336" t="e">
        <f t="shared" si="18"/>
        <v>#DIV/0!</v>
      </c>
      <c r="BH23" s="72"/>
      <c r="BI23" s="72"/>
      <c r="BJ23" s="336" t="e">
        <f t="shared" si="19"/>
        <v>#DIV/0!</v>
      </c>
      <c r="BK23" s="72"/>
      <c r="BL23" s="72"/>
      <c r="BM23" s="336" t="e">
        <f t="shared" si="20"/>
        <v>#DIV/0!</v>
      </c>
      <c r="BN23" s="72">
        <v>1</v>
      </c>
      <c r="BO23" s="72"/>
      <c r="BP23" s="336">
        <f t="shared" si="21"/>
        <v>0</v>
      </c>
      <c r="BQ23" s="337">
        <f t="shared" si="22"/>
        <v>9</v>
      </c>
      <c r="BR23" s="337">
        <f t="shared" si="22"/>
        <v>3</v>
      </c>
      <c r="BS23" s="338">
        <f t="shared" si="23"/>
        <v>0.33333333333333331</v>
      </c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</row>
    <row r="24" spans="1:206" ht="15.75" x14ac:dyDescent="0.25">
      <c r="A24" s="334">
        <v>18</v>
      </c>
      <c r="B24" s="339" t="s">
        <v>316</v>
      </c>
      <c r="C24" s="71">
        <v>1</v>
      </c>
      <c r="D24" s="71"/>
      <c r="E24" s="336">
        <f t="shared" si="0"/>
        <v>0</v>
      </c>
      <c r="F24" s="72"/>
      <c r="G24" s="72"/>
      <c r="H24" s="336" t="e">
        <f t="shared" si="1"/>
        <v>#DIV/0!</v>
      </c>
      <c r="I24" s="71">
        <v>1</v>
      </c>
      <c r="J24" s="71"/>
      <c r="K24" s="336">
        <f t="shared" si="2"/>
        <v>0</v>
      </c>
      <c r="L24" s="72"/>
      <c r="M24" s="72"/>
      <c r="N24" s="336" t="e">
        <f t="shared" si="3"/>
        <v>#DIV/0!</v>
      </c>
      <c r="O24" s="71"/>
      <c r="P24" s="71"/>
      <c r="Q24" s="336" t="e">
        <f t="shared" si="4"/>
        <v>#DIV/0!</v>
      </c>
      <c r="R24" s="72"/>
      <c r="S24" s="72"/>
      <c r="T24" s="336" t="e">
        <f t="shared" si="5"/>
        <v>#DIV/0!</v>
      </c>
      <c r="U24" s="72"/>
      <c r="V24" s="72"/>
      <c r="W24" s="336" t="e">
        <f t="shared" si="6"/>
        <v>#DIV/0!</v>
      </c>
      <c r="X24" s="72"/>
      <c r="Y24" s="72"/>
      <c r="Z24" s="336" t="e">
        <f t="shared" si="7"/>
        <v>#DIV/0!</v>
      </c>
      <c r="AA24" s="72">
        <v>1</v>
      </c>
      <c r="AB24" s="72"/>
      <c r="AC24" s="336">
        <f t="shared" si="8"/>
        <v>0</v>
      </c>
      <c r="AD24" s="72"/>
      <c r="AE24" s="72"/>
      <c r="AF24" s="336" t="e">
        <f t="shared" si="9"/>
        <v>#DIV/0!</v>
      </c>
      <c r="AG24" s="72">
        <v>1</v>
      </c>
      <c r="AH24" s="72"/>
      <c r="AI24" s="336">
        <f t="shared" si="10"/>
        <v>0</v>
      </c>
      <c r="AJ24" s="72"/>
      <c r="AK24" s="72"/>
      <c r="AL24" s="336" t="e">
        <f t="shared" si="11"/>
        <v>#DIV/0!</v>
      </c>
      <c r="AM24" s="72">
        <v>1</v>
      </c>
      <c r="AN24" s="72"/>
      <c r="AO24" s="336">
        <f t="shared" si="12"/>
        <v>0</v>
      </c>
      <c r="AP24" s="72"/>
      <c r="AQ24" s="72"/>
      <c r="AR24" s="336" t="e">
        <f t="shared" si="13"/>
        <v>#DIV/0!</v>
      </c>
      <c r="AS24" s="72"/>
      <c r="AT24" s="72"/>
      <c r="AU24" s="336" t="e">
        <f t="shared" si="14"/>
        <v>#DIV/0!</v>
      </c>
      <c r="AV24" s="72">
        <v>1</v>
      </c>
      <c r="AW24" s="72"/>
      <c r="AX24" s="336">
        <f t="shared" si="15"/>
        <v>0</v>
      </c>
      <c r="AY24" s="72"/>
      <c r="AZ24" s="72"/>
      <c r="BA24" s="336" t="e">
        <f t="shared" si="16"/>
        <v>#DIV/0!</v>
      </c>
      <c r="BB24" s="72">
        <v>1</v>
      </c>
      <c r="BC24" s="72"/>
      <c r="BD24" s="336">
        <f t="shared" si="17"/>
        <v>0</v>
      </c>
      <c r="BE24" s="72"/>
      <c r="BF24" s="72"/>
      <c r="BG24" s="336" t="e">
        <f t="shared" si="18"/>
        <v>#DIV/0!</v>
      </c>
      <c r="BH24" s="72"/>
      <c r="BI24" s="72"/>
      <c r="BJ24" s="336" t="e">
        <f t="shared" si="19"/>
        <v>#DIV/0!</v>
      </c>
      <c r="BK24" s="72"/>
      <c r="BL24" s="72"/>
      <c r="BM24" s="336" t="e">
        <f t="shared" si="20"/>
        <v>#DIV/0!</v>
      </c>
      <c r="BN24" s="72">
        <v>1</v>
      </c>
      <c r="BO24" s="72"/>
      <c r="BP24" s="336">
        <f t="shared" si="21"/>
        <v>0</v>
      </c>
      <c r="BQ24" s="337">
        <f t="shared" si="22"/>
        <v>8</v>
      </c>
      <c r="BR24" s="337">
        <f t="shared" si="22"/>
        <v>0</v>
      </c>
      <c r="BS24" s="338">
        <f t="shared" si="23"/>
        <v>0</v>
      </c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</row>
    <row r="25" spans="1:206" ht="15.75" x14ac:dyDescent="0.25">
      <c r="A25" s="334">
        <v>19</v>
      </c>
      <c r="B25" s="339" t="s">
        <v>317</v>
      </c>
      <c r="C25" s="71">
        <v>1</v>
      </c>
      <c r="D25" s="71"/>
      <c r="E25" s="336">
        <f t="shared" si="0"/>
        <v>0</v>
      </c>
      <c r="F25" s="72">
        <v>2</v>
      </c>
      <c r="G25" s="72"/>
      <c r="H25" s="336">
        <f t="shared" si="1"/>
        <v>0</v>
      </c>
      <c r="I25" s="71">
        <v>1</v>
      </c>
      <c r="J25" s="71">
        <v>1</v>
      </c>
      <c r="K25" s="336">
        <f t="shared" si="2"/>
        <v>1</v>
      </c>
      <c r="L25" s="72"/>
      <c r="M25" s="72"/>
      <c r="N25" s="336" t="e">
        <f t="shared" si="3"/>
        <v>#DIV/0!</v>
      </c>
      <c r="O25" s="71">
        <v>1</v>
      </c>
      <c r="P25" s="71"/>
      <c r="Q25" s="336">
        <f t="shared" si="4"/>
        <v>0</v>
      </c>
      <c r="R25" s="72"/>
      <c r="S25" s="72"/>
      <c r="T25" s="336" t="e">
        <f t="shared" si="5"/>
        <v>#DIV/0!</v>
      </c>
      <c r="U25" s="72">
        <v>1</v>
      </c>
      <c r="V25" s="72"/>
      <c r="W25" s="336">
        <f t="shared" si="6"/>
        <v>0</v>
      </c>
      <c r="X25" s="72"/>
      <c r="Y25" s="72"/>
      <c r="Z25" s="336" t="e">
        <f t="shared" si="7"/>
        <v>#DIV/0!</v>
      </c>
      <c r="AA25" s="72">
        <v>1</v>
      </c>
      <c r="AB25" s="72">
        <v>1</v>
      </c>
      <c r="AC25" s="336">
        <f t="shared" si="8"/>
        <v>1</v>
      </c>
      <c r="AD25" s="72"/>
      <c r="AE25" s="72"/>
      <c r="AF25" s="336" t="e">
        <f t="shared" si="9"/>
        <v>#DIV/0!</v>
      </c>
      <c r="AG25" s="72">
        <v>1</v>
      </c>
      <c r="AH25" s="72">
        <v>1</v>
      </c>
      <c r="AI25" s="336">
        <f t="shared" si="10"/>
        <v>1</v>
      </c>
      <c r="AJ25" s="72">
        <v>1</v>
      </c>
      <c r="AK25" s="72"/>
      <c r="AL25" s="336">
        <f t="shared" si="11"/>
        <v>0</v>
      </c>
      <c r="AM25" s="72">
        <v>1</v>
      </c>
      <c r="AN25" s="72"/>
      <c r="AO25" s="336">
        <f t="shared" si="12"/>
        <v>0</v>
      </c>
      <c r="AP25" s="72"/>
      <c r="AQ25" s="72"/>
      <c r="AR25" s="336" t="e">
        <f t="shared" si="13"/>
        <v>#DIV/0!</v>
      </c>
      <c r="AS25" s="72"/>
      <c r="AT25" s="72"/>
      <c r="AU25" s="336" t="e">
        <f t="shared" si="14"/>
        <v>#DIV/0!</v>
      </c>
      <c r="AV25" s="72">
        <v>1</v>
      </c>
      <c r="AW25" s="72"/>
      <c r="AX25" s="336">
        <f t="shared" si="15"/>
        <v>0</v>
      </c>
      <c r="AY25" s="72"/>
      <c r="AZ25" s="72"/>
      <c r="BA25" s="336" t="e">
        <f t="shared" si="16"/>
        <v>#DIV/0!</v>
      </c>
      <c r="BB25" s="72">
        <v>1</v>
      </c>
      <c r="BC25" s="72">
        <v>1</v>
      </c>
      <c r="BD25" s="336">
        <f t="shared" si="17"/>
        <v>1</v>
      </c>
      <c r="BE25" s="72">
        <v>1</v>
      </c>
      <c r="BF25" s="72"/>
      <c r="BG25" s="336">
        <f t="shared" si="18"/>
        <v>0</v>
      </c>
      <c r="BH25" s="72"/>
      <c r="BI25" s="72"/>
      <c r="BJ25" s="336" t="e">
        <f t="shared" si="19"/>
        <v>#DIV/0!</v>
      </c>
      <c r="BK25" s="72"/>
      <c r="BL25" s="72"/>
      <c r="BM25" s="336" t="e">
        <f t="shared" si="20"/>
        <v>#DIV/0!</v>
      </c>
      <c r="BN25" s="72">
        <v>1</v>
      </c>
      <c r="BO25" s="72"/>
      <c r="BP25" s="336">
        <f t="shared" si="21"/>
        <v>0</v>
      </c>
      <c r="BQ25" s="337">
        <f t="shared" si="22"/>
        <v>14</v>
      </c>
      <c r="BR25" s="337">
        <f t="shared" si="22"/>
        <v>4</v>
      </c>
      <c r="BS25" s="338">
        <f t="shared" si="23"/>
        <v>0.2857142857142857</v>
      </c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</row>
    <row r="26" spans="1:206" ht="15.75" x14ac:dyDescent="0.25">
      <c r="A26" s="334">
        <v>20</v>
      </c>
      <c r="B26" s="339" t="s">
        <v>154</v>
      </c>
      <c r="C26" s="71">
        <v>1</v>
      </c>
      <c r="D26" s="71"/>
      <c r="E26" s="336">
        <f t="shared" si="0"/>
        <v>0</v>
      </c>
      <c r="F26" s="72"/>
      <c r="G26" s="72"/>
      <c r="H26" s="336" t="e">
        <f t="shared" si="1"/>
        <v>#DIV/0!</v>
      </c>
      <c r="I26" s="71">
        <v>1</v>
      </c>
      <c r="J26" s="71"/>
      <c r="K26" s="336">
        <f t="shared" si="2"/>
        <v>0</v>
      </c>
      <c r="L26" s="72"/>
      <c r="M26" s="72"/>
      <c r="N26" s="336" t="e">
        <f t="shared" si="3"/>
        <v>#DIV/0!</v>
      </c>
      <c r="O26" s="71">
        <v>1</v>
      </c>
      <c r="P26" s="71">
        <v>1</v>
      </c>
      <c r="Q26" s="336">
        <f t="shared" si="4"/>
        <v>1</v>
      </c>
      <c r="R26" s="72"/>
      <c r="S26" s="72"/>
      <c r="T26" s="336" t="e">
        <f t="shared" si="5"/>
        <v>#DIV/0!</v>
      </c>
      <c r="U26" s="72">
        <v>1</v>
      </c>
      <c r="V26" s="72">
        <v>1</v>
      </c>
      <c r="W26" s="336">
        <f t="shared" si="6"/>
        <v>1</v>
      </c>
      <c r="X26" s="72">
        <v>1</v>
      </c>
      <c r="Y26" s="72"/>
      <c r="Z26" s="336">
        <f t="shared" si="7"/>
        <v>0</v>
      </c>
      <c r="AA26" s="72"/>
      <c r="AB26" s="72"/>
      <c r="AC26" s="336" t="e">
        <f t="shared" si="8"/>
        <v>#DIV/0!</v>
      </c>
      <c r="AD26" s="72"/>
      <c r="AE26" s="72"/>
      <c r="AF26" s="336" t="e">
        <f t="shared" si="9"/>
        <v>#DIV/0!</v>
      </c>
      <c r="AG26" s="72"/>
      <c r="AH26" s="72"/>
      <c r="AI26" s="336" t="e">
        <f t="shared" si="10"/>
        <v>#DIV/0!</v>
      </c>
      <c r="AJ26" s="72"/>
      <c r="AK26" s="72"/>
      <c r="AL26" s="336" t="e">
        <f t="shared" si="11"/>
        <v>#DIV/0!</v>
      </c>
      <c r="AM26" s="72">
        <v>1</v>
      </c>
      <c r="AN26" s="72"/>
      <c r="AO26" s="336">
        <f t="shared" si="12"/>
        <v>0</v>
      </c>
      <c r="AP26" s="72"/>
      <c r="AQ26" s="72"/>
      <c r="AR26" s="336" t="e">
        <f t="shared" si="13"/>
        <v>#DIV/0!</v>
      </c>
      <c r="AS26" s="72"/>
      <c r="AT26" s="72"/>
      <c r="AU26" s="336" t="e">
        <f t="shared" si="14"/>
        <v>#DIV/0!</v>
      </c>
      <c r="AV26" s="72">
        <v>1</v>
      </c>
      <c r="AW26" s="72"/>
      <c r="AX26" s="336">
        <f t="shared" si="15"/>
        <v>0</v>
      </c>
      <c r="AY26" s="72"/>
      <c r="AZ26" s="72"/>
      <c r="BA26" s="336" t="e">
        <f t="shared" si="16"/>
        <v>#DIV/0!</v>
      </c>
      <c r="BB26" s="72">
        <v>1</v>
      </c>
      <c r="BC26" s="72"/>
      <c r="BD26" s="336">
        <f t="shared" si="17"/>
        <v>0</v>
      </c>
      <c r="BE26" s="72"/>
      <c r="BF26" s="72"/>
      <c r="BG26" s="336" t="e">
        <f t="shared" si="18"/>
        <v>#DIV/0!</v>
      </c>
      <c r="BH26" s="72"/>
      <c r="BI26" s="72"/>
      <c r="BJ26" s="336" t="e">
        <f t="shared" si="19"/>
        <v>#DIV/0!</v>
      </c>
      <c r="BK26" s="72"/>
      <c r="BL26" s="72"/>
      <c r="BM26" s="336" t="e">
        <f t="shared" si="20"/>
        <v>#DIV/0!</v>
      </c>
      <c r="BN26" s="72">
        <v>1</v>
      </c>
      <c r="BO26" s="72">
        <v>1</v>
      </c>
      <c r="BP26" s="336">
        <f t="shared" si="21"/>
        <v>1</v>
      </c>
      <c r="BQ26" s="337">
        <f t="shared" si="22"/>
        <v>9</v>
      </c>
      <c r="BR26" s="337">
        <f t="shared" si="22"/>
        <v>3</v>
      </c>
      <c r="BS26" s="338">
        <f t="shared" si="23"/>
        <v>0.33333333333333331</v>
      </c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</row>
    <row r="27" spans="1:206" ht="15.75" x14ac:dyDescent="0.25">
      <c r="A27" s="334">
        <v>21</v>
      </c>
      <c r="B27" s="339" t="s">
        <v>155</v>
      </c>
      <c r="C27" s="71">
        <v>1</v>
      </c>
      <c r="D27" s="71"/>
      <c r="E27" s="336">
        <f t="shared" si="0"/>
        <v>0</v>
      </c>
      <c r="F27" s="72"/>
      <c r="G27" s="72"/>
      <c r="H27" s="336" t="e">
        <f t="shared" si="1"/>
        <v>#DIV/0!</v>
      </c>
      <c r="I27" s="71">
        <v>1</v>
      </c>
      <c r="J27" s="71"/>
      <c r="K27" s="336">
        <f t="shared" si="2"/>
        <v>0</v>
      </c>
      <c r="L27" s="72"/>
      <c r="M27" s="72"/>
      <c r="N27" s="336" t="e">
        <f t="shared" si="3"/>
        <v>#DIV/0!</v>
      </c>
      <c r="O27" s="71"/>
      <c r="P27" s="71"/>
      <c r="Q27" s="336" t="e">
        <f t="shared" si="4"/>
        <v>#DIV/0!</v>
      </c>
      <c r="R27" s="72"/>
      <c r="S27" s="72"/>
      <c r="T27" s="336" t="e">
        <f t="shared" si="5"/>
        <v>#DIV/0!</v>
      </c>
      <c r="U27" s="72"/>
      <c r="V27" s="72"/>
      <c r="W27" s="336" t="e">
        <f t="shared" si="6"/>
        <v>#DIV/0!</v>
      </c>
      <c r="X27" s="72"/>
      <c r="Y27" s="72"/>
      <c r="Z27" s="336" t="e">
        <f t="shared" si="7"/>
        <v>#DIV/0!</v>
      </c>
      <c r="AA27" s="72">
        <v>1</v>
      </c>
      <c r="AB27" s="72"/>
      <c r="AC27" s="336">
        <f t="shared" si="8"/>
        <v>0</v>
      </c>
      <c r="AD27" s="72"/>
      <c r="AE27" s="72"/>
      <c r="AF27" s="336" t="e">
        <f t="shared" si="9"/>
        <v>#DIV/0!</v>
      </c>
      <c r="AG27" s="72">
        <v>1</v>
      </c>
      <c r="AH27" s="72"/>
      <c r="AI27" s="336">
        <f t="shared" si="10"/>
        <v>0</v>
      </c>
      <c r="AJ27" s="72"/>
      <c r="AK27" s="72"/>
      <c r="AL27" s="336" t="e">
        <f t="shared" si="11"/>
        <v>#DIV/0!</v>
      </c>
      <c r="AM27" s="72">
        <v>1</v>
      </c>
      <c r="AN27" s="72"/>
      <c r="AO27" s="336">
        <f t="shared" si="12"/>
        <v>0</v>
      </c>
      <c r="AP27" s="72"/>
      <c r="AQ27" s="72"/>
      <c r="AR27" s="336" t="e">
        <f t="shared" si="13"/>
        <v>#DIV/0!</v>
      </c>
      <c r="AS27" s="72"/>
      <c r="AT27" s="72"/>
      <c r="AU27" s="336" t="e">
        <f t="shared" si="14"/>
        <v>#DIV/0!</v>
      </c>
      <c r="AV27" s="72">
        <v>1</v>
      </c>
      <c r="AW27" s="72"/>
      <c r="AX27" s="336">
        <f t="shared" si="15"/>
        <v>0</v>
      </c>
      <c r="AY27" s="72"/>
      <c r="AZ27" s="72"/>
      <c r="BA27" s="336" t="e">
        <f t="shared" si="16"/>
        <v>#DIV/0!</v>
      </c>
      <c r="BB27" s="72">
        <v>1</v>
      </c>
      <c r="BC27" s="72"/>
      <c r="BD27" s="336">
        <f t="shared" si="17"/>
        <v>0</v>
      </c>
      <c r="BE27" s="72"/>
      <c r="BF27" s="72"/>
      <c r="BG27" s="336" t="e">
        <f t="shared" si="18"/>
        <v>#DIV/0!</v>
      </c>
      <c r="BH27" s="72"/>
      <c r="BI27" s="72"/>
      <c r="BJ27" s="336" t="e">
        <f t="shared" si="19"/>
        <v>#DIV/0!</v>
      </c>
      <c r="BK27" s="72"/>
      <c r="BL27" s="72"/>
      <c r="BM27" s="336" t="e">
        <f t="shared" si="20"/>
        <v>#DIV/0!</v>
      </c>
      <c r="BN27" s="72">
        <v>1</v>
      </c>
      <c r="BO27" s="72"/>
      <c r="BP27" s="336">
        <f t="shared" si="21"/>
        <v>0</v>
      </c>
      <c r="BQ27" s="337">
        <f t="shared" si="22"/>
        <v>8</v>
      </c>
      <c r="BR27" s="337">
        <f t="shared" si="22"/>
        <v>0</v>
      </c>
      <c r="BS27" s="338">
        <f t="shared" si="23"/>
        <v>0</v>
      </c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</row>
    <row r="28" spans="1:206" ht="15.75" x14ac:dyDescent="0.25">
      <c r="A28" s="334">
        <v>22</v>
      </c>
      <c r="B28" s="339" t="s">
        <v>277</v>
      </c>
      <c r="C28" s="71">
        <v>1</v>
      </c>
      <c r="D28" s="71"/>
      <c r="E28" s="336">
        <f>D28/C28</f>
        <v>0</v>
      </c>
      <c r="F28" s="72"/>
      <c r="G28" s="72"/>
      <c r="H28" s="336" t="e">
        <f>G28/F28</f>
        <v>#DIV/0!</v>
      </c>
      <c r="I28" s="71">
        <v>0</v>
      </c>
      <c r="J28" s="71"/>
      <c r="K28" s="336" t="e">
        <f>J28/I28</f>
        <v>#DIV/0!</v>
      </c>
      <c r="L28" s="72"/>
      <c r="M28" s="72"/>
      <c r="N28" s="336" t="e">
        <f>M28/L28</f>
        <v>#DIV/0!</v>
      </c>
      <c r="O28" s="71">
        <v>1</v>
      </c>
      <c r="P28" s="71">
        <v>1</v>
      </c>
      <c r="Q28" s="336">
        <f>P28/O28</f>
        <v>1</v>
      </c>
      <c r="R28" s="72"/>
      <c r="S28" s="72"/>
      <c r="T28" s="336" t="e">
        <f>S28/R28</f>
        <v>#DIV/0!</v>
      </c>
      <c r="U28" s="72"/>
      <c r="V28" s="72"/>
      <c r="W28" s="336" t="e">
        <f>V28/U28</f>
        <v>#DIV/0!</v>
      </c>
      <c r="X28" s="72"/>
      <c r="Y28" s="72"/>
      <c r="Z28" s="336" t="e">
        <f>Y28/X28</f>
        <v>#DIV/0!</v>
      </c>
      <c r="AA28" s="72"/>
      <c r="AB28" s="72"/>
      <c r="AC28" s="336" t="e">
        <f>AB28/AA28</f>
        <v>#DIV/0!</v>
      </c>
      <c r="AD28" s="72"/>
      <c r="AE28" s="72"/>
      <c r="AF28" s="336" t="e">
        <f>AE28/AD28</f>
        <v>#DIV/0!</v>
      </c>
      <c r="AG28" s="72"/>
      <c r="AH28" s="72"/>
      <c r="AI28" s="336" t="e">
        <f>AH28/AG28</f>
        <v>#DIV/0!</v>
      </c>
      <c r="AJ28" s="72"/>
      <c r="AK28" s="72"/>
      <c r="AL28" s="336" t="e">
        <f>AK28/AJ28</f>
        <v>#DIV/0!</v>
      </c>
      <c r="AM28" s="72">
        <v>1</v>
      </c>
      <c r="AN28" s="72"/>
      <c r="AO28" s="336">
        <f>AN28/AM28</f>
        <v>0</v>
      </c>
      <c r="AP28" s="72"/>
      <c r="AQ28" s="72"/>
      <c r="AR28" s="336" t="e">
        <f>AQ28/AP28</f>
        <v>#DIV/0!</v>
      </c>
      <c r="AS28" s="72"/>
      <c r="AT28" s="72"/>
      <c r="AU28" s="336" t="e">
        <f>AT28/AS28</f>
        <v>#DIV/0!</v>
      </c>
      <c r="AV28" s="72">
        <v>1</v>
      </c>
      <c r="AW28" s="72"/>
      <c r="AX28" s="336">
        <f>AW28/AV28</f>
        <v>0</v>
      </c>
      <c r="AY28" s="72"/>
      <c r="AZ28" s="72"/>
      <c r="BA28" s="336" t="e">
        <f>AZ28/AY28</f>
        <v>#DIV/0!</v>
      </c>
      <c r="BB28" s="72"/>
      <c r="BC28" s="72"/>
      <c r="BD28" s="336" t="e">
        <f>BC28/BB28</f>
        <v>#DIV/0!</v>
      </c>
      <c r="BE28" s="72"/>
      <c r="BF28" s="72"/>
      <c r="BG28" s="336" t="e">
        <f>BF28/BE28</f>
        <v>#DIV/0!</v>
      </c>
      <c r="BH28" s="72"/>
      <c r="BI28" s="72"/>
      <c r="BJ28" s="336" t="e">
        <f>BI28/BH28</f>
        <v>#DIV/0!</v>
      </c>
      <c r="BK28" s="72"/>
      <c r="BL28" s="72"/>
      <c r="BM28" s="336" t="e">
        <f>BL28/BK28</f>
        <v>#DIV/0!</v>
      </c>
      <c r="BN28" s="72">
        <v>1</v>
      </c>
      <c r="BO28" s="72"/>
      <c r="BP28" s="336">
        <f>BO28/BN28</f>
        <v>0</v>
      </c>
      <c r="BQ28" s="337">
        <f>BN28+BK28+BH28+BE28+BB28+AY28+AV28+AS28+AP28+AM28+AJ28+AG28+AD28+AA28+X28+U28+R28+O28+L28+I28+F28+C28</f>
        <v>5</v>
      </c>
      <c r="BR28" s="337">
        <f>BO28+BL28+BI28+BF28+BC28+AZ28+AW28+AT28+AQ28+AN28+AK28+AH28+AE28+AB28+Y28+V28+S28+P28+M28+J28+G28+D28</f>
        <v>1</v>
      </c>
      <c r="BS28" s="338">
        <f>BR28/BQ28</f>
        <v>0.2</v>
      </c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</row>
    <row r="29" spans="1:206" ht="15.75" x14ac:dyDescent="0.25">
      <c r="A29" s="334">
        <v>23</v>
      </c>
      <c r="B29" s="339" t="s">
        <v>156</v>
      </c>
      <c r="C29" s="71">
        <v>1</v>
      </c>
      <c r="D29" s="71"/>
      <c r="E29" s="336">
        <f t="shared" si="0"/>
        <v>0</v>
      </c>
      <c r="F29" s="72"/>
      <c r="G29" s="72"/>
      <c r="H29" s="336" t="e">
        <f t="shared" si="1"/>
        <v>#DIV/0!</v>
      </c>
      <c r="I29" s="71">
        <v>1</v>
      </c>
      <c r="J29" s="71"/>
      <c r="K29" s="336">
        <f t="shared" si="2"/>
        <v>0</v>
      </c>
      <c r="L29" s="72"/>
      <c r="M29" s="72"/>
      <c r="N29" s="336" t="e">
        <f t="shared" si="3"/>
        <v>#DIV/0!</v>
      </c>
      <c r="O29" s="71"/>
      <c r="P29" s="71"/>
      <c r="Q29" s="336" t="e">
        <f t="shared" si="4"/>
        <v>#DIV/0!</v>
      </c>
      <c r="R29" s="72"/>
      <c r="S29" s="72"/>
      <c r="T29" s="336" t="e">
        <f t="shared" si="5"/>
        <v>#DIV/0!</v>
      </c>
      <c r="U29" s="72"/>
      <c r="V29" s="72"/>
      <c r="W29" s="336" t="e">
        <f t="shared" si="6"/>
        <v>#DIV/0!</v>
      </c>
      <c r="X29" s="72"/>
      <c r="Y29" s="72"/>
      <c r="Z29" s="336" t="e">
        <f t="shared" si="7"/>
        <v>#DIV/0!</v>
      </c>
      <c r="AA29" s="72">
        <v>1</v>
      </c>
      <c r="AB29" s="72"/>
      <c r="AC29" s="336">
        <f t="shared" si="8"/>
        <v>0</v>
      </c>
      <c r="AD29" s="72"/>
      <c r="AE29" s="72"/>
      <c r="AF29" s="336" t="e">
        <f t="shared" si="9"/>
        <v>#DIV/0!</v>
      </c>
      <c r="AG29" s="72">
        <v>1</v>
      </c>
      <c r="AH29" s="72"/>
      <c r="AI29" s="336">
        <f t="shared" si="10"/>
        <v>0</v>
      </c>
      <c r="AJ29" s="72"/>
      <c r="AK29" s="72"/>
      <c r="AL29" s="336" t="e">
        <f t="shared" si="11"/>
        <v>#DIV/0!</v>
      </c>
      <c r="AM29" s="72">
        <v>1</v>
      </c>
      <c r="AN29" s="72"/>
      <c r="AO29" s="336">
        <f t="shared" si="12"/>
        <v>0</v>
      </c>
      <c r="AP29" s="72"/>
      <c r="AQ29" s="72"/>
      <c r="AR29" s="336" t="e">
        <f t="shared" si="13"/>
        <v>#DIV/0!</v>
      </c>
      <c r="AS29" s="72"/>
      <c r="AT29" s="72"/>
      <c r="AU29" s="336" t="e">
        <f t="shared" si="14"/>
        <v>#DIV/0!</v>
      </c>
      <c r="AV29" s="72">
        <v>1</v>
      </c>
      <c r="AW29" s="72"/>
      <c r="AX29" s="336">
        <f t="shared" si="15"/>
        <v>0</v>
      </c>
      <c r="AY29" s="72"/>
      <c r="AZ29" s="72"/>
      <c r="BA29" s="336" t="e">
        <f t="shared" si="16"/>
        <v>#DIV/0!</v>
      </c>
      <c r="BB29" s="72">
        <v>1</v>
      </c>
      <c r="BC29" s="72"/>
      <c r="BD29" s="336">
        <f t="shared" si="17"/>
        <v>0</v>
      </c>
      <c r="BE29" s="72"/>
      <c r="BF29" s="72"/>
      <c r="BG29" s="336" t="e">
        <f t="shared" si="18"/>
        <v>#DIV/0!</v>
      </c>
      <c r="BH29" s="72"/>
      <c r="BI29" s="72"/>
      <c r="BJ29" s="336" t="e">
        <f t="shared" si="19"/>
        <v>#DIV/0!</v>
      </c>
      <c r="BK29" s="72"/>
      <c r="BL29" s="72"/>
      <c r="BM29" s="336" t="e">
        <f t="shared" si="20"/>
        <v>#DIV/0!</v>
      </c>
      <c r="BN29" s="72">
        <v>1</v>
      </c>
      <c r="BO29" s="72"/>
      <c r="BP29" s="336">
        <f t="shared" si="21"/>
        <v>0</v>
      </c>
      <c r="BQ29" s="337">
        <f t="shared" si="22"/>
        <v>8</v>
      </c>
      <c r="BR29" s="337">
        <f t="shared" si="22"/>
        <v>0</v>
      </c>
      <c r="BS29" s="338">
        <f t="shared" si="23"/>
        <v>0</v>
      </c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</row>
    <row r="30" spans="1:206" ht="15.75" x14ac:dyDescent="0.25">
      <c r="A30" s="334">
        <v>24</v>
      </c>
      <c r="B30" s="339" t="s">
        <v>157</v>
      </c>
      <c r="C30" s="71">
        <v>1</v>
      </c>
      <c r="D30" s="71"/>
      <c r="E30" s="336">
        <f t="shared" si="0"/>
        <v>0</v>
      </c>
      <c r="F30" s="72"/>
      <c r="G30" s="72"/>
      <c r="H30" s="336" t="e">
        <f t="shared" si="1"/>
        <v>#DIV/0!</v>
      </c>
      <c r="I30" s="71">
        <v>0</v>
      </c>
      <c r="J30" s="71"/>
      <c r="K30" s="336" t="e">
        <f t="shared" si="2"/>
        <v>#DIV/0!</v>
      </c>
      <c r="L30" s="72"/>
      <c r="M30" s="72"/>
      <c r="N30" s="336" t="e">
        <f t="shared" si="3"/>
        <v>#DIV/0!</v>
      </c>
      <c r="O30" s="71">
        <v>1</v>
      </c>
      <c r="P30" s="71"/>
      <c r="Q30" s="336">
        <f t="shared" si="4"/>
        <v>0</v>
      </c>
      <c r="R30" s="72"/>
      <c r="S30" s="72"/>
      <c r="T30" s="336" t="e">
        <f t="shared" si="5"/>
        <v>#DIV/0!</v>
      </c>
      <c r="U30" s="72"/>
      <c r="V30" s="72"/>
      <c r="W30" s="336" t="e">
        <f t="shared" si="6"/>
        <v>#DIV/0!</v>
      </c>
      <c r="X30" s="72"/>
      <c r="Y30" s="72"/>
      <c r="Z30" s="336" t="e">
        <f t="shared" si="7"/>
        <v>#DIV/0!</v>
      </c>
      <c r="AA30" s="72"/>
      <c r="AB30" s="72"/>
      <c r="AC30" s="336" t="e">
        <f t="shared" si="8"/>
        <v>#DIV/0!</v>
      </c>
      <c r="AD30" s="72"/>
      <c r="AE30" s="72"/>
      <c r="AF30" s="336" t="e">
        <f t="shared" si="9"/>
        <v>#DIV/0!</v>
      </c>
      <c r="AG30" s="72">
        <v>1</v>
      </c>
      <c r="AH30" s="72"/>
      <c r="AI30" s="336">
        <f t="shared" si="10"/>
        <v>0</v>
      </c>
      <c r="AJ30" s="72"/>
      <c r="AK30" s="72"/>
      <c r="AL30" s="336" t="e">
        <f t="shared" si="11"/>
        <v>#DIV/0!</v>
      </c>
      <c r="AM30" s="72">
        <v>1</v>
      </c>
      <c r="AN30" s="72"/>
      <c r="AO30" s="336">
        <f t="shared" si="12"/>
        <v>0</v>
      </c>
      <c r="AP30" s="72"/>
      <c r="AQ30" s="72"/>
      <c r="AR30" s="336" t="e">
        <f t="shared" si="13"/>
        <v>#DIV/0!</v>
      </c>
      <c r="AS30" s="72"/>
      <c r="AT30" s="72"/>
      <c r="AU30" s="336" t="e">
        <f t="shared" si="14"/>
        <v>#DIV/0!</v>
      </c>
      <c r="AV30" s="72">
        <v>1</v>
      </c>
      <c r="AW30" s="72"/>
      <c r="AX30" s="336">
        <f t="shared" si="15"/>
        <v>0</v>
      </c>
      <c r="AY30" s="72"/>
      <c r="AZ30" s="72"/>
      <c r="BA30" s="336" t="e">
        <f t="shared" si="16"/>
        <v>#DIV/0!</v>
      </c>
      <c r="BB30" s="72">
        <v>1</v>
      </c>
      <c r="BC30" s="72"/>
      <c r="BD30" s="336">
        <f t="shared" si="17"/>
        <v>0</v>
      </c>
      <c r="BE30" s="72"/>
      <c r="BF30" s="72"/>
      <c r="BG30" s="336" t="e">
        <f t="shared" si="18"/>
        <v>#DIV/0!</v>
      </c>
      <c r="BH30" s="72"/>
      <c r="BI30" s="72"/>
      <c r="BJ30" s="336" t="e">
        <f t="shared" si="19"/>
        <v>#DIV/0!</v>
      </c>
      <c r="BK30" s="72"/>
      <c r="BL30" s="72"/>
      <c r="BM30" s="336" t="e">
        <f t="shared" si="20"/>
        <v>#DIV/0!</v>
      </c>
      <c r="BN30" s="72">
        <v>1</v>
      </c>
      <c r="BO30" s="72"/>
      <c r="BP30" s="336">
        <f t="shared" si="21"/>
        <v>0</v>
      </c>
      <c r="BQ30" s="337">
        <f t="shared" si="22"/>
        <v>7</v>
      </c>
      <c r="BR30" s="337">
        <f t="shared" si="22"/>
        <v>0</v>
      </c>
      <c r="BS30" s="338">
        <f t="shared" si="23"/>
        <v>0</v>
      </c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</row>
    <row r="31" spans="1:206" ht="14.25" customHeight="1" x14ac:dyDescent="0.25">
      <c r="A31" s="334">
        <v>25</v>
      </c>
      <c r="B31" s="339" t="s">
        <v>159</v>
      </c>
      <c r="C31" s="71">
        <v>1</v>
      </c>
      <c r="D31" s="71"/>
      <c r="E31" s="336">
        <f t="shared" ref="E31:E44" si="24">D31/C31</f>
        <v>0</v>
      </c>
      <c r="F31" s="72"/>
      <c r="G31" s="72"/>
      <c r="H31" s="336" t="e">
        <f t="shared" ref="H31:H44" si="25">G31/F31</f>
        <v>#DIV/0!</v>
      </c>
      <c r="I31" s="71">
        <v>1</v>
      </c>
      <c r="J31" s="71"/>
      <c r="K31" s="336">
        <f t="shared" ref="K31:K44" si="26">J31/I31</f>
        <v>0</v>
      </c>
      <c r="L31" s="72"/>
      <c r="M31" s="72"/>
      <c r="N31" s="336" t="e">
        <f t="shared" ref="N31:N44" si="27">M31/L31</f>
        <v>#DIV/0!</v>
      </c>
      <c r="O31" s="71">
        <v>1</v>
      </c>
      <c r="P31" s="71"/>
      <c r="Q31" s="336">
        <f t="shared" ref="Q31:Q44" si="28">P31/O31</f>
        <v>0</v>
      </c>
      <c r="R31" s="72"/>
      <c r="S31" s="72"/>
      <c r="T31" s="336" t="e">
        <f t="shared" ref="T31:T44" si="29">S31/R31</f>
        <v>#DIV/0!</v>
      </c>
      <c r="U31" s="72">
        <v>1</v>
      </c>
      <c r="V31" s="72"/>
      <c r="W31" s="336">
        <f t="shared" ref="W31:W44" si="30">V31/U31</f>
        <v>0</v>
      </c>
      <c r="X31" s="72"/>
      <c r="Y31" s="72"/>
      <c r="Z31" s="336" t="e">
        <f t="shared" ref="Z31:Z44" si="31">Y31/X31</f>
        <v>#DIV/0!</v>
      </c>
      <c r="AA31" s="72">
        <v>1</v>
      </c>
      <c r="AB31" s="72"/>
      <c r="AC31" s="336">
        <f t="shared" ref="AC31:AC44" si="32">AB31/AA31</f>
        <v>0</v>
      </c>
      <c r="AD31" s="72"/>
      <c r="AE31" s="72"/>
      <c r="AF31" s="336" t="e">
        <f t="shared" ref="AF31:AF44" si="33">AE31/AD31</f>
        <v>#DIV/0!</v>
      </c>
      <c r="AG31" s="72">
        <v>1</v>
      </c>
      <c r="AH31" s="72"/>
      <c r="AI31" s="336">
        <f t="shared" ref="AI31:AI44" si="34">AH31/AG31</f>
        <v>0</v>
      </c>
      <c r="AJ31" s="72"/>
      <c r="AK31" s="72"/>
      <c r="AL31" s="336" t="e">
        <f t="shared" ref="AL31:AL44" si="35">AK31/AJ31</f>
        <v>#DIV/0!</v>
      </c>
      <c r="AM31" s="72">
        <v>1</v>
      </c>
      <c r="AN31" s="72"/>
      <c r="AO31" s="336">
        <f t="shared" ref="AO31:AO44" si="36">AN31/AM31</f>
        <v>0</v>
      </c>
      <c r="AP31" s="72"/>
      <c r="AQ31" s="72"/>
      <c r="AR31" s="336" t="e">
        <f t="shared" ref="AR31:AR44" si="37">AQ31/AP31</f>
        <v>#DIV/0!</v>
      </c>
      <c r="AS31" s="72"/>
      <c r="AT31" s="72"/>
      <c r="AU31" s="336" t="e">
        <f t="shared" ref="AU31:AU44" si="38">AT31/AS31</f>
        <v>#DIV/0!</v>
      </c>
      <c r="AV31" s="72">
        <v>1</v>
      </c>
      <c r="AW31" s="72"/>
      <c r="AX31" s="336">
        <f t="shared" ref="AX31:AX44" si="39">AW31/AV31</f>
        <v>0</v>
      </c>
      <c r="AY31" s="72"/>
      <c r="AZ31" s="72"/>
      <c r="BA31" s="336" t="e">
        <f t="shared" ref="BA31:BA44" si="40">AZ31/AY31</f>
        <v>#DIV/0!</v>
      </c>
      <c r="BB31" s="72">
        <v>1</v>
      </c>
      <c r="BC31" s="72"/>
      <c r="BD31" s="336">
        <f t="shared" ref="BD31:BD44" si="41">BC31/BB31</f>
        <v>0</v>
      </c>
      <c r="BE31" s="72"/>
      <c r="BF31" s="72"/>
      <c r="BG31" s="336" t="e">
        <f t="shared" ref="BG31:BG44" si="42">BF31/BE31</f>
        <v>#DIV/0!</v>
      </c>
      <c r="BH31" s="72"/>
      <c r="BI31" s="72"/>
      <c r="BJ31" s="336" t="e">
        <f t="shared" ref="BJ31:BJ44" si="43">BI31/BH31</f>
        <v>#DIV/0!</v>
      </c>
      <c r="BK31" s="72"/>
      <c r="BL31" s="72"/>
      <c r="BM31" s="336" t="e">
        <f t="shared" ref="BM31:BM44" si="44">BL31/BK31</f>
        <v>#DIV/0!</v>
      </c>
      <c r="BN31" s="72">
        <v>1</v>
      </c>
      <c r="BO31" s="72"/>
      <c r="BP31" s="336">
        <f t="shared" ref="BP31:BP44" si="45">BO31/BN31</f>
        <v>0</v>
      </c>
      <c r="BQ31" s="337">
        <f t="shared" ref="BQ31:BQ44" si="46">BN31+BK31+BH31+BE31+BB31+AY31+AV31+AS31+AP31+AM31+AJ31+AG31+AD31+AA31+X31+U31+R31+O31+L31+I31+F31+C31</f>
        <v>10</v>
      </c>
      <c r="BR31" s="337">
        <f t="shared" ref="BR31:BR44" si="47">BO31+BL31+BI31+BF31+BC31+AZ31+AW31+AT31+AQ31+AN31+AK31+AH31+AE31+AB31+Y31+V31+S31+P31+M31+J31+G31+D31</f>
        <v>0</v>
      </c>
      <c r="BS31" s="338">
        <f t="shared" ref="BS31:BS44" si="48">BR31/BQ31</f>
        <v>0</v>
      </c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</row>
    <row r="32" spans="1:206" ht="15.75" x14ac:dyDescent="0.25">
      <c r="A32" s="334">
        <v>26</v>
      </c>
      <c r="B32" s="339" t="s">
        <v>160</v>
      </c>
      <c r="C32" s="71">
        <v>1</v>
      </c>
      <c r="D32" s="71"/>
      <c r="E32" s="336">
        <f t="shared" si="24"/>
        <v>0</v>
      </c>
      <c r="F32" s="72"/>
      <c r="G32" s="72"/>
      <c r="H32" s="336" t="e">
        <f t="shared" si="25"/>
        <v>#DIV/0!</v>
      </c>
      <c r="I32" s="71">
        <v>1</v>
      </c>
      <c r="J32" s="71"/>
      <c r="K32" s="336">
        <f t="shared" si="26"/>
        <v>0</v>
      </c>
      <c r="L32" s="72"/>
      <c r="M32" s="72"/>
      <c r="N32" s="336" t="e">
        <f t="shared" si="27"/>
        <v>#DIV/0!</v>
      </c>
      <c r="O32" s="71">
        <v>1</v>
      </c>
      <c r="P32" s="71"/>
      <c r="Q32" s="336">
        <f t="shared" si="28"/>
        <v>0</v>
      </c>
      <c r="R32" s="72"/>
      <c r="S32" s="72"/>
      <c r="T32" s="336" t="e">
        <f t="shared" si="29"/>
        <v>#DIV/0!</v>
      </c>
      <c r="U32" s="72">
        <v>1</v>
      </c>
      <c r="V32" s="72"/>
      <c r="W32" s="336">
        <f t="shared" si="30"/>
        <v>0</v>
      </c>
      <c r="X32" s="72"/>
      <c r="Y32" s="72"/>
      <c r="Z32" s="336" t="e">
        <f t="shared" si="31"/>
        <v>#DIV/0!</v>
      </c>
      <c r="AA32" s="72"/>
      <c r="AB32" s="72"/>
      <c r="AC32" s="336" t="e">
        <f t="shared" si="32"/>
        <v>#DIV/0!</v>
      </c>
      <c r="AD32" s="72"/>
      <c r="AE32" s="72"/>
      <c r="AF32" s="336" t="e">
        <f t="shared" si="33"/>
        <v>#DIV/0!</v>
      </c>
      <c r="AG32" s="72"/>
      <c r="AH32" s="72"/>
      <c r="AI32" s="336" t="e">
        <f t="shared" si="34"/>
        <v>#DIV/0!</v>
      </c>
      <c r="AJ32" s="72"/>
      <c r="AK32" s="72"/>
      <c r="AL32" s="336" t="e">
        <f t="shared" si="35"/>
        <v>#DIV/0!</v>
      </c>
      <c r="AM32" s="72">
        <v>1</v>
      </c>
      <c r="AN32" s="72"/>
      <c r="AO32" s="336">
        <f t="shared" si="36"/>
        <v>0</v>
      </c>
      <c r="AP32" s="72"/>
      <c r="AQ32" s="72"/>
      <c r="AR32" s="336" t="e">
        <f t="shared" si="37"/>
        <v>#DIV/0!</v>
      </c>
      <c r="AS32" s="72"/>
      <c r="AT32" s="72"/>
      <c r="AU32" s="336" t="e">
        <f t="shared" si="38"/>
        <v>#DIV/0!</v>
      </c>
      <c r="AV32" s="72">
        <v>1</v>
      </c>
      <c r="AW32" s="72"/>
      <c r="AX32" s="336">
        <f t="shared" si="39"/>
        <v>0</v>
      </c>
      <c r="AY32" s="72"/>
      <c r="AZ32" s="72"/>
      <c r="BA32" s="336" t="e">
        <f t="shared" si="40"/>
        <v>#DIV/0!</v>
      </c>
      <c r="BB32" s="72">
        <v>1</v>
      </c>
      <c r="BC32" s="72"/>
      <c r="BD32" s="336">
        <f t="shared" si="41"/>
        <v>0</v>
      </c>
      <c r="BE32" s="72"/>
      <c r="BF32" s="72"/>
      <c r="BG32" s="336" t="e">
        <f t="shared" si="42"/>
        <v>#DIV/0!</v>
      </c>
      <c r="BH32" s="72"/>
      <c r="BI32" s="72"/>
      <c r="BJ32" s="336" t="e">
        <f t="shared" si="43"/>
        <v>#DIV/0!</v>
      </c>
      <c r="BK32" s="72"/>
      <c r="BL32" s="72"/>
      <c r="BM32" s="336" t="e">
        <f t="shared" si="44"/>
        <v>#DIV/0!</v>
      </c>
      <c r="BN32" s="72">
        <v>1</v>
      </c>
      <c r="BO32" s="72"/>
      <c r="BP32" s="336">
        <f t="shared" si="45"/>
        <v>0</v>
      </c>
      <c r="BQ32" s="337">
        <f t="shared" si="46"/>
        <v>8</v>
      </c>
      <c r="BR32" s="337">
        <f t="shared" si="47"/>
        <v>0</v>
      </c>
      <c r="BS32" s="338">
        <f t="shared" si="48"/>
        <v>0</v>
      </c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</row>
    <row r="33" spans="1:206" ht="15.75" x14ac:dyDescent="0.25">
      <c r="A33" s="334">
        <v>27</v>
      </c>
      <c r="B33" s="339" t="s">
        <v>158</v>
      </c>
      <c r="C33" s="71">
        <v>1</v>
      </c>
      <c r="D33" s="71"/>
      <c r="E33" s="336">
        <f t="shared" si="24"/>
        <v>0</v>
      </c>
      <c r="F33" s="72"/>
      <c r="G33" s="72"/>
      <c r="H33" s="336" t="e">
        <f t="shared" si="25"/>
        <v>#DIV/0!</v>
      </c>
      <c r="I33" s="71">
        <v>0</v>
      </c>
      <c r="J33" s="71"/>
      <c r="K33" s="336" t="e">
        <f t="shared" si="26"/>
        <v>#DIV/0!</v>
      </c>
      <c r="L33" s="72"/>
      <c r="M33" s="72"/>
      <c r="N33" s="336" t="e">
        <f t="shared" si="27"/>
        <v>#DIV/0!</v>
      </c>
      <c r="O33" s="71"/>
      <c r="P33" s="71"/>
      <c r="Q33" s="336" t="e">
        <f t="shared" si="28"/>
        <v>#DIV/0!</v>
      </c>
      <c r="R33" s="72"/>
      <c r="S33" s="72"/>
      <c r="T33" s="336" t="e">
        <f t="shared" si="29"/>
        <v>#DIV/0!</v>
      </c>
      <c r="U33" s="72"/>
      <c r="V33" s="72"/>
      <c r="W33" s="336" t="e">
        <f t="shared" si="30"/>
        <v>#DIV/0!</v>
      </c>
      <c r="X33" s="72"/>
      <c r="Y33" s="72"/>
      <c r="Z33" s="336" t="e">
        <f t="shared" si="31"/>
        <v>#DIV/0!</v>
      </c>
      <c r="AA33" s="72"/>
      <c r="AB33" s="72"/>
      <c r="AC33" s="336" t="e">
        <f t="shared" si="32"/>
        <v>#DIV/0!</v>
      </c>
      <c r="AD33" s="72"/>
      <c r="AE33" s="72"/>
      <c r="AF33" s="336" t="e">
        <f t="shared" si="33"/>
        <v>#DIV/0!</v>
      </c>
      <c r="AG33" s="72">
        <v>1</v>
      </c>
      <c r="AH33" s="72"/>
      <c r="AI33" s="336">
        <f t="shared" si="34"/>
        <v>0</v>
      </c>
      <c r="AJ33" s="72"/>
      <c r="AK33" s="72"/>
      <c r="AL33" s="336" t="e">
        <f t="shared" si="35"/>
        <v>#DIV/0!</v>
      </c>
      <c r="AM33" s="72">
        <v>1</v>
      </c>
      <c r="AN33" s="72"/>
      <c r="AO33" s="336">
        <f t="shared" si="36"/>
        <v>0</v>
      </c>
      <c r="AP33" s="72"/>
      <c r="AQ33" s="72"/>
      <c r="AR33" s="336" t="e">
        <f t="shared" si="37"/>
        <v>#DIV/0!</v>
      </c>
      <c r="AS33" s="72"/>
      <c r="AT33" s="72"/>
      <c r="AU33" s="336" t="e">
        <f t="shared" si="38"/>
        <v>#DIV/0!</v>
      </c>
      <c r="AV33" s="72">
        <v>1</v>
      </c>
      <c r="AW33" s="72"/>
      <c r="AX33" s="336">
        <f t="shared" si="39"/>
        <v>0</v>
      </c>
      <c r="AY33" s="72"/>
      <c r="AZ33" s="72"/>
      <c r="BA33" s="336" t="e">
        <f t="shared" si="40"/>
        <v>#DIV/0!</v>
      </c>
      <c r="BB33" s="72">
        <v>1</v>
      </c>
      <c r="BC33" s="72"/>
      <c r="BD33" s="336">
        <f t="shared" si="41"/>
        <v>0</v>
      </c>
      <c r="BE33" s="72"/>
      <c r="BF33" s="72"/>
      <c r="BG33" s="336" t="e">
        <f t="shared" si="42"/>
        <v>#DIV/0!</v>
      </c>
      <c r="BH33" s="72"/>
      <c r="BI33" s="72"/>
      <c r="BJ33" s="336" t="e">
        <f t="shared" si="43"/>
        <v>#DIV/0!</v>
      </c>
      <c r="BK33" s="72"/>
      <c r="BL33" s="72"/>
      <c r="BM33" s="336" t="e">
        <f t="shared" si="44"/>
        <v>#DIV/0!</v>
      </c>
      <c r="BN33" s="72">
        <v>1</v>
      </c>
      <c r="BO33" s="72"/>
      <c r="BP33" s="336">
        <f t="shared" si="45"/>
        <v>0</v>
      </c>
      <c r="BQ33" s="337">
        <f t="shared" si="46"/>
        <v>6</v>
      </c>
      <c r="BR33" s="337">
        <f t="shared" si="47"/>
        <v>0</v>
      </c>
      <c r="BS33" s="338">
        <f t="shared" si="48"/>
        <v>0</v>
      </c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</row>
    <row r="34" spans="1:206" ht="15.75" x14ac:dyDescent="0.25">
      <c r="A34" s="334">
        <v>28</v>
      </c>
      <c r="B34" s="339" t="s">
        <v>161</v>
      </c>
      <c r="C34" s="71">
        <v>0</v>
      </c>
      <c r="D34" s="71"/>
      <c r="E34" s="336" t="e">
        <f t="shared" si="24"/>
        <v>#DIV/0!</v>
      </c>
      <c r="F34" s="72"/>
      <c r="G34" s="72"/>
      <c r="H34" s="336" t="e">
        <f t="shared" si="25"/>
        <v>#DIV/0!</v>
      </c>
      <c r="I34" s="71">
        <v>0</v>
      </c>
      <c r="J34" s="71"/>
      <c r="K34" s="336" t="e">
        <f t="shared" si="26"/>
        <v>#DIV/0!</v>
      </c>
      <c r="L34" s="72"/>
      <c r="M34" s="72"/>
      <c r="N34" s="336" t="e">
        <f t="shared" si="27"/>
        <v>#DIV/0!</v>
      </c>
      <c r="O34" s="71">
        <v>1</v>
      </c>
      <c r="P34" s="71">
        <v>1</v>
      </c>
      <c r="Q34" s="336">
        <f t="shared" si="28"/>
        <v>1</v>
      </c>
      <c r="R34" s="72">
        <v>1</v>
      </c>
      <c r="S34" s="72">
        <v>1</v>
      </c>
      <c r="T34" s="336">
        <f t="shared" si="29"/>
        <v>1</v>
      </c>
      <c r="U34" s="72"/>
      <c r="V34" s="72"/>
      <c r="W34" s="336" t="e">
        <f t="shared" si="30"/>
        <v>#DIV/0!</v>
      </c>
      <c r="X34" s="72"/>
      <c r="Y34" s="72"/>
      <c r="Z34" s="336" t="e">
        <f t="shared" si="31"/>
        <v>#DIV/0!</v>
      </c>
      <c r="AA34" s="72"/>
      <c r="AB34" s="72"/>
      <c r="AC34" s="336" t="e">
        <f t="shared" si="32"/>
        <v>#DIV/0!</v>
      </c>
      <c r="AD34" s="72"/>
      <c r="AE34" s="72"/>
      <c r="AF34" s="336" t="e">
        <f t="shared" si="33"/>
        <v>#DIV/0!</v>
      </c>
      <c r="AG34" s="72">
        <v>1</v>
      </c>
      <c r="AH34" s="72"/>
      <c r="AI34" s="336">
        <f t="shared" si="34"/>
        <v>0</v>
      </c>
      <c r="AJ34" s="72"/>
      <c r="AK34" s="72"/>
      <c r="AL34" s="336" t="e">
        <f t="shared" si="35"/>
        <v>#DIV/0!</v>
      </c>
      <c r="AM34" s="72">
        <v>1</v>
      </c>
      <c r="AN34" s="72"/>
      <c r="AO34" s="336">
        <f t="shared" si="36"/>
        <v>0</v>
      </c>
      <c r="AP34" s="72"/>
      <c r="AQ34" s="72"/>
      <c r="AR34" s="336" t="e">
        <f t="shared" si="37"/>
        <v>#DIV/0!</v>
      </c>
      <c r="AS34" s="72"/>
      <c r="AT34" s="72"/>
      <c r="AU34" s="336" t="e">
        <f t="shared" si="38"/>
        <v>#DIV/0!</v>
      </c>
      <c r="AV34" s="72">
        <v>1</v>
      </c>
      <c r="AW34" s="72"/>
      <c r="AX34" s="336">
        <f t="shared" si="39"/>
        <v>0</v>
      </c>
      <c r="AY34" s="72"/>
      <c r="AZ34" s="72"/>
      <c r="BA34" s="336" t="e">
        <f t="shared" si="40"/>
        <v>#DIV/0!</v>
      </c>
      <c r="BB34" s="72">
        <v>1</v>
      </c>
      <c r="BC34" s="72"/>
      <c r="BD34" s="336">
        <f t="shared" si="41"/>
        <v>0</v>
      </c>
      <c r="BE34" s="72"/>
      <c r="BF34" s="72"/>
      <c r="BG34" s="336" t="e">
        <f t="shared" si="42"/>
        <v>#DIV/0!</v>
      </c>
      <c r="BH34" s="72"/>
      <c r="BI34" s="72"/>
      <c r="BJ34" s="336" t="e">
        <f t="shared" si="43"/>
        <v>#DIV/0!</v>
      </c>
      <c r="BK34" s="72"/>
      <c r="BL34" s="72"/>
      <c r="BM34" s="336" t="e">
        <f t="shared" si="44"/>
        <v>#DIV/0!</v>
      </c>
      <c r="BN34" s="72">
        <v>1</v>
      </c>
      <c r="BO34" s="72"/>
      <c r="BP34" s="336">
        <f t="shared" si="45"/>
        <v>0</v>
      </c>
      <c r="BQ34" s="337">
        <f t="shared" si="46"/>
        <v>7</v>
      </c>
      <c r="BR34" s="337">
        <f t="shared" si="47"/>
        <v>2</v>
      </c>
      <c r="BS34" s="338">
        <f t="shared" si="48"/>
        <v>0.2857142857142857</v>
      </c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</row>
    <row r="35" spans="1:206" ht="31.5" x14ac:dyDescent="0.25">
      <c r="A35" s="334">
        <v>29</v>
      </c>
      <c r="B35" s="339" t="s">
        <v>318</v>
      </c>
      <c r="C35" s="71">
        <v>1</v>
      </c>
      <c r="D35" s="71"/>
      <c r="E35" s="336">
        <f t="shared" si="24"/>
        <v>0</v>
      </c>
      <c r="F35" s="72"/>
      <c r="G35" s="72"/>
      <c r="H35" s="336" t="e">
        <f t="shared" si="25"/>
        <v>#DIV/0!</v>
      </c>
      <c r="I35" s="71">
        <v>0</v>
      </c>
      <c r="J35" s="71"/>
      <c r="K35" s="336" t="e">
        <f t="shared" si="26"/>
        <v>#DIV/0!</v>
      </c>
      <c r="L35" s="72"/>
      <c r="M35" s="72"/>
      <c r="N35" s="336" t="e">
        <f t="shared" si="27"/>
        <v>#DIV/0!</v>
      </c>
      <c r="O35" s="71"/>
      <c r="P35" s="71"/>
      <c r="Q35" s="336" t="e">
        <f t="shared" si="28"/>
        <v>#DIV/0!</v>
      </c>
      <c r="R35" s="72"/>
      <c r="S35" s="72"/>
      <c r="T35" s="336" t="e">
        <f t="shared" si="29"/>
        <v>#DIV/0!</v>
      </c>
      <c r="U35" s="72"/>
      <c r="V35" s="72"/>
      <c r="W35" s="336" t="e">
        <f t="shared" si="30"/>
        <v>#DIV/0!</v>
      </c>
      <c r="X35" s="72"/>
      <c r="Y35" s="72"/>
      <c r="Z35" s="336" t="e">
        <f t="shared" si="31"/>
        <v>#DIV/0!</v>
      </c>
      <c r="AA35" s="72"/>
      <c r="AB35" s="72"/>
      <c r="AC35" s="336" t="e">
        <f t="shared" si="32"/>
        <v>#DIV/0!</v>
      </c>
      <c r="AD35" s="72"/>
      <c r="AE35" s="72"/>
      <c r="AF35" s="336" t="e">
        <f t="shared" si="33"/>
        <v>#DIV/0!</v>
      </c>
      <c r="AG35" s="72">
        <v>1</v>
      </c>
      <c r="AH35" s="72"/>
      <c r="AI35" s="336">
        <f t="shared" si="34"/>
        <v>0</v>
      </c>
      <c r="AJ35" s="72"/>
      <c r="AK35" s="72"/>
      <c r="AL35" s="336" t="e">
        <f t="shared" si="35"/>
        <v>#DIV/0!</v>
      </c>
      <c r="AM35" s="72">
        <v>1</v>
      </c>
      <c r="AN35" s="72"/>
      <c r="AO35" s="336">
        <f t="shared" si="36"/>
        <v>0</v>
      </c>
      <c r="AP35" s="72"/>
      <c r="AQ35" s="72"/>
      <c r="AR35" s="336" t="e">
        <f t="shared" si="37"/>
        <v>#DIV/0!</v>
      </c>
      <c r="AS35" s="72"/>
      <c r="AT35" s="72"/>
      <c r="AU35" s="336" t="e">
        <f t="shared" si="38"/>
        <v>#DIV/0!</v>
      </c>
      <c r="AV35" s="72">
        <v>1</v>
      </c>
      <c r="AW35" s="72"/>
      <c r="AX35" s="336">
        <f t="shared" si="39"/>
        <v>0</v>
      </c>
      <c r="AY35" s="72"/>
      <c r="AZ35" s="72"/>
      <c r="BA35" s="336" t="e">
        <f t="shared" si="40"/>
        <v>#DIV/0!</v>
      </c>
      <c r="BB35" s="72">
        <v>1</v>
      </c>
      <c r="BC35" s="72"/>
      <c r="BD35" s="336">
        <f t="shared" si="41"/>
        <v>0</v>
      </c>
      <c r="BE35" s="72"/>
      <c r="BF35" s="72"/>
      <c r="BG35" s="336" t="e">
        <f t="shared" si="42"/>
        <v>#DIV/0!</v>
      </c>
      <c r="BH35" s="72"/>
      <c r="BI35" s="72"/>
      <c r="BJ35" s="336" t="e">
        <f t="shared" si="43"/>
        <v>#DIV/0!</v>
      </c>
      <c r="BK35" s="72"/>
      <c r="BL35" s="72"/>
      <c r="BM35" s="336" t="e">
        <f t="shared" si="44"/>
        <v>#DIV/0!</v>
      </c>
      <c r="BN35" s="72">
        <v>1</v>
      </c>
      <c r="BO35" s="72"/>
      <c r="BP35" s="336">
        <f t="shared" si="45"/>
        <v>0</v>
      </c>
      <c r="BQ35" s="337">
        <f t="shared" si="46"/>
        <v>6</v>
      </c>
      <c r="BR35" s="337">
        <f t="shared" si="47"/>
        <v>0</v>
      </c>
      <c r="BS35" s="338">
        <f t="shared" si="48"/>
        <v>0</v>
      </c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</row>
    <row r="36" spans="1:206" ht="15.75" x14ac:dyDescent="0.25">
      <c r="A36" s="334">
        <v>30</v>
      </c>
      <c r="B36" s="339" t="s">
        <v>319</v>
      </c>
      <c r="C36" s="71">
        <v>1</v>
      </c>
      <c r="D36" s="71"/>
      <c r="E36" s="336">
        <f t="shared" si="24"/>
        <v>0</v>
      </c>
      <c r="F36" s="72"/>
      <c r="G36" s="72"/>
      <c r="H36" s="336" t="e">
        <f t="shared" si="25"/>
        <v>#DIV/0!</v>
      </c>
      <c r="I36" s="71">
        <v>1</v>
      </c>
      <c r="J36" s="71"/>
      <c r="K36" s="336">
        <f t="shared" si="26"/>
        <v>0</v>
      </c>
      <c r="L36" s="72"/>
      <c r="M36" s="72"/>
      <c r="N36" s="336" t="e">
        <f t="shared" si="27"/>
        <v>#DIV/0!</v>
      </c>
      <c r="O36" s="71"/>
      <c r="P36" s="71"/>
      <c r="Q36" s="336" t="e">
        <f t="shared" si="28"/>
        <v>#DIV/0!</v>
      </c>
      <c r="R36" s="72"/>
      <c r="S36" s="72"/>
      <c r="T36" s="336" t="e">
        <f t="shared" si="29"/>
        <v>#DIV/0!</v>
      </c>
      <c r="U36" s="72"/>
      <c r="V36" s="72"/>
      <c r="W36" s="336" t="e">
        <f t="shared" si="30"/>
        <v>#DIV/0!</v>
      </c>
      <c r="X36" s="72"/>
      <c r="Y36" s="72"/>
      <c r="Z36" s="336" t="e">
        <f t="shared" si="31"/>
        <v>#DIV/0!</v>
      </c>
      <c r="AA36" s="72"/>
      <c r="AB36" s="72"/>
      <c r="AC36" s="336" t="e">
        <f t="shared" si="32"/>
        <v>#DIV/0!</v>
      </c>
      <c r="AD36" s="72"/>
      <c r="AE36" s="72"/>
      <c r="AF36" s="336" t="e">
        <f t="shared" si="33"/>
        <v>#DIV/0!</v>
      </c>
      <c r="AG36" s="72">
        <v>1</v>
      </c>
      <c r="AH36" s="72"/>
      <c r="AI36" s="336">
        <f t="shared" si="34"/>
        <v>0</v>
      </c>
      <c r="AJ36" s="72"/>
      <c r="AK36" s="72"/>
      <c r="AL36" s="336" t="e">
        <f t="shared" si="35"/>
        <v>#DIV/0!</v>
      </c>
      <c r="AM36" s="72">
        <v>1</v>
      </c>
      <c r="AN36" s="72"/>
      <c r="AO36" s="336">
        <f t="shared" si="36"/>
        <v>0</v>
      </c>
      <c r="AP36" s="72"/>
      <c r="AQ36" s="72"/>
      <c r="AR36" s="336" t="e">
        <f t="shared" si="37"/>
        <v>#DIV/0!</v>
      </c>
      <c r="AS36" s="72"/>
      <c r="AT36" s="72"/>
      <c r="AU36" s="336" t="e">
        <f t="shared" si="38"/>
        <v>#DIV/0!</v>
      </c>
      <c r="AV36" s="72">
        <v>1</v>
      </c>
      <c r="AW36" s="72"/>
      <c r="AX36" s="336">
        <f t="shared" si="39"/>
        <v>0</v>
      </c>
      <c r="AY36" s="72"/>
      <c r="AZ36" s="72"/>
      <c r="BA36" s="336" t="e">
        <f t="shared" si="40"/>
        <v>#DIV/0!</v>
      </c>
      <c r="BB36" s="72">
        <v>1</v>
      </c>
      <c r="BC36" s="72"/>
      <c r="BD36" s="336">
        <f t="shared" si="41"/>
        <v>0</v>
      </c>
      <c r="BE36" s="72"/>
      <c r="BF36" s="72"/>
      <c r="BG36" s="336" t="e">
        <f t="shared" si="42"/>
        <v>#DIV/0!</v>
      </c>
      <c r="BH36" s="72"/>
      <c r="BI36" s="72"/>
      <c r="BJ36" s="336" t="e">
        <f t="shared" si="43"/>
        <v>#DIV/0!</v>
      </c>
      <c r="BK36" s="72"/>
      <c r="BL36" s="72"/>
      <c r="BM36" s="336" t="e">
        <f t="shared" si="44"/>
        <v>#DIV/0!</v>
      </c>
      <c r="BN36" s="72">
        <v>1</v>
      </c>
      <c r="BO36" s="72"/>
      <c r="BP36" s="336">
        <f t="shared" si="45"/>
        <v>0</v>
      </c>
      <c r="BQ36" s="337">
        <f t="shared" si="46"/>
        <v>7</v>
      </c>
      <c r="BR36" s="337">
        <f t="shared" si="47"/>
        <v>0</v>
      </c>
      <c r="BS36" s="338">
        <f t="shared" si="48"/>
        <v>0</v>
      </c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</row>
    <row r="37" spans="1:206" ht="15.75" x14ac:dyDescent="0.25">
      <c r="A37" s="334">
        <v>31</v>
      </c>
      <c r="B37" s="339" t="s">
        <v>164</v>
      </c>
      <c r="C37" s="71">
        <v>1</v>
      </c>
      <c r="D37" s="71"/>
      <c r="E37" s="336">
        <f t="shared" si="24"/>
        <v>0</v>
      </c>
      <c r="F37" s="72"/>
      <c r="G37" s="72"/>
      <c r="H37" s="336" t="e">
        <f t="shared" si="25"/>
        <v>#DIV/0!</v>
      </c>
      <c r="I37" s="71">
        <v>1</v>
      </c>
      <c r="J37" s="71"/>
      <c r="K37" s="336">
        <f t="shared" si="26"/>
        <v>0</v>
      </c>
      <c r="L37" s="72"/>
      <c r="M37" s="72"/>
      <c r="N37" s="336" t="e">
        <f t="shared" si="27"/>
        <v>#DIV/0!</v>
      </c>
      <c r="O37" s="71"/>
      <c r="P37" s="71"/>
      <c r="Q37" s="336" t="e">
        <f t="shared" si="28"/>
        <v>#DIV/0!</v>
      </c>
      <c r="R37" s="72"/>
      <c r="S37" s="72"/>
      <c r="T37" s="336" t="e">
        <f t="shared" si="29"/>
        <v>#DIV/0!</v>
      </c>
      <c r="U37" s="72"/>
      <c r="V37" s="72"/>
      <c r="W37" s="336" t="e">
        <f t="shared" si="30"/>
        <v>#DIV/0!</v>
      </c>
      <c r="X37" s="72"/>
      <c r="Y37" s="72"/>
      <c r="Z37" s="336" t="e">
        <f t="shared" si="31"/>
        <v>#DIV/0!</v>
      </c>
      <c r="AA37" s="72">
        <v>1</v>
      </c>
      <c r="AB37" s="72"/>
      <c r="AC37" s="336">
        <f t="shared" si="32"/>
        <v>0</v>
      </c>
      <c r="AD37" s="72"/>
      <c r="AE37" s="72"/>
      <c r="AF37" s="336" t="e">
        <f t="shared" si="33"/>
        <v>#DIV/0!</v>
      </c>
      <c r="AG37" s="72">
        <v>1</v>
      </c>
      <c r="AH37" s="72"/>
      <c r="AI37" s="336">
        <f t="shared" si="34"/>
        <v>0</v>
      </c>
      <c r="AJ37" s="72"/>
      <c r="AK37" s="72"/>
      <c r="AL37" s="336" t="e">
        <f t="shared" si="35"/>
        <v>#DIV/0!</v>
      </c>
      <c r="AM37" s="72">
        <v>1</v>
      </c>
      <c r="AN37" s="72"/>
      <c r="AO37" s="336">
        <f t="shared" si="36"/>
        <v>0</v>
      </c>
      <c r="AP37" s="72"/>
      <c r="AQ37" s="72"/>
      <c r="AR37" s="336" t="e">
        <f t="shared" si="37"/>
        <v>#DIV/0!</v>
      </c>
      <c r="AS37" s="72"/>
      <c r="AT37" s="72"/>
      <c r="AU37" s="336" t="e">
        <f t="shared" si="38"/>
        <v>#DIV/0!</v>
      </c>
      <c r="AV37" s="72">
        <v>1</v>
      </c>
      <c r="AW37" s="72"/>
      <c r="AX37" s="336">
        <f t="shared" si="39"/>
        <v>0</v>
      </c>
      <c r="AY37" s="72"/>
      <c r="AZ37" s="72"/>
      <c r="BA37" s="336" t="e">
        <f t="shared" si="40"/>
        <v>#DIV/0!</v>
      </c>
      <c r="BB37" s="72">
        <v>1</v>
      </c>
      <c r="BC37" s="72"/>
      <c r="BD37" s="336">
        <f t="shared" si="41"/>
        <v>0</v>
      </c>
      <c r="BE37" s="72"/>
      <c r="BF37" s="72"/>
      <c r="BG37" s="336" t="e">
        <f t="shared" si="42"/>
        <v>#DIV/0!</v>
      </c>
      <c r="BH37" s="72"/>
      <c r="BI37" s="72"/>
      <c r="BJ37" s="336" t="e">
        <f t="shared" si="43"/>
        <v>#DIV/0!</v>
      </c>
      <c r="BK37" s="72"/>
      <c r="BL37" s="72"/>
      <c r="BM37" s="336" t="e">
        <f t="shared" si="44"/>
        <v>#DIV/0!</v>
      </c>
      <c r="BN37" s="72">
        <v>1</v>
      </c>
      <c r="BO37" s="72"/>
      <c r="BP37" s="336">
        <f t="shared" si="45"/>
        <v>0</v>
      </c>
      <c r="BQ37" s="337">
        <f t="shared" si="46"/>
        <v>8</v>
      </c>
      <c r="BR37" s="337">
        <f t="shared" si="47"/>
        <v>0</v>
      </c>
      <c r="BS37" s="338">
        <f t="shared" si="48"/>
        <v>0</v>
      </c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</row>
    <row r="38" spans="1:206" ht="15.75" x14ac:dyDescent="0.25">
      <c r="A38" s="334">
        <v>32</v>
      </c>
      <c r="B38" s="339" t="s">
        <v>165</v>
      </c>
      <c r="C38" s="71">
        <v>1</v>
      </c>
      <c r="D38" s="71">
        <v>1</v>
      </c>
      <c r="E38" s="336">
        <f t="shared" si="24"/>
        <v>1</v>
      </c>
      <c r="F38" s="72"/>
      <c r="G38" s="72"/>
      <c r="H38" s="336" t="e">
        <f t="shared" si="25"/>
        <v>#DIV/0!</v>
      </c>
      <c r="I38" s="71">
        <v>1</v>
      </c>
      <c r="J38" s="71"/>
      <c r="K38" s="336">
        <f t="shared" si="26"/>
        <v>0</v>
      </c>
      <c r="L38" s="72"/>
      <c r="M38" s="72"/>
      <c r="N38" s="336" t="e">
        <f t="shared" si="27"/>
        <v>#DIV/0!</v>
      </c>
      <c r="O38" s="71"/>
      <c r="P38" s="71"/>
      <c r="Q38" s="336" t="e">
        <f t="shared" si="28"/>
        <v>#DIV/0!</v>
      </c>
      <c r="R38" s="72"/>
      <c r="S38" s="72"/>
      <c r="T38" s="336" t="e">
        <f t="shared" si="29"/>
        <v>#DIV/0!</v>
      </c>
      <c r="U38" s="72"/>
      <c r="V38" s="72"/>
      <c r="W38" s="336" t="e">
        <f t="shared" si="30"/>
        <v>#DIV/0!</v>
      </c>
      <c r="X38" s="72"/>
      <c r="Y38" s="72"/>
      <c r="Z38" s="336" t="e">
        <f t="shared" si="31"/>
        <v>#DIV/0!</v>
      </c>
      <c r="AA38" s="72"/>
      <c r="AB38" s="72"/>
      <c r="AC38" s="336" t="e">
        <f t="shared" si="32"/>
        <v>#DIV/0!</v>
      </c>
      <c r="AD38" s="72"/>
      <c r="AE38" s="72"/>
      <c r="AF38" s="336" t="e">
        <f t="shared" si="33"/>
        <v>#DIV/0!</v>
      </c>
      <c r="AG38" s="72">
        <v>1</v>
      </c>
      <c r="AH38" s="72"/>
      <c r="AI38" s="336">
        <f t="shared" si="34"/>
        <v>0</v>
      </c>
      <c r="AJ38" s="72"/>
      <c r="AK38" s="72"/>
      <c r="AL38" s="336" t="e">
        <f t="shared" si="35"/>
        <v>#DIV/0!</v>
      </c>
      <c r="AM38" s="72">
        <v>1</v>
      </c>
      <c r="AN38" s="72"/>
      <c r="AO38" s="336">
        <f t="shared" si="36"/>
        <v>0</v>
      </c>
      <c r="AP38" s="72"/>
      <c r="AQ38" s="72"/>
      <c r="AR38" s="336" t="e">
        <f t="shared" si="37"/>
        <v>#DIV/0!</v>
      </c>
      <c r="AS38" s="72"/>
      <c r="AT38" s="72"/>
      <c r="AU38" s="336" t="e">
        <f t="shared" si="38"/>
        <v>#DIV/0!</v>
      </c>
      <c r="AV38" s="72">
        <v>1</v>
      </c>
      <c r="AW38" s="72"/>
      <c r="AX38" s="336">
        <f t="shared" si="39"/>
        <v>0</v>
      </c>
      <c r="AY38" s="72"/>
      <c r="AZ38" s="72"/>
      <c r="BA38" s="336" t="e">
        <f t="shared" si="40"/>
        <v>#DIV/0!</v>
      </c>
      <c r="BB38" s="72">
        <v>1</v>
      </c>
      <c r="BC38" s="72"/>
      <c r="BD38" s="336">
        <f t="shared" si="41"/>
        <v>0</v>
      </c>
      <c r="BE38" s="72"/>
      <c r="BF38" s="72"/>
      <c r="BG38" s="336" t="e">
        <f t="shared" si="42"/>
        <v>#DIV/0!</v>
      </c>
      <c r="BH38" s="72"/>
      <c r="BI38" s="72"/>
      <c r="BJ38" s="336" t="e">
        <f t="shared" si="43"/>
        <v>#DIV/0!</v>
      </c>
      <c r="BK38" s="72"/>
      <c r="BL38" s="72"/>
      <c r="BM38" s="336" t="e">
        <f t="shared" si="44"/>
        <v>#DIV/0!</v>
      </c>
      <c r="BN38" s="72">
        <v>1</v>
      </c>
      <c r="BO38" s="72"/>
      <c r="BP38" s="336">
        <f t="shared" si="45"/>
        <v>0</v>
      </c>
      <c r="BQ38" s="337">
        <f t="shared" si="46"/>
        <v>7</v>
      </c>
      <c r="BR38" s="337">
        <f t="shared" si="47"/>
        <v>1</v>
      </c>
      <c r="BS38" s="338">
        <f t="shared" si="48"/>
        <v>0.14285714285714285</v>
      </c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</row>
    <row r="39" spans="1:206" ht="15.75" x14ac:dyDescent="0.25">
      <c r="A39" s="334">
        <v>33</v>
      </c>
      <c r="B39" s="339" t="s">
        <v>166</v>
      </c>
      <c r="C39" s="71">
        <v>1</v>
      </c>
      <c r="D39" s="71"/>
      <c r="E39" s="336">
        <f t="shared" si="24"/>
        <v>0</v>
      </c>
      <c r="F39" s="72"/>
      <c r="G39" s="72"/>
      <c r="H39" s="336" t="e">
        <f t="shared" si="25"/>
        <v>#DIV/0!</v>
      </c>
      <c r="I39" s="71">
        <v>1</v>
      </c>
      <c r="J39" s="71"/>
      <c r="K39" s="336">
        <f t="shared" si="26"/>
        <v>0</v>
      </c>
      <c r="L39" s="72"/>
      <c r="M39" s="72"/>
      <c r="N39" s="336" t="e">
        <f t="shared" si="27"/>
        <v>#DIV/0!</v>
      </c>
      <c r="O39" s="71">
        <v>1</v>
      </c>
      <c r="P39" s="71"/>
      <c r="Q39" s="336">
        <f t="shared" si="28"/>
        <v>0</v>
      </c>
      <c r="R39" s="72"/>
      <c r="S39" s="72"/>
      <c r="T39" s="336" t="e">
        <f t="shared" si="29"/>
        <v>#DIV/0!</v>
      </c>
      <c r="U39" s="72">
        <v>1</v>
      </c>
      <c r="V39" s="72"/>
      <c r="W39" s="336">
        <f t="shared" si="30"/>
        <v>0</v>
      </c>
      <c r="X39" s="72"/>
      <c r="Y39" s="72"/>
      <c r="Z39" s="336" t="e">
        <f t="shared" si="31"/>
        <v>#DIV/0!</v>
      </c>
      <c r="AA39" s="72"/>
      <c r="AB39" s="72"/>
      <c r="AC39" s="336" t="e">
        <f t="shared" si="32"/>
        <v>#DIV/0!</v>
      </c>
      <c r="AD39" s="72"/>
      <c r="AE39" s="72"/>
      <c r="AF39" s="336" t="e">
        <f t="shared" si="33"/>
        <v>#DIV/0!</v>
      </c>
      <c r="AG39" s="72"/>
      <c r="AH39" s="72"/>
      <c r="AI39" s="336" t="e">
        <f t="shared" si="34"/>
        <v>#DIV/0!</v>
      </c>
      <c r="AJ39" s="72"/>
      <c r="AK39" s="72"/>
      <c r="AL39" s="336" t="e">
        <f t="shared" si="35"/>
        <v>#DIV/0!</v>
      </c>
      <c r="AM39" s="72">
        <v>1</v>
      </c>
      <c r="AN39" s="72"/>
      <c r="AO39" s="336">
        <f t="shared" si="36"/>
        <v>0</v>
      </c>
      <c r="AP39" s="72"/>
      <c r="AQ39" s="72"/>
      <c r="AR39" s="336" t="e">
        <f t="shared" si="37"/>
        <v>#DIV/0!</v>
      </c>
      <c r="AS39" s="72"/>
      <c r="AT39" s="72"/>
      <c r="AU39" s="336" t="e">
        <f t="shared" si="38"/>
        <v>#DIV/0!</v>
      </c>
      <c r="AV39" s="72">
        <v>1</v>
      </c>
      <c r="AW39" s="72"/>
      <c r="AX39" s="336">
        <f t="shared" si="39"/>
        <v>0</v>
      </c>
      <c r="AY39" s="72"/>
      <c r="AZ39" s="72"/>
      <c r="BA39" s="336" t="e">
        <f t="shared" si="40"/>
        <v>#DIV/0!</v>
      </c>
      <c r="BB39" s="72">
        <v>1</v>
      </c>
      <c r="BC39" s="72"/>
      <c r="BD39" s="336">
        <f t="shared" si="41"/>
        <v>0</v>
      </c>
      <c r="BE39" s="72"/>
      <c r="BF39" s="72"/>
      <c r="BG39" s="336" t="e">
        <f t="shared" si="42"/>
        <v>#DIV/0!</v>
      </c>
      <c r="BH39" s="72"/>
      <c r="BI39" s="72"/>
      <c r="BJ39" s="336" t="e">
        <f t="shared" si="43"/>
        <v>#DIV/0!</v>
      </c>
      <c r="BK39" s="72"/>
      <c r="BL39" s="72"/>
      <c r="BM39" s="336" t="e">
        <f t="shared" si="44"/>
        <v>#DIV/0!</v>
      </c>
      <c r="BN39" s="72">
        <v>0</v>
      </c>
      <c r="BO39" s="72"/>
      <c r="BP39" s="336" t="e">
        <f t="shared" si="45"/>
        <v>#DIV/0!</v>
      </c>
      <c r="BQ39" s="337">
        <f t="shared" si="46"/>
        <v>7</v>
      </c>
      <c r="BR39" s="337">
        <f t="shared" si="47"/>
        <v>0</v>
      </c>
      <c r="BS39" s="338">
        <f t="shared" si="48"/>
        <v>0</v>
      </c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</row>
    <row r="40" spans="1:206" ht="15.75" x14ac:dyDescent="0.25">
      <c r="A40" s="334">
        <v>34</v>
      </c>
      <c r="B40" s="339" t="s">
        <v>167</v>
      </c>
      <c r="C40" s="71">
        <v>1</v>
      </c>
      <c r="D40" s="71"/>
      <c r="E40" s="336">
        <f t="shared" si="24"/>
        <v>0</v>
      </c>
      <c r="F40" s="72"/>
      <c r="G40" s="72"/>
      <c r="H40" s="336" t="e">
        <f t="shared" si="25"/>
        <v>#DIV/0!</v>
      </c>
      <c r="I40" s="71">
        <v>1</v>
      </c>
      <c r="J40" s="71"/>
      <c r="K40" s="336">
        <f t="shared" si="26"/>
        <v>0</v>
      </c>
      <c r="L40" s="72"/>
      <c r="M40" s="72"/>
      <c r="N40" s="336" t="e">
        <f t="shared" si="27"/>
        <v>#DIV/0!</v>
      </c>
      <c r="O40" s="71"/>
      <c r="P40" s="71"/>
      <c r="Q40" s="336" t="e">
        <f t="shared" si="28"/>
        <v>#DIV/0!</v>
      </c>
      <c r="R40" s="72"/>
      <c r="S40" s="72"/>
      <c r="T40" s="336" t="e">
        <f t="shared" si="29"/>
        <v>#DIV/0!</v>
      </c>
      <c r="U40" s="72">
        <v>1</v>
      </c>
      <c r="V40" s="72"/>
      <c r="W40" s="336">
        <f t="shared" si="30"/>
        <v>0</v>
      </c>
      <c r="X40" s="72"/>
      <c r="Y40" s="72"/>
      <c r="Z40" s="336" t="e">
        <f t="shared" si="31"/>
        <v>#DIV/0!</v>
      </c>
      <c r="AA40" s="72"/>
      <c r="AB40" s="72"/>
      <c r="AC40" s="336" t="e">
        <f t="shared" si="32"/>
        <v>#DIV/0!</v>
      </c>
      <c r="AD40" s="72"/>
      <c r="AE40" s="72"/>
      <c r="AF40" s="336" t="e">
        <f t="shared" si="33"/>
        <v>#DIV/0!</v>
      </c>
      <c r="AG40" s="72">
        <v>1</v>
      </c>
      <c r="AH40" s="72"/>
      <c r="AI40" s="336">
        <f t="shared" si="34"/>
        <v>0</v>
      </c>
      <c r="AJ40" s="72"/>
      <c r="AK40" s="72"/>
      <c r="AL40" s="336" t="e">
        <f t="shared" si="35"/>
        <v>#DIV/0!</v>
      </c>
      <c r="AM40" s="72">
        <v>1</v>
      </c>
      <c r="AN40" s="72"/>
      <c r="AO40" s="336">
        <f t="shared" si="36"/>
        <v>0</v>
      </c>
      <c r="AP40" s="72"/>
      <c r="AQ40" s="72"/>
      <c r="AR40" s="336" t="e">
        <f t="shared" si="37"/>
        <v>#DIV/0!</v>
      </c>
      <c r="AS40" s="72"/>
      <c r="AT40" s="72"/>
      <c r="AU40" s="336" t="e">
        <f t="shared" si="38"/>
        <v>#DIV/0!</v>
      </c>
      <c r="AV40" s="72">
        <v>1</v>
      </c>
      <c r="AW40" s="72"/>
      <c r="AX40" s="336">
        <f t="shared" si="39"/>
        <v>0</v>
      </c>
      <c r="AY40" s="72"/>
      <c r="AZ40" s="72"/>
      <c r="BA40" s="336" t="e">
        <f t="shared" si="40"/>
        <v>#DIV/0!</v>
      </c>
      <c r="BB40" s="72">
        <v>1</v>
      </c>
      <c r="BC40" s="72"/>
      <c r="BD40" s="336">
        <f t="shared" si="41"/>
        <v>0</v>
      </c>
      <c r="BE40" s="72"/>
      <c r="BF40" s="72"/>
      <c r="BG40" s="336" t="e">
        <f t="shared" si="42"/>
        <v>#DIV/0!</v>
      </c>
      <c r="BH40" s="72"/>
      <c r="BI40" s="72"/>
      <c r="BJ40" s="336" t="e">
        <f t="shared" si="43"/>
        <v>#DIV/0!</v>
      </c>
      <c r="BK40" s="72"/>
      <c r="BL40" s="72"/>
      <c r="BM40" s="336" t="e">
        <f t="shared" si="44"/>
        <v>#DIV/0!</v>
      </c>
      <c r="BN40" s="72">
        <v>0</v>
      </c>
      <c r="BO40" s="72"/>
      <c r="BP40" s="336" t="e">
        <f t="shared" si="45"/>
        <v>#DIV/0!</v>
      </c>
      <c r="BQ40" s="337">
        <f t="shared" si="46"/>
        <v>7</v>
      </c>
      <c r="BR40" s="337">
        <f t="shared" si="47"/>
        <v>0</v>
      </c>
      <c r="BS40" s="338">
        <f t="shared" si="48"/>
        <v>0</v>
      </c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</row>
    <row r="41" spans="1:206" ht="15.75" x14ac:dyDescent="0.25">
      <c r="A41" s="334">
        <v>35</v>
      </c>
      <c r="B41" s="339" t="s">
        <v>168</v>
      </c>
      <c r="C41" s="71">
        <v>1</v>
      </c>
      <c r="D41" s="71"/>
      <c r="E41" s="336">
        <f t="shared" si="24"/>
        <v>0</v>
      </c>
      <c r="F41" s="72"/>
      <c r="G41" s="72"/>
      <c r="H41" s="336" t="e">
        <f t="shared" si="25"/>
        <v>#DIV/0!</v>
      </c>
      <c r="I41" s="71">
        <v>1</v>
      </c>
      <c r="J41" s="71">
        <v>1</v>
      </c>
      <c r="K41" s="336">
        <f t="shared" si="26"/>
        <v>1</v>
      </c>
      <c r="L41" s="72">
        <v>1</v>
      </c>
      <c r="M41" s="72">
        <v>1</v>
      </c>
      <c r="N41" s="336">
        <f t="shared" si="27"/>
        <v>1</v>
      </c>
      <c r="O41" s="71"/>
      <c r="P41" s="71"/>
      <c r="Q41" s="336" t="e">
        <f t="shared" si="28"/>
        <v>#DIV/0!</v>
      </c>
      <c r="R41" s="72"/>
      <c r="S41" s="72"/>
      <c r="T41" s="336" t="e">
        <f t="shared" si="29"/>
        <v>#DIV/0!</v>
      </c>
      <c r="U41" s="72"/>
      <c r="V41" s="72"/>
      <c r="W41" s="336" t="e">
        <f t="shared" si="30"/>
        <v>#DIV/0!</v>
      </c>
      <c r="X41" s="72"/>
      <c r="Y41" s="72"/>
      <c r="Z41" s="336" t="e">
        <f t="shared" si="31"/>
        <v>#DIV/0!</v>
      </c>
      <c r="AA41" s="72"/>
      <c r="AB41" s="72"/>
      <c r="AC41" s="336" t="e">
        <f t="shared" si="32"/>
        <v>#DIV/0!</v>
      </c>
      <c r="AD41" s="72"/>
      <c r="AE41" s="72"/>
      <c r="AF41" s="336" t="e">
        <f t="shared" si="33"/>
        <v>#DIV/0!</v>
      </c>
      <c r="AG41" s="72"/>
      <c r="AH41" s="72"/>
      <c r="AI41" s="336" t="e">
        <f t="shared" si="34"/>
        <v>#DIV/0!</v>
      </c>
      <c r="AJ41" s="72"/>
      <c r="AK41" s="72"/>
      <c r="AL41" s="336" t="e">
        <f t="shared" si="35"/>
        <v>#DIV/0!</v>
      </c>
      <c r="AM41" s="72">
        <v>1</v>
      </c>
      <c r="AN41" s="72"/>
      <c r="AO41" s="336">
        <f t="shared" si="36"/>
        <v>0</v>
      </c>
      <c r="AP41" s="72"/>
      <c r="AQ41" s="72"/>
      <c r="AR41" s="336" t="e">
        <f t="shared" si="37"/>
        <v>#DIV/0!</v>
      </c>
      <c r="AS41" s="72"/>
      <c r="AT41" s="72"/>
      <c r="AU41" s="336" t="e">
        <f t="shared" si="38"/>
        <v>#DIV/0!</v>
      </c>
      <c r="AV41" s="72">
        <v>1</v>
      </c>
      <c r="AW41" s="72"/>
      <c r="AX41" s="336">
        <f t="shared" si="39"/>
        <v>0</v>
      </c>
      <c r="AY41" s="72"/>
      <c r="AZ41" s="72"/>
      <c r="BA41" s="336" t="e">
        <f t="shared" si="40"/>
        <v>#DIV/0!</v>
      </c>
      <c r="BB41" s="72">
        <v>1</v>
      </c>
      <c r="BC41" s="72"/>
      <c r="BD41" s="336">
        <f t="shared" si="41"/>
        <v>0</v>
      </c>
      <c r="BE41" s="72"/>
      <c r="BF41" s="72"/>
      <c r="BG41" s="336" t="e">
        <f t="shared" si="42"/>
        <v>#DIV/0!</v>
      </c>
      <c r="BH41" s="72"/>
      <c r="BI41" s="72"/>
      <c r="BJ41" s="336" t="e">
        <f t="shared" si="43"/>
        <v>#DIV/0!</v>
      </c>
      <c r="BK41" s="72"/>
      <c r="BL41" s="72"/>
      <c r="BM41" s="336" t="e">
        <f t="shared" si="44"/>
        <v>#DIV/0!</v>
      </c>
      <c r="BN41" s="72">
        <v>1</v>
      </c>
      <c r="BO41" s="72"/>
      <c r="BP41" s="336">
        <f t="shared" si="45"/>
        <v>0</v>
      </c>
      <c r="BQ41" s="337">
        <f t="shared" si="46"/>
        <v>7</v>
      </c>
      <c r="BR41" s="337">
        <f t="shared" si="47"/>
        <v>2</v>
      </c>
      <c r="BS41" s="338">
        <f t="shared" si="48"/>
        <v>0.2857142857142857</v>
      </c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</row>
    <row r="42" spans="1:206" ht="15.75" x14ac:dyDescent="0.25">
      <c r="A42" s="334">
        <v>36</v>
      </c>
      <c r="B42" s="339" t="s">
        <v>169</v>
      </c>
      <c r="C42" s="71">
        <v>1</v>
      </c>
      <c r="D42" s="71"/>
      <c r="E42" s="336">
        <f t="shared" si="24"/>
        <v>0</v>
      </c>
      <c r="F42" s="72"/>
      <c r="G42" s="72"/>
      <c r="H42" s="336" t="e">
        <f t="shared" si="25"/>
        <v>#DIV/0!</v>
      </c>
      <c r="I42" s="71">
        <v>1</v>
      </c>
      <c r="J42" s="71"/>
      <c r="K42" s="336">
        <f t="shared" si="26"/>
        <v>0</v>
      </c>
      <c r="L42" s="72"/>
      <c r="M42" s="72"/>
      <c r="N42" s="336" t="e">
        <f t="shared" si="27"/>
        <v>#DIV/0!</v>
      </c>
      <c r="O42" s="71">
        <v>1</v>
      </c>
      <c r="P42" s="71"/>
      <c r="Q42" s="336">
        <f t="shared" si="28"/>
        <v>0</v>
      </c>
      <c r="R42" s="72"/>
      <c r="S42" s="72"/>
      <c r="T42" s="336" t="e">
        <f t="shared" si="29"/>
        <v>#DIV/0!</v>
      </c>
      <c r="U42" s="72">
        <v>1</v>
      </c>
      <c r="V42" s="72"/>
      <c r="W42" s="336">
        <f t="shared" si="30"/>
        <v>0</v>
      </c>
      <c r="X42" s="72"/>
      <c r="Y42" s="72"/>
      <c r="Z42" s="336" t="e">
        <f t="shared" si="31"/>
        <v>#DIV/0!</v>
      </c>
      <c r="AA42" s="72"/>
      <c r="AB42" s="72"/>
      <c r="AC42" s="336" t="e">
        <f t="shared" si="32"/>
        <v>#DIV/0!</v>
      </c>
      <c r="AD42" s="72"/>
      <c r="AE42" s="72"/>
      <c r="AF42" s="336" t="e">
        <f t="shared" si="33"/>
        <v>#DIV/0!</v>
      </c>
      <c r="AG42" s="72">
        <v>1</v>
      </c>
      <c r="AH42" s="72"/>
      <c r="AI42" s="336">
        <f t="shared" si="34"/>
        <v>0</v>
      </c>
      <c r="AJ42" s="72"/>
      <c r="AK42" s="72"/>
      <c r="AL42" s="336" t="e">
        <f t="shared" si="35"/>
        <v>#DIV/0!</v>
      </c>
      <c r="AM42" s="72">
        <v>1</v>
      </c>
      <c r="AN42" s="72"/>
      <c r="AO42" s="336">
        <f t="shared" si="36"/>
        <v>0</v>
      </c>
      <c r="AP42" s="72"/>
      <c r="AQ42" s="72"/>
      <c r="AR42" s="336" t="e">
        <f t="shared" si="37"/>
        <v>#DIV/0!</v>
      </c>
      <c r="AS42" s="72"/>
      <c r="AT42" s="72"/>
      <c r="AU42" s="336" t="e">
        <f t="shared" si="38"/>
        <v>#DIV/0!</v>
      </c>
      <c r="AV42" s="72">
        <v>1</v>
      </c>
      <c r="AW42" s="72"/>
      <c r="AX42" s="336">
        <f t="shared" si="39"/>
        <v>0</v>
      </c>
      <c r="AY42" s="72"/>
      <c r="AZ42" s="72"/>
      <c r="BA42" s="336" t="e">
        <f t="shared" si="40"/>
        <v>#DIV/0!</v>
      </c>
      <c r="BB42" s="72">
        <v>1</v>
      </c>
      <c r="BC42" s="72"/>
      <c r="BD42" s="336">
        <f t="shared" si="41"/>
        <v>0</v>
      </c>
      <c r="BE42" s="72"/>
      <c r="BF42" s="72"/>
      <c r="BG42" s="336" t="e">
        <f t="shared" si="42"/>
        <v>#DIV/0!</v>
      </c>
      <c r="BH42" s="72"/>
      <c r="BI42" s="72"/>
      <c r="BJ42" s="336" t="e">
        <f t="shared" si="43"/>
        <v>#DIV/0!</v>
      </c>
      <c r="BK42" s="72"/>
      <c r="BL42" s="72"/>
      <c r="BM42" s="336" t="e">
        <f t="shared" si="44"/>
        <v>#DIV/0!</v>
      </c>
      <c r="BN42" s="72">
        <v>1</v>
      </c>
      <c r="BO42" s="72"/>
      <c r="BP42" s="336">
        <f t="shared" si="45"/>
        <v>0</v>
      </c>
      <c r="BQ42" s="337">
        <f t="shared" si="46"/>
        <v>9</v>
      </c>
      <c r="BR42" s="337">
        <f t="shared" si="47"/>
        <v>0</v>
      </c>
      <c r="BS42" s="338">
        <f t="shared" si="48"/>
        <v>0</v>
      </c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</row>
    <row r="43" spans="1:206" ht="15.75" x14ac:dyDescent="0.25">
      <c r="A43" s="334">
        <v>37</v>
      </c>
      <c r="B43" s="339" t="s">
        <v>170</v>
      </c>
      <c r="C43" s="71">
        <v>1</v>
      </c>
      <c r="D43" s="71"/>
      <c r="E43" s="336">
        <f t="shared" si="24"/>
        <v>0</v>
      </c>
      <c r="F43" s="72"/>
      <c r="G43" s="72"/>
      <c r="H43" s="336" t="e">
        <f t="shared" si="25"/>
        <v>#DIV/0!</v>
      </c>
      <c r="I43" s="71">
        <v>1</v>
      </c>
      <c r="J43" s="71"/>
      <c r="K43" s="336">
        <f t="shared" si="26"/>
        <v>0</v>
      </c>
      <c r="L43" s="72"/>
      <c r="M43" s="72"/>
      <c r="N43" s="336" t="e">
        <f t="shared" si="27"/>
        <v>#DIV/0!</v>
      </c>
      <c r="O43" s="71"/>
      <c r="P43" s="71"/>
      <c r="Q43" s="336" t="e">
        <f t="shared" si="28"/>
        <v>#DIV/0!</v>
      </c>
      <c r="R43" s="72"/>
      <c r="S43" s="72"/>
      <c r="T43" s="336" t="e">
        <f t="shared" si="29"/>
        <v>#DIV/0!</v>
      </c>
      <c r="U43" s="72"/>
      <c r="V43" s="72"/>
      <c r="W43" s="336" t="e">
        <f t="shared" si="30"/>
        <v>#DIV/0!</v>
      </c>
      <c r="X43" s="72"/>
      <c r="Y43" s="72"/>
      <c r="Z43" s="336" t="e">
        <f t="shared" si="31"/>
        <v>#DIV/0!</v>
      </c>
      <c r="AA43" s="72">
        <v>1</v>
      </c>
      <c r="AB43" s="72"/>
      <c r="AC43" s="336">
        <f t="shared" si="32"/>
        <v>0</v>
      </c>
      <c r="AD43" s="72"/>
      <c r="AE43" s="72"/>
      <c r="AF43" s="336" t="e">
        <f t="shared" si="33"/>
        <v>#DIV/0!</v>
      </c>
      <c r="AG43" s="72">
        <v>1</v>
      </c>
      <c r="AH43" s="72"/>
      <c r="AI43" s="336">
        <f t="shared" si="34"/>
        <v>0</v>
      </c>
      <c r="AJ43" s="72"/>
      <c r="AK43" s="72"/>
      <c r="AL43" s="336" t="e">
        <f t="shared" si="35"/>
        <v>#DIV/0!</v>
      </c>
      <c r="AM43" s="72">
        <v>1</v>
      </c>
      <c r="AN43" s="72"/>
      <c r="AO43" s="336">
        <f t="shared" si="36"/>
        <v>0</v>
      </c>
      <c r="AP43" s="72"/>
      <c r="AQ43" s="72"/>
      <c r="AR43" s="336" t="e">
        <f t="shared" si="37"/>
        <v>#DIV/0!</v>
      </c>
      <c r="AS43" s="72"/>
      <c r="AT43" s="72"/>
      <c r="AU43" s="336" t="e">
        <f t="shared" si="38"/>
        <v>#DIV/0!</v>
      </c>
      <c r="AV43" s="72">
        <v>1</v>
      </c>
      <c r="AW43" s="72"/>
      <c r="AX43" s="336">
        <f t="shared" si="39"/>
        <v>0</v>
      </c>
      <c r="AY43" s="72"/>
      <c r="AZ43" s="72"/>
      <c r="BA43" s="336" t="e">
        <f t="shared" si="40"/>
        <v>#DIV/0!</v>
      </c>
      <c r="BB43" s="72">
        <v>1</v>
      </c>
      <c r="BC43" s="72"/>
      <c r="BD43" s="336">
        <f t="shared" si="41"/>
        <v>0</v>
      </c>
      <c r="BE43" s="72"/>
      <c r="BF43" s="72"/>
      <c r="BG43" s="336" t="e">
        <f t="shared" si="42"/>
        <v>#DIV/0!</v>
      </c>
      <c r="BH43" s="72"/>
      <c r="BI43" s="72"/>
      <c r="BJ43" s="336" t="e">
        <f t="shared" si="43"/>
        <v>#DIV/0!</v>
      </c>
      <c r="BK43" s="72"/>
      <c r="BL43" s="72"/>
      <c r="BM43" s="336" t="e">
        <f t="shared" si="44"/>
        <v>#DIV/0!</v>
      </c>
      <c r="BN43" s="72">
        <v>1</v>
      </c>
      <c r="BO43" s="72"/>
      <c r="BP43" s="336">
        <f t="shared" si="45"/>
        <v>0</v>
      </c>
      <c r="BQ43" s="337">
        <f t="shared" si="46"/>
        <v>8</v>
      </c>
      <c r="BR43" s="337">
        <f t="shared" si="47"/>
        <v>0</v>
      </c>
      <c r="BS43" s="338">
        <f t="shared" si="48"/>
        <v>0</v>
      </c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</row>
    <row r="44" spans="1:206" ht="15.75" x14ac:dyDescent="0.25">
      <c r="A44" s="334">
        <v>38</v>
      </c>
      <c r="B44" s="339" t="s">
        <v>171</v>
      </c>
      <c r="C44" s="71">
        <v>0</v>
      </c>
      <c r="D44" s="71"/>
      <c r="E44" s="336" t="e">
        <f t="shared" si="24"/>
        <v>#DIV/0!</v>
      </c>
      <c r="F44" s="72"/>
      <c r="G44" s="72"/>
      <c r="H44" s="336" t="e">
        <f t="shared" si="25"/>
        <v>#DIV/0!</v>
      </c>
      <c r="I44" s="71">
        <v>1</v>
      </c>
      <c r="J44" s="71"/>
      <c r="K44" s="336">
        <f t="shared" si="26"/>
        <v>0</v>
      </c>
      <c r="L44" s="72"/>
      <c r="M44" s="72"/>
      <c r="N44" s="336" t="e">
        <f t="shared" si="27"/>
        <v>#DIV/0!</v>
      </c>
      <c r="O44" s="71"/>
      <c r="P44" s="71"/>
      <c r="Q44" s="336" t="e">
        <f t="shared" si="28"/>
        <v>#DIV/0!</v>
      </c>
      <c r="R44" s="72"/>
      <c r="S44" s="72"/>
      <c r="T44" s="336" t="e">
        <f t="shared" si="29"/>
        <v>#DIV/0!</v>
      </c>
      <c r="U44" s="72"/>
      <c r="V44" s="72"/>
      <c r="W44" s="336" t="e">
        <f t="shared" si="30"/>
        <v>#DIV/0!</v>
      </c>
      <c r="X44" s="72"/>
      <c r="Y44" s="72"/>
      <c r="Z44" s="336" t="e">
        <f t="shared" si="31"/>
        <v>#DIV/0!</v>
      </c>
      <c r="AA44" s="72"/>
      <c r="AB44" s="72"/>
      <c r="AC44" s="336" t="e">
        <f t="shared" si="32"/>
        <v>#DIV/0!</v>
      </c>
      <c r="AD44" s="72"/>
      <c r="AE44" s="72"/>
      <c r="AF44" s="336" t="e">
        <f t="shared" si="33"/>
        <v>#DIV/0!</v>
      </c>
      <c r="AG44" s="72">
        <v>1</v>
      </c>
      <c r="AH44" s="72"/>
      <c r="AI44" s="336">
        <f t="shared" si="34"/>
        <v>0</v>
      </c>
      <c r="AJ44" s="72"/>
      <c r="AK44" s="72"/>
      <c r="AL44" s="336" t="e">
        <f t="shared" si="35"/>
        <v>#DIV/0!</v>
      </c>
      <c r="AM44" s="72">
        <v>1</v>
      </c>
      <c r="AN44" s="72"/>
      <c r="AO44" s="336">
        <f t="shared" si="36"/>
        <v>0</v>
      </c>
      <c r="AP44" s="72"/>
      <c r="AQ44" s="72"/>
      <c r="AR44" s="336" t="e">
        <f t="shared" si="37"/>
        <v>#DIV/0!</v>
      </c>
      <c r="AS44" s="72"/>
      <c r="AT44" s="72"/>
      <c r="AU44" s="336" t="e">
        <f t="shared" si="38"/>
        <v>#DIV/0!</v>
      </c>
      <c r="AV44" s="72">
        <v>1</v>
      </c>
      <c r="AW44" s="72"/>
      <c r="AX44" s="336">
        <f t="shared" si="39"/>
        <v>0</v>
      </c>
      <c r="AY44" s="72"/>
      <c r="AZ44" s="72"/>
      <c r="BA44" s="336" t="e">
        <f t="shared" si="40"/>
        <v>#DIV/0!</v>
      </c>
      <c r="BB44" s="72">
        <v>1</v>
      </c>
      <c r="BC44" s="72"/>
      <c r="BD44" s="336">
        <f t="shared" si="41"/>
        <v>0</v>
      </c>
      <c r="BE44" s="72"/>
      <c r="BF44" s="72"/>
      <c r="BG44" s="336" t="e">
        <f t="shared" si="42"/>
        <v>#DIV/0!</v>
      </c>
      <c r="BH44" s="72"/>
      <c r="BI44" s="72"/>
      <c r="BJ44" s="336" t="e">
        <f t="shared" si="43"/>
        <v>#DIV/0!</v>
      </c>
      <c r="BK44" s="72"/>
      <c r="BL44" s="72"/>
      <c r="BM44" s="336" t="e">
        <f t="shared" si="44"/>
        <v>#DIV/0!</v>
      </c>
      <c r="BN44" s="72">
        <v>1</v>
      </c>
      <c r="BO44" s="72"/>
      <c r="BP44" s="336">
        <f t="shared" si="45"/>
        <v>0</v>
      </c>
      <c r="BQ44" s="337">
        <f t="shared" si="46"/>
        <v>6</v>
      </c>
      <c r="BR44" s="337">
        <f t="shared" si="47"/>
        <v>0</v>
      </c>
      <c r="BS44" s="338">
        <f t="shared" si="48"/>
        <v>0</v>
      </c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</row>
    <row r="45" spans="1:206" x14ac:dyDescent="0.25">
      <c r="A45"/>
      <c r="B45" s="245"/>
      <c r="C45" s="321"/>
      <c r="D45" s="321"/>
      <c r="E45" s="322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</row>
  </sheetData>
  <sheetProtection algorithmName="SHA-512" hashValue="TrU71yUtksL0C8SMtjiMAk5rUEomYXCbYUk6gpamVlnnn9Iw37IQOk+SGYcLkgj2HaUvkZwMsAd54kI69Phgrw==" saltValue="BIe1hlVvTd24LrN9nIxqvw==" spinCount="100000" sheet="1" objects="1" selectLockedCells="1" selectUnlockedCells="1"/>
  <mergeCells count="35">
    <mergeCell ref="BN5:BP5"/>
    <mergeCell ref="BQ5:BS5"/>
    <mergeCell ref="AV5:AX5"/>
    <mergeCell ref="AY5:BA5"/>
    <mergeCell ref="BB5:BD5"/>
    <mergeCell ref="BE5:BG5"/>
    <mergeCell ref="BH5:BJ5"/>
    <mergeCell ref="BK5:BM5"/>
    <mergeCell ref="AD5:AF5"/>
    <mergeCell ref="AG5:AI5"/>
    <mergeCell ref="AJ5:AL5"/>
    <mergeCell ref="AM5:AO5"/>
    <mergeCell ref="AP5:AR5"/>
    <mergeCell ref="AS5:AU5"/>
    <mergeCell ref="BN4:BP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A4:AF4"/>
    <mergeCell ref="AG4:AL4"/>
    <mergeCell ref="AM4:AU4"/>
    <mergeCell ref="AV4:BA4"/>
    <mergeCell ref="BB4:BG4"/>
    <mergeCell ref="A1:GX1"/>
    <mergeCell ref="BH4:BM4"/>
    <mergeCell ref="C4:H4"/>
    <mergeCell ref="I4:N4"/>
    <mergeCell ref="O4:T4"/>
    <mergeCell ref="U4:Z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6"/>
  <sheetViews>
    <sheetView topLeftCell="A16" zoomScale="80" zoomScaleNormal="80" workbookViewId="0">
      <selection activeCell="C44" sqref="C44"/>
    </sheetView>
  </sheetViews>
  <sheetFormatPr defaultRowHeight="15" x14ac:dyDescent="0.25"/>
  <cols>
    <col min="2" max="2" width="42.85546875" bestFit="1" customWidth="1"/>
  </cols>
  <sheetData>
    <row r="1" spans="1:16" ht="15" customHeight="1" x14ac:dyDescent="0.25">
      <c r="A1" s="632" t="s">
        <v>219</v>
      </c>
      <c r="B1" s="696" t="s">
        <v>4</v>
      </c>
      <c r="C1" s="698" t="s">
        <v>278</v>
      </c>
      <c r="D1" s="698"/>
      <c r="E1" s="698"/>
      <c r="F1" s="698"/>
      <c r="G1" s="698" t="s">
        <v>279</v>
      </c>
      <c r="H1" s="698"/>
      <c r="I1" s="698"/>
      <c r="J1" s="698"/>
      <c r="K1" s="683" t="s">
        <v>246</v>
      </c>
      <c r="L1" s="683"/>
      <c r="M1" s="683"/>
      <c r="N1" s="683"/>
      <c r="O1" s="683"/>
      <c r="P1" s="683"/>
    </row>
    <row r="2" spans="1:16" ht="15" customHeight="1" x14ac:dyDescent="0.25">
      <c r="A2" s="633"/>
      <c r="B2" s="697"/>
      <c r="C2" s="699" t="s">
        <v>51</v>
      </c>
      <c r="D2" s="700"/>
      <c r="E2" s="699" t="s">
        <v>274</v>
      </c>
      <c r="F2" s="700"/>
      <c r="G2" s="699" t="s">
        <v>51</v>
      </c>
      <c r="H2" s="700"/>
      <c r="I2" s="699" t="s">
        <v>274</v>
      </c>
      <c r="J2" s="700"/>
      <c r="K2" s="695" t="s">
        <v>51</v>
      </c>
      <c r="L2" s="695"/>
      <c r="M2" s="695"/>
      <c r="N2" s="695" t="s">
        <v>274</v>
      </c>
      <c r="O2" s="695"/>
      <c r="P2" s="695"/>
    </row>
    <row r="3" spans="1:16" ht="36" x14ac:dyDescent="0.25">
      <c r="A3" s="633"/>
      <c r="B3" s="697"/>
      <c r="C3" s="32" t="s">
        <v>243</v>
      </c>
      <c r="D3" s="32" t="s">
        <v>244</v>
      </c>
      <c r="E3" s="32" t="s">
        <v>243</v>
      </c>
      <c r="F3" s="32" t="s">
        <v>244</v>
      </c>
      <c r="G3" s="32" t="s">
        <v>243</v>
      </c>
      <c r="H3" s="32" t="s">
        <v>244</v>
      </c>
      <c r="I3" s="32" t="s">
        <v>243</v>
      </c>
      <c r="J3" s="32" t="s">
        <v>244</v>
      </c>
      <c r="K3" s="75" t="s">
        <v>243</v>
      </c>
      <c r="L3" s="75" t="s">
        <v>244</v>
      </c>
      <c r="M3" s="75" t="s">
        <v>245</v>
      </c>
      <c r="N3" s="75" t="s">
        <v>243</v>
      </c>
      <c r="O3" s="75" t="s">
        <v>244</v>
      </c>
      <c r="P3" s="75" t="s">
        <v>245</v>
      </c>
    </row>
    <row r="4" spans="1:16" x14ac:dyDescent="0.25">
      <c r="A4" s="23">
        <v>1</v>
      </c>
      <c r="B4" s="26" t="s">
        <v>139</v>
      </c>
      <c r="C4" s="71">
        <v>1</v>
      </c>
      <c r="D4" s="71">
        <v>0</v>
      </c>
      <c r="E4" s="72">
        <v>0</v>
      </c>
      <c r="F4" s="72">
        <v>0</v>
      </c>
      <c r="G4" s="71">
        <v>0</v>
      </c>
      <c r="H4" s="71">
        <v>0</v>
      </c>
      <c r="I4" s="72">
        <v>0</v>
      </c>
      <c r="J4" s="72">
        <v>0</v>
      </c>
      <c r="K4" s="85">
        <f>C4+G4</f>
        <v>1</v>
      </c>
      <c r="L4" s="85">
        <f>D4+H4</f>
        <v>0</v>
      </c>
      <c r="M4" s="85">
        <f t="shared" ref="M4:M41" si="0">L4/K4</f>
        <v>0</v>
      </c>
      <c r="N4" s="85">
        <f>E4+I4</f>
        <v>0</v>
      </c>
      <c r="O4" s="85">
        <f>F4+J4</f>
        <v>0</v>
      </c>
      <c r="P4" s="85">
        <v>0</v>
      </c>
    </row>
    <row r="5" spans="1:16" x14ac:dyDescent="0.25">
      <c r="A5" s="23">
        <v>2</v>
      </c>
      <c r="B5" s="26" t="s">
        <v>140</v>
      </c>
      <c r="C5" s="71">
        <v>2</v>
      </c>
      <c r="D5" s="71">
        <v>2</v>
      </c>
      <c r="E5" s="72">
        <v>1</v>
      </c>
      <c r="F5" s="72">
        <v>0</v>
      </c>
      <c r="G5" s="71">
        <v>1</v>
      </c>
      <c r="H5" s="71">
        <v>1</v>
      </c>
      <c r="I5" s="72">
        <v>0</v>
      </c>
      <c r="J5" s="72">
        <v>0</v>
      </c>
      <c r="K5" s="85">
        <f t="shared" ref="K5:L40" si="1">C5+G5</f>
        <v>3</v>
      </c>
      <c r="L5" s="85">
        <f t="shared" si="1"/>
        <v>3</v>
      </c>
      <c r="M5" s="85">
        <f t="shared" si="0"/>
        <v>1</v>
      </c>
      <c r="N5" s="85">
        <f t="shared" ref="N5:O41" si="2">E5+I5</f>
        <v>1</v>
      </c>
      <c r="O5" s="85">
        <f t="shared" si="2"/>
        <v>0</v>
      </c>
      <c r="P5" s="85">
        <f t="shared" ref="P5:P40" si="3">O5/N5</f>
        <v>0</v>
      </c>
    </row>
    <row r="6" spans="1:16" x14ac:dyDescent="0.25">
      <c r="A6" s="23">
        <v>3</v>
      </c>
      <c r="B6" s="26" t="s">
        <v>141</v>
      </c>
      <c r="C6" s="71">
        <v>2</v>
      </c>
      <c r="D6" s="71">
        <v>2</v>
      </c>
      <c r="E6" s="72">
        <v>2</v>
      </c>
      <c r="F6" s="72">
        <v>0</v>
      </c>
      <c r="G6" s="71">
        <v>2</v>
      </c>
      <c r="H6" s="71">
        <v>1</v>
      </c>
      <c r="I6" s="72">
        <v>0</v>
      </c>
      <c r="J6" s="72">
        <v>0</v>
      </c>
      <c r="K6" s="85">
        <f t="shared" si="1"/>
        <v>4</v>
      </c>
      <c r="L6" s="85">
        <f t="shared" si="1"/>
        <v>3</v>
      </c>
      <c r="M6" s="85">
        <f t="shared" si="0"/>
        <v>0.75</v>
      </c>
      <c r="N6" s="85">
        <f t="shared" si="2"/>
        <v>2</v>
      </c>
      <c r="O6" s="85">
        <f t="shared" si="2"/>
        <v>0</v>
      </c>
      <c r="P6" s="85">
        <f t="shared" si="3"/>
        <v>0</v>
      </c>
    </row>
    <row r="7" spans="1:16" x14ac:dyDescent="0.25">
      <c r="A7" s="23">
        <v>4</v>
      </c>
      <c r="B7" s="26" t="s">
        <v>142</v>
      </c>
      <c r="C7" s="71">
        <v>2</v>
      </c>
      <c r="D7" s="71">
        <v>0</v>
      </c>
      <c r="E7" s="72">
        <v>0</v>
      </c>
      <c r="F7" s="72">
        <v>0</v>
      </c>
      <c r="G7" s="71">
        <v>1</v>
      </c>
      <c r="H7" s="71">
        <v>1</v>
      </c>
      <c r="I7" s="72">
        <v>0</v>
      </c>
      <c r="J7" s="72">
        <v>0</v>
      </c>
      <c r="K7" s="85">
        <f t="shared" si="1"/>
        <v>3</v>
      </c>
      <c r="L7" s="85">
        <f t="shared" si="1"/>
        <v>1</v>
      </c>
      <c r="M7" s="85">
        <f t="shared" si="0"/>
        <v>0.33333333333333331</v>
      </c>
      <c r="N7" s="85">
        <f t="shared" si="2"/>
        <v>0</v>
      </c>
      <c r="O7" s="85">
        <f t="shared" si="2"/>
        <v>0</v>
      </c>
      <c r="P7" s="85">
        <v>0</v>
      </c>
    </row>
    <row r="8" spans="1:16" s="30" customFormat="1" x14ac:dyDescent="0.25">
      <c r="A8" s="23">
        <v>5</v>
      </c>
      <c r="B8" s="26" t="s">
        <v>143</v>
      </c>
      <c r="C8" s="71">
        <v>1</v>
      </c>
      <c r="D8" s="71">
        <v>1</v>
      </c>
      <c r="E8" s="72">
        <v>1</v>
      </c>
      <c r="F8" s="72">
        <v>1</v>
      </c>
      <c r="G8" s="71">
        <v>0</v>
      </c>
      <c r="H8" s="71">
        <v>0</v>
      </c>
      <c r="I8" s="72">
        <v>0</v>
      </c>
      <c r="J8" s="72">
        <v>0</v>
      </c>
      <c r="K8" s="85">
        <f t="shared" si="1"/>
        <v>1</v>
      </c>
      <c r="L8" s="85">
        <f t="shared" si="1"/>
        <v>1</v>
      </c>
      <c r="M8" s="85">
        <f t="shared" si="0"/>
        <v>1</v>
      </c>
      <c r="N8" s="85">
        <f t="shared" si="2"/>
        <v>1</v>
      </c>
      <c r="O8" s="85">
        <f t="shared" si="2"/>
        <v>1</v>
      </c>
      <c r="P8" s="85">
        <f t="shared" si="3"/>
        <v>1</v>
      </c>
    </row>
    <row r="9" spans="1:16" ht="25.5" x14ac:dyDescent="0.25">
      <c r="A9" s="23">
        <v>6</v>
      </c>
      <c r="B9" s="26" t="s">
        <v>177</v>
      </c>
      <c r="C9" s="71">
        <v>2</v>
      </c>
      <c r="D9" s="71">
        <v>0</v>
      </c>
      <c r="E9" s="72">
        <v>0</v>
      </c>
      <c r="F9" s="72">
        <v>0</v>
      </c>
      <c r="G9" s="71">
        <v>0</v>
      </c>
      <c r="H9" s="71">
        <v>0</v>
      </c>
      <c r="I9" s="72">
        <v>0</v>
      </c>
      <c r="J9" s="72">
        <v>0</v>
      </c>
      <c r="K9" s="85">
        <f t="shared" si="1"/>
        <v>2</v>
      </c>
      <c r="L9" s="85">
        <f t="shared" si="1"/>
        <v>0</v>
      </c>
      <c r="M9" s="85">
        <f t="shared" si="0"/>
        <v>0</v>
      </c>
      <c r="N9" s="85">
        <f t="shared" si="2"/>
        <v>0</v>
      </c>
      <c r="O9" s="85">
        <f t="shared" si="2"/>
        <v>0</v>
      </c>
      <c r="P9" s="85">
        <v>0</v>
      </c>
    </row>
    <row r="10" spans="1:16" x14ac:dyDescent="0.25">
      <c r="A10" s="23">
        <v>7</v>
      </c>
      <c r="B10" s="27" t="s">
        <v>144</v>
      </c>
      <c r="C10" s="71">
        <v>1</v>
      </c>
      <c r="D10" s="71">
        <v>0</v>
      </c>
      <c r="E10" s="72">
        <v>0</v>
      </c>
      <c r="F10" s="72">
        <v>0</v>
      </c>
      <c r="G10" s="71">
        <v>0</v>
      </c>
      <c r="H10" s="71">
        <v>0</v>
      </c>
      <c r="I10" s="72">
        <v>0</v>
      </c>
      <c r="J10" s="72">
        <v>0</v>
      </c>
      <c r="K10" s="85">
        <f t="shared" si="1"/>
        <v>1</v>
      </c>
      <c r="L10" s="85">
        <f t="shared" si="1"/>
        <v>0</v>
      </c>
      <c r="M10" s="85">
        <f t="shared" si="0"/>
        <v>0</v>
      </c>
      <c r="N10" s="85">
        <f t="shared" si="2"/>
        <v>0</v>
      </c>
      <c r="O10" s="85">
        <f t="shared" si="2"/>
        <v>0</v>
      </c>
      <c r="P10" s="85">
        <v>0</v>
      </c>
    </row>
    <row r="11" spans="1:16" x14ac:dyDescent="0.25">
      <c r="A11" s="23">
        <v>8</v>
      </c>
      <c r="B11" s="26" t="s">
        <v>145</v>
      </c>
      <c r="C11" s="71">
        <v>1</v>
      </c>
      <c r="D11" s="71">
        <v>0</v>
      </c>
      <c r="E11" s="72">
        <v>0</v>
      </c>
      <c r="F11" s="72">
        <v>0</v>
      </c>
      <c r="G11" s="71">
        <v>0</v>
      </c>
      <c r="H11" s="71">
        <v>0</v>
      </c>
      <c r="I11" s="72">
        <v>0</v>
      </c>
      <c r="J11" s="72">
        <v>0</v>
      </c>
      <c r="K11" s="85">
        <f t="shared" si="1"/>
        <v>1</v>
      </c>
      <c r="L11" s="85">
        <f t="shared" si="1"/>
        <v>0</v>
      </c>
      <c r="M11" s="85">
        <f t="shared" si="0"/>
        <v>0</v>
      </c>
      <c r="N11" s="85">
        <f t="shared" si="2"/>
        <v>0</v>
      </c>
      <c r="O11" s="85">
        <f t="shared" si="2"/>
        <v>0</v>
      </c>
      <c r="P11" s="85">
        <v>0</v>
      </c>
    </row>
    <row r="12" spans="1:16" x14ac:dyDescent="0.25">
      <c r="A12" s="23">
        <v>9</v>
      </c>
      <c r="B12" s="26" t="s">
        <v>146</v>
      </c>
      <c r="C12" s="71">
        <v>0</v>
      </c>
      <c r="D12" s="71">
        <v>0</v>
      </c>
      <c r="E12" s="72">
        <v>0</v>
      </c>
      <c r="F12" s="72">
        <v>0</v>
      </c>
      <c r="G12" s="71">
        <v>0</v>
      </c>
      <c r="H12" s="71">
        <v>0</v>
      </c>
      <c r="I12" s="72">
        <v>0</v>
      </c>
      <c r="J12" s="72">
        <v>0</v>
      </c>
      <c r="K12" s="85">
        <f t="shared" si="1"/>
        <v>0</v>
      </c>
      <c r="L12" s="85">
        <f t="shared" si="1"/>
        <v>0</v>
      </c>
      <c r="M12" s="85">
        <v>0</v>
      </c>
      <c r="N12" s="85">
        <f t="shared" si="2"/>
        <v>0</v>
      </c>
      <c r="O12" s="85">
        <f t="shared" si="2"/>
        <v>0</v>
      </c>
      <c r="P12" s="85">
        <v>0</v>
      </c>
    </row>
    <row r="13" spans="1:16" x14ac:dyDescent="0.25">
      <c r="A13" s="23">
        <v>10</v>
      </c>
      <c r="B13" s="26" t="s">
        <v>172</v>
      </c>
      <c r="C13" s="71">
        <v>0</v>
      </c>
      <c r="D13" s="71">
        <v>0</v>
      </c>
      <c r="E13" s="72">
        <v>0</v>
      </c>
      <c r="F13" s="72">
        <v>0</v>
      </c>
      <c r="G13" s="71">
        <v>0</v>
      </c>
      <c r="H13" s="71">
        <v>0</v>
      </c>
      <c r="I13" s="72">
        <v>0</v>
      </c>
      <c r="J13" s="72">
        <v>0</v>
      </c>
      <c r="K13" s="85">
        <f>C13+G13</f>
        <v>0</v>
      </c>
      <c r="L13" s="85">
        <f>D13+H13</f>
        <v>0</v>
      </c>
      <c r="M13" s="85">
        <v>0</v>
      </c>
      <c r="N13" s="85">
        <f t="shared" si="2"/>
        <v>0</v>
      </c>
      <c r="O13" s="85">
        <f t="shared" si="2"/>
        <v>0</v>
      </c>
      <c r="P13" s="85">
        <v>0</v>
      </c>
    </row>
    <row r="14" spans="1:16" x14ac:dyDescent="0.25">
      <c r="A14" s="23">
        <v>11</v>
      </c>
      <c r="B14" s="26" t="s">
        <v>147</v>
      </c>
      <c r="C14" s="71">
        <v>0</v>
      </c>
      <c r="D14" s="71">
        <v>0</v>
      </c>
      <c r="E14" s="72">
        <v>0</v>
      </c>
      <c r="F14" s="72">
        <v>0</v>
      </c>
      <c r="G14" s="71">
        <v>0</v>
      </c>
      <c r="H14" s="71">
        <v>0</v>
      </c>
      <c r="I14" s="72">
        <v>0</v>
      </c>
      <c r="J14" s="72">
        <v>0</v>
      </c>
      <c r="K14" s="85">
        <f t="shared" si="1"/>
        <v>0</v>
      </c>
      <c r="L14" s="85">
        <f t="shared" si="1"/>
        <v>0</v>
      </c>
      <c r="M14" s="85">
        <v>0</v>
      </c>
      <c r="N14" s="85">
        <f t="shared" si="2"/>
        <v>0</v>
      </c>
      <c r="O14" s="85">
        <f t="shared" si="2"/>
        <v>0</v>
      </c>
      <c r="P14" s="85">
        <v>0</v>
      </c>
    </row>
    <row r="15" spans="1:16" ht="25.5" x14ac:dyDescent="0.25">
      <c r="A15" s="23">
        <v>12</v>
      </c>
      <c r="B15" s="26" t="s">
        <v>178</v>
      </c>
      <c r="C15" s="71">
        <v>2</v>
      </c>
      <c r="D15" s="71">
        <v>1</v>
      </c>
      <c r="E15" s="72">
        <v>0</v>
      </c>
      <c r="F15" s="72">
        <v>0</v>
      </c>
      <c r="G15" s="71">
        <v>0</v>
      </c>
      <c r="H15" s="71">
        <v>0</v>
      </c>
      <c r="I15" s="72">
        <v>0</v>
      </c>
      <c r="J15" s="72">
        <v>0</v>
      </c>
      <c r="K15" s="85">
        <f t="shared" si="1"/>
        <v>2</v>
      </c>
      <c r="L15" s="85">
        <f t="shared" si="1"/>
        <v>1</v>
      </c>
      <c r="M15" s="85">
        <f t="shared" si="0"/>
        <v>0.5</v>
      </c>
      <c r="N15" s="85">
        <f t="shared" si="2"/>
        <v>0</v>
      </c>
      <c r="O15" s="85">
        <f t="shared" si="2"/>
        <v>0</v>
      </c>
      <c r="P15" s="85">
        <v>0</v>
      </c>
    </row>
    <row r="16" spans="1:16" x14ac:dyDescent="0.25">
      <c r="A16" s="23">
        <v>13</v>
      </c>
      <c r="B16" s="26" t="s">
        <v>148</v>
      </c>
      <c r="C16" s="71">
        <v>1</v>
      </c>
      <c r="D16" s="71">
        <v>0</v>
      </c>
      <c r="E16" s="72">
        <v>0</v>
      </c>
      <c r="F16" s="72">
        <v>0</v>
      </c>
      <c r="G16" s="71">
        <v>1</v>
      </c>
      <c r="H16" s="71">
        <v>0</v>
      </c>
      <c r="I16" s="72">
        <v>0</v>
      </c>
      <c r="J16" s="72">
        <v>0</v>
      </c>
      <c r="K16" s="85">
        <f t="shared" si="1"/>
        <v>2</v>
      </c>
      <c r="L16" s="85">
        <f t="shared" si="1"/>
        <v>0</v>
      </c>
      <c r="M16" s="85">
        <f t="shared" si="0"/>
        <v>0</v>
      </c>
      <c r="N16" s="85">
        <f t="shared" si="2"/>
        <v>0</v>
      </c>
      <c r="O16" s="85">
        <f t="shared" si="2"/>
        <v>0</v>
      </c>
      <c r="P16" s="85">
        <v>0</v>
      </c>
    </row>
    <row r="17" spans="1:16" x14ac:dyDescent="0.25">
      <c r="A17" s="23">
        <v>14</v>
      </c>
      <c r="B17" s="26" t="s">
        <v>173</v>
      </c>
      <c r="C17" s="71">
        <v>0</v>
      </c>
      <c r="D17" s="71">
        <v>0</v>
      </c>
      <c r="E17" s="72">
        <v>0</v>
      </c>
      <c r="F17" s="72">
        <v>0</v>
      </c>
      <c r="G17" s="71">
        <v>0</v>
      </c>
      <c r="H17" s="71">
        <v>0</v>
      </c>
      <c r="I17" s="72">
        <v>0</v>
      </c>
      <c r="J17" s="72">
        <v>0</v>
      </c>
      <c r="K17" s="85">
        <f>C17+G17</f>
        <v>0</v>
      </c>
      <c r="L17" s="85">
        <f>D17+H17</f>
        <v>0</v>
      </c>
      <c r="M17" s="85">
        <v>0</v>
      </c>
      <c r="N17" s="85">
        <f t="shared" si="2"/>
        <v>0</v>
      </c>
      <c r="O17" s="85">
        <f t="shared" si="2"/>
        <v>0</v>
      </c>
      <c r="P17" s="85">
        <v>0</v>
      </c>
    </row>
    <row r="18" spans="1:16" x14ac:dyDescent="0.25">
      <c r="A18" s="23">
        <v>15</v>
      </c>
      <c r="B18" s="26" t="s">
        <v>149</v>
      </c>
      <c r="C18" s="71">
        <v>1</v>
      </c>
      <c r="D18" s="71">
        <v>0</v>
      </c>
      <c r="E18" s="72">
        <v>0</v>
      </c>
      <c r="F18" s="72">
        <v>0</v>
      </c>
      <c r="G18" s="71">
        <v>0</v>
      </c>
      <c r="H18" s="71">
        <v>0</v>
      </c>
      <c r="I18" s="72">
        <v>0</v>
      </c>
      <c r="J18" s="72">
        <v>0</v>
      </c>
      <c r="K18" s="85">
        <f t="shared" si="1"/>
        <v>1</v>
      </c>
      <c r="L18" s="85">
        <f t="shared" si="1"/>
        <v>0</v>
      </c>
      <c r="M18" s="85">
        <f t="shared" si="0"/>
        <v>0</v>
      </c>
      <c r="N18" s="85">
        <f t="shared" si="2"/>
        <v>0</v>
      </c>
      <c r="O18" s="85">
        <f t="shared" si="2"/>
        <v>0</v>
      </c>
      <c r="P18" s="85">
        <v>0</v>
      </c>
    </row>
    <row r="19" spans="1:16" x14ac:dyDescent="0.25">
      <c r="A19" s="23">
        <v>16</v>
      </c>
      <c r="B19" s="26" t="s">
        <v>150</v>
      </c>
      <c r="C19" s="71">
        <v>0</v>
      </c>
      <c r="D19" s="71">
        <v>0</v>
      </c>
      <c r="E19" s="72">
        <v>0</v>
      </c>
      <c r="F19" s="72">
        <v>0</v>
      </c>
      <c r="G19" s="71">
        <v>0</v>
      </c>
      <c r="H19" s="71">
        <v>0</v>
      </c>
      <c r="I19" s="72">
        <v>0</v>
      </c>
      <c r="J19" s="72">
        <v>0</v>
      </c>
      <c r="K19" s="85">
        <f t="shared" si="1"/>
        <v>0</v>
      </c>
      <c r="L19" s="85">
        <f t="shared" si="1"/>
        <v>0</v>
      </c>
      <c r="M19" s="85">
        <v>0</v>
      </c>
      <c r="N19" s="85">
        <f t="shared" si="2"/>
        <v>0</v>
      </c>
      <c r="O19" s="85">
        <f t="shared" si="2"/>
        <v>0</v>
      </c>
      <c r="P19" s="85">
        <v>0</v>
      </c>
    </row>
    <row r="20" spans="1:16" x14ac:dyDescent="0.25">
      <c r="A20" s="23">
        <v>17</v>
      </c>
      <c r="B20" s="26" t="s">
        <v>151</v>
      </c>
      <c r="C20" s="71">
        <v>1</v>
      </c>
      <c r="D20" s="71">
        <v>0</v>
      </c>
      <c r="E20" s="72">
        <v>0</v>
      </c>
      <c r="F20" s="72">
        <v>0</v>
      </c>
      <c r="G20" s="71">
        <v>0</v>
      </c>
      <c r="H20" s="71">
        <v>0</v>
      </c>
      <c r="I20" s="72">
        <v>0</v>
      </c>
      <c r="J20" s="72">
        <v>0</v>
      </c>
      <c r="K20" s="85">
        <f t="shared" si="1"/>
        <v>1</v>
      </c>
      <c r="L20" s="85">
        <f t="shared" si="1"/>
        <v>0</v>
      </c>
      <c r="M20" s="85">
        <f t="shared" si="0"/>
        <v>0</v>
      </c>
      <c r="N20" s="85">
        <f t="shared" si="2"/>
        <v>0</v>
      </c>
      <c r="O20" s="85">
        <f t="shared" si="2"/>
        <v>0</v>
      </c>
      <c r="P20" s="85">
        <v>0</v>
      </c>
    </row>
    <row r="21" spans="1:16" x14ac:dyDescent="0.25">
      <c r="A21" s="23">
        <v>18</v>
      </c>
      <c r="B21" s="26" t="s">
        <v>152</v>
      </c>
      <c r="C21" s="71">
        <v>0</v>
      </c>
      <c r="D21" s="71">
        <v>0</v>
      </c>
      <c r="E21" s="72">
        <v>0</v>
      </c>
      <c r="F21" s="72">
        <v>0</v>
      </c>
      <c r="G21" s="71">
        <v>0</v>
      </c>
      <c r="H21" s="71">
        <v>0</v>
      </c>
      <c r="I21" s="72">
        <v>0</v>
      </c>
      <c r="J21" s="72">
        <v>0</v>
      </c>
      <c r="K21" s="85">
        <f t="shared" si="1"/>
        <v>0</v>
      </c>
      <c r="L21" s="85">
        <f t="shared" si="1"/>
        <v>0</v>
      </c>
      <c r="M21" s="85">
        <v>0</v>
      </c>
      <c r="N21" s="85">
        <f t="shared" si="2"/>
        <v>0</v>
      </c>
      <c r="O21" s="85">
        <f t="shared" si="2"/>
        <v>0</v>
      </c>
      <c r="P21" s="85">
        <v>0</v>
      </c>
    </row>
    <row r="22" spans="1:16" x14ac:dyDescent="0.25">
      <c r="A22" s="23">
        <v>19</v>
      </c>
      <c r="B22" s="26" t="s">
        <v>153</v>
      </c>
      <c r="C22" s="71">
        <v>5</v>
      </c>
      <c r="D22" s="71">
        <v>0</v>
      </c>
      <c r="E22" s="72">
        <v>0</v>
      </c>
      <c r="F22" s="72">
        <v>0</v>
      </c>
      <c r="G22" s="71">
        <v>0</v>
      </c>
      <c r="H22" s="71">
        <v>0</v>
      </c>
      <c r="I22" s="72">
        <v>0</v>
      </c>
      <c r="J22" s="72">
        <v>0</v>
      </c>
      <c r="K22" s="85">
        <f t="shared" si="1"/>
        <v>5</v>
      </c>
      <c r="L22" s="85">
        <f t="shared" si="1"/>
        <v>0</v>
      </c>
      <c r="M22" s="85">
        <f t="shared" si="0"/>
        <v>0</v>
      </c>
      <c r="N22" s="85">
        <f t="shared" si="2"/>
        <v>0</v>
      </c>
      <c r="O22" s="85">
        <f t="shared" si="2"/>
        <v>0</v>
      </c>
      <c r="P22" s="85">
        <v>0</v>
      </c>
    </row>
    <row r="23" spans="1:16" x14ac:dyDescent="0.25">
      <c r="A23" s="23">
        <v>20</v>
      </c>
      <c r="B23" s="26" t="s">
        <v>154</v>
      </c>
      <c r="C23" s="71">
        <v>0</v>
      </c>
      <c r="D23" s="71">
        <v>0</v>
      </c>
      <c r="E23" s="72">
        <v>0</v>
      </c>
      <c r="F23" s="72">
        <v>0</v>
      </c>
      <c r="G23" s="71">
        <v>0</v>
      </c>
      <c r="H23" s="71">
        <v>0</v>
      </c>
      <c r="I23" s="72">
        <v>0</v>
      </c>
      <c r="J23" s="72">
        <v>0</v>
      </c>
      <c r="K23" s="85">
        <f t="shared" si="1"/>
        <v>0</v>
      </c>
      <c r="L23" s="85">
        <f t="shared" si="1"/>
        <v>0</v>
      </c>
      <c r="M23" s="85">
        <v>0</v>
      </c>
      <c r="N23" s="85">
        <f t="shared" si="2"/>
        <v>0</v>
      </c>
      <c r="O23" s="85">
        <f t="shared" si="2"/>
        <v>0</v>
      </c>
      <c r="P23" s="85">
        <v>0</v>
      </c>
    </row>
    <row r="24" spans="1:16" x14ac:dyDescent="0.25">
      <c r="A24" s="23">
        <v>21</v>
      </c>
      <c r="B24" s="26" t="s">
        <v>155</v>
      </c>
      <c r="C24" s="71">
        <v>1</v>
      </c>
      <c r="D24" s="71">
        <v>0</v>
      </c>
      <c r="E24" s="72">
        <v>0</v>
      </c>
      <c r="F24" s="72">
        <v>0</v>
      </c>
      <c r="G24" s="71">
        <v>0</v>
      </c>
      <c r="H24" s="71">
        <v>0</v>
      </c>
      <c r="I24" s="72">
        <v>0</v>
      </c>
      <c r="J24" s="72">
        <v>0</v>
      </c>
      <c r="K24" s="85">
        <f t="shared" si="1"/>
        <v>1</v>
      </c>
      <c r="L24" s="85">
        <f t="shared" si="1"/>
        <v>0</v>
      </c>
      <c r="M24" s="85">
        <f t="shared" si="0"/>
        <v>0</v>
      </c>
      <c r="N24" s="85">
        <f t="shared" si="2"/>
        <v>0</v>
      </c>
      <c r="O24" s="85">
        <f t="shared" si="2"/>
        <v>0</v>
      </c>
      <c r="P24" s="85">
        <v>0</v>
      </c>
    </row>
    <row r="25" spans="1:16" x14ac:dyDescent="0.25">
      <c r="A25" s="23">
        <v>22</v>
      </c>
      <c r="B25" s="26" t="s">
        <v>277</v>
      </c>
      <c r="C25" s="71">
        <v>0</v>
      </c>
      <c r="D25" s="71">
        <v>0</v>
      </c>
      <c r="E25" s="72">
        <v>0</v>
      </c>
      <c r="F25" s="72">
        <v>0</v>
      </c>
      <c r="G25" s="71">
        <v>0</v>
      </c>
      <c r="H25" s="71">
        <v>0</v>
      </c>
      <c r="I25" s="72">
        <v>0</v>
      </c>
      <c r="J25" s="72">
        <v>0</v>
      </c>
      <c r="K25" s="85">
        <f t="shared" si="1"/>
        <v>0</v>
      </c>
      <c r="L25" s="85">
        <f t="shared" si="1"/>
        <v>0</v>
      </c>
      <c r="M25" s="85">
        <v>0</v>
      </c>
      <c r="N25" s="85">
        <f t="shared" si="2"/>
        <v>0</v>
      </c>
      <c r="O25" s="85">
        <f t="shared" si="2"/>
        <v>0</v>
      </c>
      <c r="P25" s="85">
        <v>0</v>
      </c>
    </row>
    <row r="26" spans="1:16" x14ac:dyDescent="0.25">
      <c r="A26" s="23">
        <v>23</v>
      </c>
      <c r="B26" s="26" t="s">
        <v>156</v>
      </c>
      <c r="C26" s="71">
        <v>0</v>
      </c>
      <c r="D26" s="71">
        <v>0</v>
      </c>
      <c r="E26" s="72">
        <v>0</v>
      </c>
      <c r="F26" s="72">
        <v>0</v>
      </c>
      <c r="G26" s="71">
        <v>0</v>
      </c>
      <c r="H26" s="71">
        <v>0</v>
      </c>
      <c r="I26" s="72">
        <v>0</v>
      </c>
      <c r="J26" s="72">
        <v>0</v>
      </c>
      <c r="K26" s="85">
        <f t="shared" si="1"/>
        <v>0</v>
      </c>
      <c r="L26" s="85">
        <f t="shared" si="1"/>
        <v>0</v>
      </c>
      <c r="M26" s="85">
        <v>0</v>
      </c>
      <c r="N26" s="85">
        <f t="shared" si="2"/>
        <v>0</v>
      </c>
      <c r="O26" s="85">
        <f t="shared" si="2"/>
        <v>0</v>
      </c>
      <c r="P26" s="85">
        <v>0</v>
      </c>
    </row>
    <row r="27" spans="1:16" x14ac:dyDescent="0.25">
      <c r="A27" s="23">
        <v>24</v>
      </c>
      <c r="B27" s="26" t="s">
        <v>157</v>
      </c>
      <c r="C27" s="71">
        <v>1</v>
      </c>
      <c r="D27" s="71">
        <v>0</v>
      </c>
      <c r="E27" s="72">
        <v>0</v>
      </c>
      <c r="F27" s="72">
        <v>0</v>
      </c>
      <c r="G27" s="71">
        <v>0</v>
      </c>
      <c r="H27" s="71">
        <v>0</v>
      </c>
      <c r="I27" s="72">
        <v>0</v>
      </c>
      <c r="J27" s="72">
        <v>0</v>
      </c>
      <c r="K27" s="85">
        <f t="shared" si="1"/>
        <v>1</v>
      </c>
      <c r="L27" s="85">
        <f t="shared" si="1"/>
        <v>0</v>
      </c>
      <c r="M27" s="85">
        <f t="shared" si="0"/>
        <v>0</v>
      </c>
      <c r="N27" s="85">
        <f t="shared" si="2"/>
        <v>0</v>
      </c>
      <c r="O27" s="85">
        <f t="shared" si="2"/>
        <v>0</v>
      </c>
      <c r="P27" s="85">
        <v>0</v>
      </c>
    </row>
    <row r="28" spans="1:16" x14ac:dyDescent="0.25">
      <c r="A28" s="23">
        <v>25</v>
      </c>
      <c r="B28" s="26" t="s">
        <v>159</v>
      </c>
      <c r="C28" s="71">
        <v>1</v>
      </c>
      <c r="D28" s="71">
        <v>0</v>
      </c>
      <c r="E28" s="72">
        <v>0</v>
      </c>
      <c r="F28" s="72">
        <v>0</v>
      </c>
      <c r="G28" s="71">
        <v>0</v>
      </c>
      <c r="H28" s="71">
        <v>0</v>
      </c>
      <c r="I28" s="72">
        <v>0</v>
      </c>
      <c r="J28" s="72">
        <v>0</v>
      </c>
      <c r="K28" s="85">
        <f t="shared" si="1"/>
        <v>1</v>
      </c>
      <c r="L28" s="85">
        <f t="shared" si="1"/>
        <v>0</v>
      </c>
      <c r="M28" s="85">
        <f t="shared" si="0"/>
        <v>0</v>
      </c>
      <c r="N28" s="85">
        <f t="shared" si="2"/>
        <v>0</v>
      </c>
      <c r="O28" s="85">
        <f t="shared" si="2"/>
        <v>0</v>
      </c>
      <c r="P28" s="85">
        <v>0</v>
      </c>
    </row>
    <row r="29" spans="1:16" x14ac:dyDescent="0.25">
      <c r="A29" s="23">
        <v>26</v>
      </c>
      <c r="B29" s="26" t="s">
        <v>160</v>
      </c>
      <c r="C29" s="71">
        <v>0</v>
      </c>
      <c r="D29" s="71">
        <v>0</v>
      </c>
      <c r="E29" s="72">
        <v>0</v>
      </c>
      <c r="F29" s="72">
        <v>0</v>
      </c>
      <c r="G29" s="71">
        <v>0</v>
      </c>
      <c r="H29" s="71">
        <v>0</v>
      </c>
      <c r="I29" s="72">
        <v>0</v>
      </c>
      <c r="J29" s="72">
        <v>0</v>
      </c>
      <c r="K29" s="85">
        <f t="shared" si="1"/>
        <v>0</v>
      </c>
      <c r="L29" s="85">
        <f t="shared" si="1"/>
        <v>0</v>
      </c>
      <c r="M29" s="85">
        <v>0</v>
      </c>
      <c r="N29" s="85">
        <f t="shared" si="2"/>
        <v>0</v>
      </c>
      <c r="O29" s="85">
        <f t="shared" si="2"/>
        <v>0</v>
      </c>
      <c r="P29" s="85">
        <v>0</v>
      </c>
    </row>
    <row r="30" spans="1:16" x14ac:dyDescent="0.25">
      <c r="A30" s="23">
        <v>27</v>
      </c>
      <c r="B30" s="26" t="s">
        <v>158</v>
      </c>
      <c r="C30" s="71">
        <v>3</v>
      </c>
      <c r="D30" s="71">
        <v>1</v>
      </c>
      <c r="E30" s="72">
        <v>1</v>
      </c>
      <c r="F30" s="72">
        <v>0</v>
      </c>
      <c r="G30" s="71">
        <v>0</v>
      </c>
      <c r="H30" s="71">
        <v>0</v>
      </c>
      <c r="I30" s="72">
        <v>0</v>
      </c>
      <c r="J30" s="72">
        <v>0</v>
      </c>
      <c r="K30" s="85">
        <f t="shared" si="1"/>
        <v>3</v>
      </c>
      <c r="L30" s="85">
        <f t="shared" si="1"/>
        <v>1</v>
      </c>
      <c r="M30" s="85">
        <f t="shared" si="0"/>
        <v>0.33333333333333331</v>
      </c>
      <c r="N30" s="85">
        <f t="shared" si="2"/>
        <v>1</v>
      </c>
      <c r="O30" s="85">
        <f t="shared" si="2"/>
        <v>0</v>
      </c>
      <c r="P30" s="85">
        <f t="shared" si="3"/>
        <v>0</v>
      </c>
    </row>
    <row r="31" spans="1:16" x14ac:dyDescent="0.25">
      <c r="A31" s="23">
        <v>28</v>
      </c>
      <c r="B31" s="26" t="s">
        <v>161</v>
      </c>
      <c r="C31" s="71">
        <v>0</v>
      </c>
      <c r="D31" s="71">
        <v>0</v>
      </c>
      <c r="E31" s="72">
        <v>0</v>
      </c>
      <c r="F31" s="72">
        <v>0</v>
      </c>
      <c r="G31" s="71">
        <v>0</v>
      </c>
      <c r="H31" s="71">
        <v>0</v>
      </c>
      <c r="I31" s="72">
        <v>0</v>
      </c>
      <c r="J31" s="72">
        <v>0</v>
      </c>
      <c r="K31" s="85">
        <f t="shared" si="1"/>
        <v>0</v>
      </c>
      <c r="L31" s="85">
        <f t="shared" si="1"/>
        <v>0</v>
      </c>
      <c r="M31" s="85">
        <v>0</v>
      </c>
      <c r="N31" s="85">
        <f t="shared" si="2"/>
        <v>0</v>
      </c>
      <c r="O31" s="85">
        <f t="shared" si="2"/>
        <v>0</v>
      </c>
      <c r="P31" s="85">
        <v>0</v>
      </c>
    </row>
    <row r="32" spans="1:16" x14ac:dyDescent="0.25">
      <c r="A32" s="23">
        <v>29</v>
      </c>
      <c r="B32" s="26" t="s">
        <v>162</v>
      </c>
      <c r="C32" s="71">
        <v>1</v>
      </c>
      <c r="D32" s="71">
        <v>1</v>
      </c>
      <c r="E32" s="72">
        <v>1</v>
      </c>
      <c r="F32" s="72">
        <v>1</v>
      </c>
      <c r="G32" s="71">
        <v>2</v>
      </c>
      <c r="H32" s="71">
        <v>2</v>
      </c>
      <c r="I32" s="72">
        <v>1</v>
      </c>
      <c r="J32" s="72">
        <v>0</v>
      </c>
      <c r="K32" s="85">
        <f t="shared" si="1"/>
        <v>3</v>
      </c>
      <c r="L32" s="85">
        <f t="shared" si="1"/>
        <v>3</v>
      </c>
      <c r="M32" s="85">
        <f t="shared" si="0"/>
        <v>1</v>
      </c>
      <c r="N32" s="85">
        <f t="shared" si="2"/>
        <v>2</v>
      </c>
      <c r="O32" s="85">
        <f t="shared" si="2"/>
        <v>1</v>
      </c>
      <c r="P32" s="85">
        <f t="shared" si="3"/>
        <v>0.5</v>
      </c>
    </row>
    <row r="33" spans="1:16" x14ac:dyDescent="0.25">
      <c r="A33" s="23">
        <v>30</v>
      </c>
      <c r="B33" s="26" t="s">
        <v>163</v>
      </c>
      <c r="C33" s="71">
        <v>1</v>
      </c>
      <c r="D33" s="71">
        <v>0</v>
      </c>
      <c r="E33" s="72">
        <v>0</v>
      </c>
      <c r="F33" s="72">
        <v>0</v>
      </c>
      <c r="G33" s="71">
        <v>0</v>
      </c>
      <c r="H33" s="71">
        <v>0</v>
      </c>
      <c r="I33" s="72">
        <v>0</v>
      </c>
      <c r="J33" s="72">
        <v>0</v>
      </c>
      <c r="K33" s="85">
        <f t="shared" si="1"/>
        <v>1</v>
      </c>
      <c r="L33" s="85">
        <f t="shared" si="1"/>
        <v>0</v>
      </c>
      <c r="M33" s="85">
        <f t="shared" si="0"/>
        <v>0</v>
      </c>
      <c r="N33" s="85">
        <f t="shared" si="2"/>
        <v>0</v>
      </c>
      <c r="O33" s="85">
        <f t="shared" si="2"/>
        <v>0</v>
      </c>
      <c r="P33" s="85">
        <v>0</v>
      </c>
    </row>
    <row r="34" spans="1:16" x14ac:dyDescent="0.25">
      <c r="A34" s="23">
        <v>31</v>
      </c>
      <c r="B34" s="26" t="s">
        <v>164</v>
      </c>
      <c r="C34" s="71">
        <v>0</v>
      </c>
      <c r="D34" s="71">
        <v>0</v>
      </c>
      <c r="E34" s="72">
        <v>0</v>
      </c>
      <c r="F34" s="72">
        <v>0</v>
      </c>
      <c r="G34" s="71">
        <v>0</v>
      </c>
      <c r="H34" s="71">
        <v>0</v>
      </c>
      <c r="I34" s="72">
        <v>0</v>
      </c>
      <c r="J34" s="72">
        <v>0</v>
      </c>
      <c r="K34" s="85">
        <f t="shared" si="1"/>
        <v>0</v>
      </c>
      <c r="L34" s="85">
        <f t="shared" si="1"/>
        <v>0</v>
      </c>
      <c r="M34" s="85">
        <v>0</v>
      </c>
      <c r="N34" s="85">
        <f t="shared" si="2"/>
        <v>0</v>
      </c>
      <c r="O34" s="85">
        <f t="shared" si="2"/>
        <v>0</v>
      </c>
      <c r="P34" s="85">
        <v>0</v>
      </c>
    </row>
    <row r="35" spans="1:16" x14ac:dyDescent="0.25">
      <c r="A35" s="23">
        <v>32</v>
      </c>
      <c r="B35" s="26" t="s">
        <v>165</v>
      </c>
      <c r="C35" s="71">
        <v>0</v>
      </c>
      <c r="D35" s="71">
        <v>0</v>
      </c>
      <c r="E35" s="72">
        <v>0</v>
      </c>
      <c r="F35" s="72">
        <v>0</v>
      </c>
      <c r="G35" s="71">
        <v>0</v>
      </c>
      <c r="H35" s="71">
        <v>0</v>
      </c>
      <c r="I35" s="72">
        <v>0</v>
      </c>
      <c r="J35" s="72">
        <v>0</v>
      </c>
      <c r="K35" s="85">
        <f t="shared" si="1"/>
        <v>0</v>
      </c>
      <c r="L35" s="85">
        <f t="shared" si="1"/>
        <v>0</v>
      </c>
      <c r="M35" s="85">
        <v>0</v>
      </c>
      <c r="N35" s="85">
        <f t="shared" si="2"/>
        <v>0</v>
      </c>
      <c r="O35" s="85">
        <f t="shared" si="2"/>
        <v>0</v>
      </c>
      <c r="P35" s="85">
        <v>0</v>
      </c>
    </row>
    <row r="36" spans="1:16" x14ac:dyDescent="0.25">
      <c r="A36" s="23">
        <v>33</v>
      </c>
      <c r="B36" s="26" t="s">
        <v>166</v>
      </c>
      <c r="C36" s="71">
        <v>0</v>
      </c>
      <c r="D36" s="71">
        <v>0</v>
      </c>
      <c r="E36" s="72">
        <v>0</v>
      </c>
      <c r="F36" s="72">
        <v>0</v>
      </c>
      <c r="G36" s="71">
        <v>0</v>
      </c>
      <c r="H36" s="71">
        <v>0</v>
      </c>
      <c r="I36" s="72">
        <v>0</v>
      </c>
      <c r="J36" s="72">
        <v>0</v>
      </c>
      <c r="K36" s="85">
        <f t="shared" si="1"/>
        <v>0</v>
      </c>
      <c r="L36" s="85">
        <f t="shared" si="1"/>
        <v>0</v>
      </c>
      <c r="M36" s="85">
        <v>0</v>
      </c>
      <c r="N36" s="85">
        <f t="shared" si="2"/>
        <v>0</v>
      </c>
      <c r="O36" s="85">
        <f t="shared" si="2"/>
        <v>0</v>
      </c>
      <c r="P36" s="85">
        <v>0</v>
      </c>
    </row>
    <row r="37" spans="1:16" x14ac:dyDescent="0.25">
      <c r="A37" s="23">
        <v>34</v>
      </c>
      <c r="B37" s="26" t="s">
        <v>167</v>
      </c>
      <c r="C37" s="71">
        <v>0</v>
      </c>
      <c r="D37" s="71">
        <v>0</v>
      </c>
      <c r="E37" s="72">
        <v>0</v>
      </c>
      <c r="F37" s="72">
        <v>0</v>
      </c>
      <c r="G37" s="71">
        <v>1</v>
      </c>
      <c r="H37" s="71">
        <v>1</v>
      </c>
      <c r="I37" s="72">
        <v>1</v>
      </c>
      <c r="J37" s="72">
        <v>1</v>
      </c>
      <c r="K37" s="85">
        <f t="shared" si="1"/>
        <v>1</v>
      </c>
      <c r="L37" s="85">
        <f t="shared" si="1"/>
        <v>1</v>
      </c>
      <c r="M37" s="85">
        <f t="shared" si="0"/>
        <v>1</v>
      </c>
      <c r="N37" s="85">
        <f t="shared" si="2"/>
        <v>1</v>
      </c>
      <c r="O37" s="85">
        <f t="shared" si="2"/>
        <v>1</v>
      </c>
      <c r="P37" s="85">
        <f t="shared" si="3"/>
        <v>1</v>
      </c>
    </row>
    <row r="38" spans="1:16" x14ac:dyDescent="0.25">
      <c r="A38" s="23">
        <v>35</v>
      </c>
      <c r="B38" s="26" t="s">
        <v>168</v>
      </c>
      <c r="C38" s="71">
        <v>1</v>
      </c>
      <c r="D38" s="71">
        <v>0</v>
      </c>
      <c r="E38" s="72">
        <v>0</v>
      </c>
      <c r="F38" s="72">
        <v>0</v>
      </c>
      <c r="G38" s="71">
        <v>0</v>
      </c>
      <c r="H38" s="71">
        <v>0</v>
      </c>
      <c r="I38" s="72">
        <v>0</v>
      </c>
      <c r="J38" s="72">
        <v>0</v>
      </c>
      <c r="K38" s="85">
        <f t="shared" si="1"/>
        <v>1</v>
      </c>
      <c r="L38" s="85">
        <f t="shared" si="1"/>
        <v>0</v>
      </c>
      <c r="M38" s="85">
        <f t="shared" si="0"/>
        <v>0</v>
      </c>
      <c r="N38" s="85">
        <f t="shared" si="2"/>
        <v>0</v>
      </c>
      <c r="O38" s="85">
        <f t="shared" si="2"/>
        <v>0</v>
      </c>
      <c r="P38" s="85">
        <v>0</v>
      </c>
    </row>
    <row r="39" spans="1:16" s="30" customFormat="1" x14ac:dyDescent="0.25">
      <c r="A39" s="23">
        <v>36</v>
      </c>
      <c r="B39" s="26" t="s">
        <v>169</v>
      </c>
      <c r="C39" s="71">
        <v>0</v>
      </c>
      <c r="D39" s="71">
        <v>0</v>
      </c>
      <c r="E39" s="72">
        <v>0</v>
      </c>
      <c r="F39" s="72">
        <v>0</v>
      </c>
      <c r="G39" s="71">
        <v>1</v>
      </c>
      <c r="H39" s="71">
        <v>0</v>
      </c>
      <c r="I39" s="72">
        <v>0</v>
      </c>
      <c r="J39" s="72">
        <v>0</v>
      </c>
      <c r="K39" s="85">
        <f t="shared" si="1"/>
        <v>1</v>
      </c>
      <c r="L39" s="85">
        <f t="shared" si="1"/>
        <v>0</v>
      </c>
      <c r="M39" s="85">
        <f t="shared" si="0"/>
        <v>0</v>
      </c>
      <c r="N39" s="85">
        <f>E39+I39</f>
        <v>0</v>
      </c>
      <c r="O39" s="85">
        <f t="shared" si="2"/>
        <v>0</v>
      </c>
      <c r="P39" s="85">
        <v>0</v>
      </c>
    </row>
    <row r="40" spans="1:16" x14ac:dyDescent="0.25">
      <c r="A40" s="23">
        <v>37</v>
      </c>
      <c r="B40" s="26" t="s">
        <v>170</v>
      </c>
      <c r="C40" s="71">
        <v>3</v>
      </c>
      <c r="D40" s="71">
        <v>1</v>
      </c>
      <c r="E40" s="72">
        <v>1</v>
      </c>
      <c r="F40" s="72">
        <v>1</v>
      </c>
      <c r="G40" s="71">
        <v>6</v>
      </c>
      <c r="H40" s="71">
        <v>3</v>
      </c>
      <c r="I40" s="72">
        <v>0</v>
      </c>
      <c r="J40" s="72">
        <v>0</v>
      </c>
      <c r="K40" s="85">
        <f t="shared" si="1"/>
        <v>9</v>
      </c>
      <c r="L40" s="85">
        <f t="shared" si="1"/>
        <v>4</v>
      </c>
      <c r="M40" s="85">
        <f t="shared" si="0"/>
        <v>0.44444444444444442</v>
      </c>
      <c r="N40" s="85">
        <f t="shared" si="2"/>
        <v>1</v>
      </c>
      <c r="O40" s="85">
        <f t="shared" si="2"/>
        <v>1</v>
      </c>
      <c r="P40" s="85">
        <f t="shared" si="3"/>
        <v>1</v>
      </c>
    </row>
    <row r="41" spans="1:16" x14ac:dyDescent="0.25">
      <c r="A41" s="23">
        <v>38</v>
      </c>
      <c r="B41" s="26" t="s">
        <v>171</v>
      </c>
      <c r="C41" s="71">
        <v>0</v>
      </c>
      <c r="D41" s="71">
        <v>0</v>
      </c>
      <c r="E41" s="72">
        <v>0</v>
      </c>
      <c r="F41" s="72">
        <v>0</v>
      </c>
      <c r="G41" s="71">
        <v>1</v>
      </c>
      <c r="H41" s="71">
        <v>1</v>
      </c>
      <c r="I41" s="72">
        <v>0</v>
      </c>
      <c r="J41" s="72">
        <v>0</v>
      </c>
      <c r="K41" s="85">
        <f>C41+G41</f>
        <v>1</v>
      </c>
      <c r="L41" s="85">
        <f>D41+H41</f>
        <v>1</v>
      </c>
      <c r="M41" s="85">
        <f t="shared" si="0"/>
        <v>1</v>
      </c>
      <c r="N41" s="85">
        <f t="shared" si="2"/>
        <v>0</v>
      </c>
      <c r="O41" s="85">
        <f t="shared" si="2"/>
        <v>0</v>
      </c>
      <c r="P41" s="85">
        <v>0</v>
      </c>
    </row>
    <row r="42" spans="1:16" x14ac:dyDescent="0.25">
      <c r="A42" s="654" t="s">
        <v>118</v>
      </c>
      <c r="B42" s="655"/>
      <c r="C42" s="455">
        <f>SUM(C4:C41)</f>
        <v>34</v>
      </c>
      <c r="D42" s="455">
        <f t="shared" ref="D42:O42" si="4">SUM(D4:D41)</f>
        <v>9</v>
      </c>
      <c r="E42" s="455">
        <f t="shared" si="4"/>
        <v>7</v>
      </c>
      <c r="F42" s="455">
        <f t="shared" si="4"/>
        <v>3</v>
      </c>
      <c r="G42" s="455">
        <f t="shared" si="4"/>
        <v>16</v>
      </c>
      <c r="H42" s="455">
        <f t="shared" si="4"/>
        <v>10</v>
      </c>
      <c r="I42" s="455">
        <f t="shared" si="4"/>
        <v>2</v>
      </c>
      <c r="J42" s="455">
        <f t="shared" si="4"/>
        <v>1</v>
      </c>
      <c r="K42" s="455">
        <f t="shared" si="4"/>
        <v>50</v>
      </c>
      <c r="L42" s="455">
        <f t="shared" si="4"/>
        <v>19</v>
      </c>
      <c r="M42" s="73">
        <f>AVERAGE(M4:M41)</f>
        <v>0.19371345029239767</v>
      </c>
      <c r="N42" s="455">
        <f t="shared" si="4"/>
        <v>9</v>
      </c>
      <c r="O42" s="455">
        <f t="shared" si="4"/>
        <v>4</v>
      </c>
      <c r="P42" s="73">
        <f>AVERAGE(P4:P41)</f>
        <v>9.2105263157894732E-2</v>
      </c>
    </row>
    <row r="46" spans="1:16" x14ac:dyDescent="0.25">
      <c r="N46">
        <v>2</v>
      </c>
    </row>
  </sheetData>
  <sheetProtection algorithmName="SHA-512" hashValue="ZRu4i3cs8zrlx8SL1zDvjxaDvkVoR9MGosNnQzLzekGFyciu3zuIpk3hTJD3MvadrW+uxUJqKSg+27H5D9q0+Q==" saltValue="mHNK2Bx1EntHcUV0Box6Zw==" spinCount="100000" sheet="1" objects="1" selectLockedCells="1" selectUnlockedCells="1"/>
  <mergeCells count="12">
    <mergeCell ref="A42:B42"/>
    <mergeCell ref="C1:F1"/>
    <mergeCell ref="G1:J1"/>
    <mergeCell ref="C2:D2"/>
    <mergeCell ref="E2:F2"/>
    <mergeCell ref="G2:H2"/>
    <mergeCell ref="I2:J2"/>
    <mergeCell ref="K1:P1"/>
    <mergeCell ref="K2:M2"/>
    <mergeCell ref="N2:P2"/>
    <mergeCell ref="A1:A3"/>
    <mergeCell ref="B1:B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H51"/>
  <sheetViews>
    <sheetView topLeftCell="A4" zoomScale="60" zoomScaleNormal="60" workbookViewId="0">
      <pane xSplit="2" ySplit="1" topLeftCell="F5" activePane="bottomRight" state="frozen"/>
      <selection activeCell="B38" sqref="B38"/>
      <selection pane="topRight" activeCell="B38" sqref="B38"/>
      <selection pane="bottomLeft" activeCell="B38" sqref="B38"/>
      <selection pane="bottomRight" activeCell="P42" sqref="P42"/>
    </sheetView>
  </sheetViews>
  <sheetFormatPr defaultColWidth="8.85546875" defaultRowHeight="15" x14ac:dyDescent="0.25"/>
  <cols>
    <col min="1" max="1" width="8.5703125" style="16" customWidth="1"/>
    <col min="2" max="2" width="38.42578125" style="16" customWidth="1"/>
    <col min="3" max="3" width="15.5703125" style="16" customWidth="1"/>
    <col min="4" max="4" width="14.85546875" style="16" customWidth="1"/>
    <col min="5" max="5" width="13.42578125" style="16" customWidth="1"/>
    <col min="6" max="6" width="14" style="16" customWidth="1"/>
    <col min="7" max="7" width="13.5703125" style="16" customWidth="1"/>
    <col min="8" max="8" width="14.28515625" style="16" customWidth="1"/>
    <col min="9" max="13" width="14.5703125" style="16" customWidth="1"/>
    <col min="14" max="16" width="18.5703125" style="16" customWidth="1"/>
    <col min="17" max="17" width="12.28515625" style="16" customWidth="1"/>
    <col min="18" max="18" width="13" style="16" customWidth="1"/>
    <col min="19" max="19" width="12.42578125" style="53" customWidth="1"/>
    <col min="20" max="23" width="12.42578125" style="16" customWidth="1"/>
    <col min="24" max="24" width="22.85546875" style="16" customWidth="1"/>
    <col min="25" max="25" width="12.42578125" style="57" customWidth="1"/>
    <col min="26" max="26" width="10.5703125" style="57" customWidth="1"/>
    <col min="27" max="27" width="10.28515625" style="57" customWidth="1"/>
    <col min="28" max="28" width="8.28515625" style="57" customWidth="1"/>
    <col min="29" max="16384" width="8.85546875" style="16"/>
  </cols>
  <sheetData>
    <row r="1" spans="1:29" ht="15" customHeight="1" x14ac:dyDescent="0.25">
      <c r="A1" s="707" t="s">
        <v>33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</row>
    <row r="2" spans="1:29" ht="15" customHeight="1" x14ac:dyDescent="0.25">
      <c r="A2" s="708" t="s">
        <v>34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08"/>
      <c r="AA2" s="708"/>
      <c r="AB2" s="708"/>
    </row>
    <row r="3" spans="1:29" ht="16.5" thickBot="1" x14ac:dyDescent="0.3">
      <c r="A3" s="709" t="s">
        <v>35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09"/>
      <c r="AA3" s="709"/>
      <c r="AB3" s="709"/>
    </row>
    <row r="4" spans="1:29" ht="69.75" customHeight="1" x14ac:dyDescent="0.25">
      <c r="A4" s="629" t="s">
        <v>3</v>
      </c>
      <c r="B4" s="710" t="s">
        <v>4</v>
      </c>
      <c r="C4" s="713" t="s">
        <v>36</v>
      </c>
      <c r="D4" s="703"/>
      <c r="E4" s="704"/>
      <c r="F4" s="702" t="s">
        <v>98</v>
      </c>
      <c r="G4" s="703"/>
      <c r="H4" s="703"/>
      <c r="I4" s="704"/>
      <c r="J4" s="702" t="s">
        <v>249</v>
      </c>
      <c r="K4" s="703"/>
      <c r="L4" s="703"/>
      <c r="M4" s="704"/>
      <c r="N4" s="702" t="s">
        <v>250</v>
      </c>
      <c r="O4" s="703"/>
      <c r="P4" s="714" t="s">
        <v>251</v>
      </c>
      <c r="Q4" s="705" t="s">
        <v>252</v>
      </c>
      <c r="R4" s="706"/>
      <c r="S4" s="54" t="s">
        <v>17</v>
      </c>
      <c r="T4" s="702" t="s">
        <v>97</v>
      </c>
      <c r="U4" s="703"/>
      <c r="V4" s="704"/>
      <c r="W4" s="705" t="s">
        <v>253</v>
      </c>
      <c r="X4" s="706"/>
      <c r="Y4" s="58" t="s">
        <v>18</v>
      </c>
      <c r="Z4" s="59" t="s">
        <v>19</v>
      </c>
      <c r="AA4" s="59" t="s">
        <v>100</v>
      </c>
      <c r="AB4" s="60" t="s">
        <v>101</v>
      </c>
    </row>
    <row r="5" spans="1:29" x14ac:dyDescent="0.25">
      <c r="A5" s="630"/>
      <c r="B5" s="711"/>
      <c r="C5" s="42" t="s">
        <v>37</v>
      </c>
      <c r="D5" s="42" t="s">
        <v>38</v>
      </c>
      <c r="E5" s="42" t="s">
        <v>39</v>
      </c>
      <c r="F5" s="42" t="s">
        <v>43</v>
      </c>
      <c r="G5" s="42" t="s">
        <v>44</v>
      </c>
      <c r="H5" s="42" t="s">
        <v>45</v>
      </c>
      <c r="I5" s="42" t="s">
        <v>46</v>
      </c>
      <c r="J5" s="42" t="s">
        <v>47</v>
      </c>
      <c r="K5" s="42" t="s">
        <v>48</v>
      </c>
      <c r="L5" s="42" t="s">
        <v>247</v>
      </c>
      <c r="M5" s="42" t="s">
        <v>248</v>
      </c>
      <c r="N5" s="42" t="s">
        <v>49</v>
      </c>
      <c r="O5" s="42" t="s">
        <v>50</v>
      </c>
      <c r="P5" s="715"/>
      <c r="Q5" s="42" t="s">
        <v>256</v>
      </c>
      <c r="R5" s="42" t="s">
        <v>257</v>
      </c>
      <c r="S5" s="54" t="s">
        <v>93</v>
      </c>
      <c r="T5" s="42" t="s">
        <v>40</v>
      </c>
      <c r="U5" s="42" t="s">
        <v>41</v>
      </c>
      <c r="V5" s="42" t="s">
        <v>42</v>
      </c>
      <c r="W5" s="42" t="s">
        <v>254</v>
      </c>
      <c r="X5" s="42" t="s">
        <v>255</v>
      </c>
      <c r="Y5" s="58" t="s">
        <v>93</v>
      </c>
      <c r="Z5" s="61"/>
      <c r="AA5" s="61"/>
      <c r="AB5" s="62"/>
    </row>
    <row r="6" spans="1:29" ht="50.25" customHeight="1" x14ac:dyDescent="0.25">
      <c r="A6" s="631"/>
      <c r="B6" s="712"/>
      <c r="C6" s="42" t="s">
        <v>10</v>
      </c>
      <c r="D6" s="42" t="s">
        <v>11</v>
      </c>
      <c r="E6" s="42" t="s">
        <v>12</v>
      </c>
      <c r="F6" s="42" t="s">
        <v>51</v>
      </c>
      <c r="G6" s="42" t="s">
        <v>99</v>
      </c>
      <c r="H6" s="42" t="s">
        <v>52</v>
      </c>
      <c r="I6" s="42" t="s">
        <v>53</v>
      </c>
      <c r="J6" s="42" t="s">
        <v>51</v>
      </c>
      <c r="K6" s="42" t="s">
        <v>99</v>
      </c>
      <c r="L6" s="42" t="s">
        <v>52</v>
      </c>
      <c r="M6" s="42" t="s">
        <v>53</v>
      </c>
      <c r="N6" s="42" t="s">
        <v>51</v>
      </c>
      <c r="O6" s="42" t="s">
        <v>99</v>
      </c>
      <c r="P6" s="716"/>
      <c r="Q6" s="42" t="s">
        <v>11</v>
      </c>
      <c r="R6" s="42" t="s">
        <v>12</v>
      </c>
      <c r="S6" s="55" t="s">
        <v>26</v>
      </c>
      <c r="T6" s="42" t="s">
        <v>10</v>
      </c>
      <c r="U6" s="42" t="s">
        <v>11</v>
      </c>
      <c r="V6" s="42" t="s">
        <v>12</v>
      </c>
      <c r="W6" s="42" t="s">
        <v>11</v>
      </c>
      <c r="X6" s="42" t="s">
        <v>12</v>
      </c>
      <c r="Y6" s="59" t="s">
        <v>27</v>
      </c>
      <c r="Z6" s="62"/>
      <c r="AA6" s="62"/>
      <c r="AB6" s="61" t="s">
        <v>102</v>
      </c>
    </row>
    <row r="7" spans="1:29" ht="22.5" customHeight="1" x14ac:dyDescent="0.25">
      <c r="A7" s="23">
        <v>1</v>
      </c>
      <c r="B7" s="26" t="s">
        <v>139</v>
      </c>
      <c r="C7" s="91">
        <f>'2.1.1. УУД "4+5"'!E4</f>
        <v>0.42528735632183906</v>
      </c>
      <c r="D7" s="91">
        <f>'2.1.1. УУД "4+5"'!H4</f>
        <v>0.27906976744186046</v>
      </c>
      <c r="E7" s="91">
        <f>'2.1.1. УУД "4+5"'!K4</f>
        <v>0.39285714285714285</v>
      </c>
      <c r="F7" s="90">
        <f>'2.1.3. ВсОШ'!GO5</f>
        <v>5.8823529411764705E-2</v>
      </c>
      <c r="G7" s="90">
        <f>'2.1.3. ВсОШ'!GR5</f>
        <v>0</v>
      </c>
      <c r="H7" s="90">
        <f>'2.1.3. ВсОШ'!GU5</f>
        <v>0</v>
      </c>
      <c r="I7" s="90">
        <f>'2.1.3. ВсОШ'!GX5</f>
        <v>0</v>
      </c>
      <c r="J7" s="91">
        <f>'2.1.4. Конкурсы'!CA4</f>
        <v>0.83333333333333337</v>
      </c>
      <c r="K7" s="91">
        <f>'2.1.4. Конкурсы'!CD4</f>
        <v>0.66666666666666663</v>
      </c>
      <c r="L7" s="91">
        <f>'2.1.4. Конкурсы'!CG4</f>
        <v>0</v>
      </c>
      <c r="M7" s="39"/>
      <c r="N7" s="374">
        <f>'2.1.5. МАН'!M4</f>
        <v>0</v>
      </c>
      <c r="O7" s="374">
        <f>'2.1.5. МАН'!P4</f>
        <v>0</v>
      </c>
      <c r="P7" s="340">
        <f>'2.1.6. Спорт'!BS7</f>
        <v>0</v>
      </c>
      <c r="Q7" s="381">
        <v>2.5999999999999999E-2</v>
      </c>
      <c r="R7" s="39">
        <v>0</v>
      </c>
      <c r="S7" s="56">
        <f>SUM(C7:R7)</f>
        <v>2.6820377960326067</v>
      </c>
      <c r="T7" s="90">
        <f>'2.1.2. УУД "2" '!E4</f>
        <v>0</v>
      </c>
      <c r="U7" s="90">
        <f>'2.1.2. УУД "2" '!H4</f>
        <v>0</v>
      </c>
      <c r="V7" s="90">
        <f>'2.1.2. УУД "2" '!K4</f>
        <v>0</v>
      </c>
      <c r="W7" s="39">
        <v>0</v>
      </c>
      <c r="X7" s="39">
        <v>0</v>
      </c>
      <c r="Y7" s="63">
        <f>SUM(T7:X7)</f>
        <v>0</v>
      </c>
      <c r="Z7" s="63">
        <f>S7-Y7</f>
        <v>2.6820377960326067</v>
      </c>
      <c r="AA7" s="63">
        <f>AVERAGE(T7:X7,C7:R7)</f>
        <v>0.13410188980163035</v>
      </c>
      <c r="AB7" s="63">
        <f>Z7*2</f>
        <v>5.3640755920652134</v>
      </c>
      <c r="AC7" s="507"/>
    </row>
    <row r="8" spans="1:29" x14ac:dyDescent="0.25">
      <c r="A8" s="23">
        <v>2</v>
      </c>
      <c r="B8" s="26" t="s">
        <v>140</v>
      </c>
      <c r="C8" s="91">
        <f>'2.1.1. УУД "4+5"'!E5</f>
        <v>0.69199999999999995</v>
      </c>
      <c r="D8" s="91">
        <f>'2.1.1. УУД "4+5"'!H5</f>
        <v>0.42699999999999999</v>
      </c>
      <c r="E8" s="91">
        <f>'2.1.1. УУД "4+5"'!K5</f>
        <v>0.55700000000000005</v>
      </c>
      <c r="F8" s="90">
        <f>'2.1.3. ВсОШ'!GO6</f>
        <v>0.45454545454545453</v>
      </c>
      <c r="G8" s="90">
        <f>'2.1.3. ВсОШ'!GR6</f>
        <v>0.55555555555555558</v>
      </c>
      <c r="H8" s="90">
        <f>'2.1.3. ВсОШ'!GU6</f>
        <v>1</v>
      </c>
      <c r="I8" s="90">
        <f>'2.1.3. ВсОШ'!GX6</f>
        <v>0</v>
      </c>
      <c r="J8" s="91">
        <f>'2.1.4. Конкурсы'!CA5</f>
        <v>0.29629629629629628</v>
      </c>
      <c r="K8" s="91">
        <f>'2.1.4. Конкурсы'!CD5</f>
        <v>0.5</v>
      </c>
      <c r="L8" s="91">
        <f>'2.1.4. Конкурсы'!CG5</f>
        <v>1</v>
      </c>
      <c r="M8" s="39"/>
      <c r="N8" s="91">
        <f>'2.1.5. МАН'!M5</f>
        <v>1</v>
      </c>
      <c r="O8" s="91">
        <f>'2.1.5. МАН'!P5</f>
        <v>0</v>
      </c>
      <c r="P8" s="340">
        <f>'2.1.6. Спорт'!BS8</f>
        <v>0.5</v>
      </c>
      <c r="Q8" s="100">
        <v>9.2999999999999999E-2</v>
      </c>
      <c r="R8" s="39">
        <f>3/31</f>
        <v>9.6774193548387094E-2</v>
      </c>
      <c r="S8" s="56">
        <f t="shared" ref="S8:S44" si="0">SUM(C8:R8)</f>
        <v>7.1721714999456934</v>
      </c>
      <c r="T8" s="90">
        <f>'2.1.2. УУД "2" '!E5</f>
        <v>0</v>
      </c>
      <c r="U8" s="90">
        <f>'2.1.2. УУД "2" '!H5</f>
        <v>0</v>
      </c>
      <c r="V8" s="90">
        <f>'2.1.2. УУД "2" '!K5</f>
        <v>0</v>
      </c>
      <c r="W8" s="39">
        <v>0</v>
      </c>
      <c r="X8" s="39">
        <v>0</v>
      </c>
      <c r="Y8" s="63">
        <f t="shared" ref="Y8:Y44" si="1">SUM(T8:X8)</f>
        <v>0</v>
      </c>
      <c r="Z8" s="63">
        <f t="shared" ref="Z8:Z44" si="2">S8-Y8</f>
        <v>7.1721714999456934</v>
      </c>
      <c r="AA8" s="63">
        <f t="shared" ref="AA8:AA44" si="3">AVERAGE(T8:X8,C8:R8)</f>
        <v>0.35860857499728466</v>
      </c>
      <c r="AB8" s="63">
        <f t="shared" ref="AB8:AB44" si="4">Z8*2</f>
        <v>14.344342999891387</v>
      </c>
      <c r="AC8" s="507"/>
    </row>
    <row r="9" spans="1:29" x14ac:dyDescent="0.25">
      <c r="A9" s="23">
        <v>3</v>
      </c>
      <c r="B9" s="26" t="s">
        <v>141</v>
      </c>
      <c r="C9" s="91">
        <f>'2.1.1. УУД "4+5"'!E6</f>
        <v>0.7186147186147186</v>
      </c>
      <c r="D9" s="91">
        <f>'2.1.1. УУД "4+5"'!H6</f>
        <v>0.42452830188679247</v>
      </c>
      <c r="E9" s="91">
        <f>'2.1.1. УУД "4+5"'!K6</f>
        <v>0.37681159420289856</v>
      </c>
      <c r="F9" s="90">
        <f>'2.1.3. ВсОШ'!GO7</f>
        <v>0.5</v>
      </c>
      <c r="G9" s="90">
        <f>'2.1.3. ВсОШ'!GR7</f>
        <v>1</v>
      </c>
      <c r="H9" s="90">
        <f>'2.1.3. ВсОШ'!GU7</f>
        <v>1</v>
      </c>
      <c r="I9" s="90">
        <f>'2.1.3. ВсОШ'!GX7</f>
        <v>0</v>
      </c>
      <c r="J9" s="91">
        <f>'2.1.4. Конкурсы'!CA6</f>
        <v>0.61904761904761907</v>
      </c>
      <c r="K9" s="91">
        <f>'2.1.4. Конкурсы'!CD6</f>
        <v>0.25</v>
      </c>
      <c r="L9" s="91">
        <f>'2.1.4. Конкурсы'!CG6</f>
        <v>0</v>
      </c>
      <c r="M9" s="39"/>
      <c r="N9" s="91">
        <f>'2.1.5. МАН'!M6</f>
        <v>0.75</v>
      </c>
      <c r="O9" s="91">
        <f>'2.1.5. МАН'!P6</f>
        <v>0</v>
      </c>
      <c r="P9" s="340">
        <f>'2.1.6. Спорт'!BS9</f>
        <v>0.25</v>
      </c>
      <c r="Q9" s="39">
        <v>1.4E-2</v>
      </c>
      <c r="R9" s="39">
        <v>0.17599999999999999</v>
      </c>
      <c r="S9" s="56">
        <f t="shared" si="0"/>
        <v>6.0790022337520293</v>
      </c>
      <c r="T9" s="90">
        <f>'2.1.2. УУД "2" '!E6</f>
        <v>0</v>
      </c>
      <c r="U9" s="90">
        <f>'2.1.2. УУД "2" '!H6</f>
        <v>0</v>
      </c>
      <c r="V9" s="90">
        <f>'2.1.2. УУД "2" '!K6</f>
        <v>0</v>
      </c>
      <c r="W9" s="39">
        <v>0</v>
      </c>
      <c r="X9" s="39">
        <v>0</v>
      </c>
      <c r="Y9" s="63">
        <f t="shared" si="1"/>
        <v>0</v>
      </c>
      <c r="Z9" s="63">
        <f t="shared" si="2"/>
        <v>6.0790022337520293</v>
      </c>
      <c r="AA9" s="63">
        <f t="shared" si="3"/>
        <v>0.30395011168760144</v>
      </c>
      <c r="AB9" s="63">
        <f t="shared" si="4"/>
        <v>12.158004467504059</v>
      </c>
      <c r="AC9" s="507"/>
    </row>
    <row r="10" spans="1:29" ht="25.5" customHeight="1" x14ac:dyDescent="0.25">
      <c r="A10" s="23">
        <v>4</v>
      </c>
      <c r="B10" s="26" t="s">
        <v>142</v>
      </c>
      <c r="C10" s="91">
        <f>'2.1.1. УУД "4+5"'!E7</f>
        <v>0.65</v>
      </c>
      <c r="D10" s="91">
        <f>'2.1.1. УУД "4+5"'!H7</f>
        <v>0.45</v>
      </c>
      <c r="E10" s="91">
        <f>'2.1.1. УУД "4+5"'!K7</f>
        <v>0.52</v>
      </c>
      <c r="F10" s="90">
        <f>'2.1.3. ВсОШ'!GO8</f>
        <v>0.23333333333333334</v>
      </c>
      <c r="G10" s="90">
        <f>'2.1.3. ВсОШ'!GR8</f>
        <v>1</v>
      </c>
      <c r="H10" s="90">
        <f>'2.1.3. ВсОШ'!GU8</f>
        <v>0</v>
      </c>
      <c r="I10" s="90">
        <f>'2.1.3. ВсОШ'!GX8</f>
        <v>0</v>
      </c>
      <c r="J10" s="91">
        <f>'2.1.4. Конкурсы'!CA7</f>
        <v>0.70588235294117652</v>
      </c>
      <c r="K10" s="91">
        <f>'2.1.4. Конкурсы'!CD7</f>
        <v>0.66666666666666663</v>
      </c>
      <c r="L10" s="91">
        <f>'2.1.4. Конкурсы'!CG7</f>
        <v>0</v>
      </c>
      <c r="M10" s="39"/>
      <c r="N10" s="374">
        <f>'2.1.5. МАН'!M7</f>
        <v>0.33333333333333331</v>
      </c>
      <c r="O10" s="91">
        <f>'2.1.5. МАН'!P7</f>
        <v>0</v>
      </c>
      <c r="P10" s="340">
        <f>'2.1.6. Спорт'!BS10</f>
        <v>0</v>
      </c>
      <c r="Q10" s="39">
        <v>8.7999999999999995E-2</v>
      </c>
      <c r="R10" s="39">
        <v>0</v>
      </c>
      <c r="S10" s="56">
        <f t="shared" si="0"/>
        <v>4.6472156862745102</v>
      </c>
      <c r="T10" s="90">
        <f>'2.1.2. УУД "2" '!E7</f>
        <v>0</v>
      </c>
      <c r="U10" s="90">
        <f>'2.1.2. УУД "2" '!H7</f>
        <v>0</v>
      </c>
      <c r="V10" s="90">
        <f>'2.1.2. УУД "2" '!K7</f>
        <v>0</v>
      </c>
      <c r="W10" s="39">
        <v>0</v>
      </c>
      <c r="X10" s="39">
        <v>0</v>
      </c>
      <c r="Y10" s="63">
        <f t="shared" si="1"/>
        <v>0</v>
      </c>
      <c r="Z10" s="63">
        <f t="shared" si="2"/>
        <v>4.6472156862745102</v>
      </c>
      <c r="AA10" s="63">
        <f t="shared" si="3"/>
        <v>0.2323607843137255</v>
      </c>
      <c r="AB10" s="63">
        <f t="shared" si="4"/>
        <v>9.2944313725490204</v>
      </c>
      <c r="AC10" s="507"/>
    </row>
    <row r="11" spans="1:29" x14ac:dyDescent="0.25">
      <c r="A11" s="23">
        <v>5</v>
      </c>
      <c r="B11" s="26" t="s">
        <v>143</v>
      </c>
      <c r="C11" s="91">
        <f>'2.1.1. УУД "4+5"'!E8</f>
        <v>0.55244755244755239</v>
      </c>
      <c r="D11" s="91">
        <f>'2.1.1. УУД "4+5"'!H8</f>
        <v>0.33333333333333331</v>
      </c>
      <c r="E11" s="91">
        <f>'2.1.1. УУД "4+5"'!K8</f>
        <v>0.40909090909090912</v>
      </c>
      <c r="F11" s="90">
        <f>'2.1.3. ВсОШ'!GO9</f>
        <v>0.25</v>
      </c>
      <c r="G11" s="90">
        <f>'2.1.3. ВсОШ'!GR9</f>
        <v>0</v>
      </c>
      <c r="H11" s="90">
        <f>'2.1.3. ВсОШ'!GU9</f>
        <v>0</v>
      </c>
      <c r="I11" s="90">
        <f>'2.1.3. ВсОШ'!GX9</f>
        <v>0</v>
      </c>
      <c r="J11" s="91">
        <f>'2.1.4. Конкурсы'!CA8</f>
        <v>0.11764705882352941</v>
      </c>
      <c r="K11" s="91">
        <f>'2.1.4. Конкурсы'!CD8</f>
        <v>0</v>
      </c>
      <c r="L11" s="91">
        <f>'2.1.4. Конкурсы'!CG8</f>
        <v>0</v>
      </c>
      <c r="N11" s="91">
        <f>'2.1.5. МАН'!M8</f>
        <v>1</v>
      </c>
      <c r="O11" s="91">
        <f>'2.1.5. МАН'!P8</f>
        <v>1</v>
      </c>
      <c r="P11" s="340">
        <f>'2.1.6. Спорт'!BS11</f>
        <v>0</v>
      </c>
      <c r="Q11" s="127">
        <v>0.03</v>
      </c>
      <c r="R11" s="108">
        <v>0.111</v>
      </c>
      <c r="S11" s="56">
        <f t="shared" si="0"/>
        <v>3.8035188536953246</v>
      </c>
      <c r="T11" s="90">
        <f>'2.1.2. УУД "2" '!E8</f>
        <v>0</v>
      </c>
      <c r="U11" s="90">
        <f>'2.1.2. УУД "2" '!H8</f>
        <v>0</v>
      </c>
      <c r="V11" s="90">
        <f>'2.1.2. УУД "2" '!K8</f>
        <v>0</v>
      </c>
      <c r="W11" s="39">
        <v>0</v>
      </c>
      <c r="X11" s="39">
        <v>0</v>
      </c>
      <c r="Y11" s="63">
        <f t="shared" si="1"/>
        <v>0</v>
      </c>
      <c r="Z11" s="63">
        <f t="shared" si="2"/>
        <v>3.8035188536953246</v>
      </c>
      <c r="AA11" s="63">
        <f t="shared" si="3"/>
        <v>0.19017594268476623</v>
      </c>
      <c r="AB11" s="63">
        <f t="shared" si="4"/>
        <v>7.6070377073906492</v>
      </c>
      <c r="AC11" s="507"/>
    </row>
    <row r="12" spans="1:29" ht="25.5" x14ac:dyDescent="0.25">
      <c r="A12" s="23">
        <v>6</v>
      </c>
      <c r="B12" s="26" t="s">
        <v>177</v>
      </c>
      <c r="C12" s="91">
        <f>'2.1.1. УУД "4+5"'!E9</f>
        <v>0.59499999999999997</v>
      </c>
      <c r="D12" s="91">
        <f>'2.1.1. УУД "4+5"'!H9</f>
        <v>0.33600000000000002</v>
      </c>
      <c r="E12" s="91">
        <f>'2.1.1. УУД "4+5"'!K9</f>
        <v>0.55400000000000005</v>
      </c>
      <c r="F12" s="90">
        <f>'2.1.3. ВсОШ'!GO10</f>
        <v>0.34090909090909088</v>
      </c>
      <c r="G12" s="90">
        <f>'2.1.3. ВсОШ'!GR10</f>
        <v>0</v>
      </c>
      <c r="H12" s="90">
        <f>'2.1.3. ВсОШ'!GU10</f>
        <v>0</v>
      </c>
      <c r="I12" s="90">
        <f>'2.1.3. ВсОШ'!GX10</f>
        <v>0</v>
      </c>
      <c r="J12" s="91">
        <f>'2.1.4. Конкурсы'!CA9</f>
        <v>0.83333333333333337</v>
      </c>
      <c r="K12" s="91">
        <f>'2.1.4. Конкурсы'!CD9</f>
        <v>0.36363636363636365</v>
      </c>
      <c r="L12" s="91">
        <f>'2.1.4. Конкурсы'!CG9</f>
        <v>0</v>
      </c>
      <c r="M12" s="39"/>
      <c r="N12" s="91">
        <f>'2.1.5. МАН'!M9</f>
        <v>0</v>
      </c>
      <c r="O12" s="91">
        <f>'2.1.5. МАН'!P9</f>
        <v>0</v>
      </c>
      <c r="P12" s="340">
        <f>'2.1.6. Спорт'!BS12</f>
        <v>0</v>
      </c>
      <c r="Q12" s="100">
        <v>2.1999999999999999E-2</v>
      </c>
      <c r="R12" s="108">
        <v>6.8000000000000005E-2</v>
      </c>
      <c r="S12" s="56">
        <f t="shared" si="0"/>
        <v>3.1128787878787878</v>
      </c>
      <c r="T12" s="90">
        <f>'2.1.2. УУД "2" '!E9</f>
        <v>0</v>
      </c>
      <c r="U12" s="90">
        <f>'2.1.2. УУД "2" '!H9</f>
        <v>7.677543186180422E-3</v>
      </c>
      <c r="V12" s="90">
        <f>'2.1.2. УУД "2" '!K9</f>
        <v>2.9702970297029702E-2</v>
      </c>
      <c r="W12" s="39">
        <v>0</v>
      </c>
      <c r="X12" s="39">
        <v>0</v>
      </c>
      <c r="Y12" s="63">
        <f>SUM(T12:X12)</f>
        <v>3.7380513483210122E-2</v>
      </c>
      <c r="Z12" s="63">
        <f t="shared" si="2"/>
        <v>3.0754982743955779</v>
      </c>
      <c r="AA12" s="63">
        <f t="shared" si="3"/>
        <v>0.15751296506809992</v>
      </c>
      <c r="AB12" s="63">
        <f t="shared" si="4"/>
        <v>6.1509965487911558</v>
      </c>
      <c r="AC12" s="507"/>
    </row>
    <row r="13" spans="1:29" x14ac:dyDescent="0.25">
      <c r="A13" s="23">
        <v>7</v>
      </c>
      <c r="B13" s="27" t="s">
        <v>144</v>
      </c>
      <c r="C13" s="91">
        <f>'2.1.1. УУД "4+5"'!E10</f>
        <v>0.62376237623762376</v>
      </c>
      <c r="D13" s="91">
        <f>'2.1.1. УУД "4+5"'!H10</f>
        <v>0.3</v>
      </c>
      <c r="E13" s="91">
        <f>'2.1.1. УУД "4+5"'!K10</f>
        <v>0.41699999999999998</v>
      </c>
      <c r="F13" s="90">
        <f>'2.1.3. ВсОШ'!GO11</f>
        <v>0.21052631578947367</v>
      </c>
      <c r="G13" s="90">
        <f>'2.1.3. ВсОШ'!GR11</f>
        <v>1</v>
      </c>
      <c r="H13" s="90">
        <f>'2.1.3. ВсОШ'!GU11</f>
        <v>0</v>
      </c>
      <c r="I13" s="90">
        <f>'2.1.3. ВсОШ'!GX11</f>
        <v>0</v>
      </c>
      <c r="J13" s="91">
        <f>'2.1.4. Конкурсы'!CA10</f>
        <v>0.4</v>
      </c>
      <c r="K13" s="91">
        <f>'2.1.4. Конкурсы'!CD10</f>
        <v>0</v>
      </c>
      <c r="L13" s="91">
        <f>'2.1.4. Конкурсы'!CG10</f>
        <v>0</v>
      </c>
      <c r="M13" s="39"/>
      <c r="N13" s="91">
        <f>'2.1.5. МАН'!M10</f>
        <v>0</v>
      </c>
      <c r="O13" s="91">
        <f>'2.1.5. МАН'!P10</f>
        <v>0</v>
      </c>
      <c r="P13" s="340">
        <f>'2.1.6. Спорт'!BS13</f>
        <v>0.14285714285714285</v>
      </c>
      <c r="Q13" s="39">
        <v>0</v>
      </c>
      <c r="R13" s="127">
        <v>9.0999999999999998E-2</v>
      </c>
      <c r="S13" s="56">
        <f t="shared" si="0"/>
        <v>3.1851458348842403</v>
      </c>
      <c r="T13" s="90">
        <f>'2.1.2. УУД "2" '!E10</f>
        <v>9.9009900990099011E-3</v>
      </c>
      <c r="U13" s="90">
        <f>'2.1.2. УУД "2" '!H10</f>
        <v>0</v>
      </c>
      <c r="V13" s="90">
        <f>'2.1.2. УУД "2" '!K10</f>
        <v>0</v>
      </c>
      <c r="W13" s="39">
        <v>0</v>
      </c>
      <c r="X13" s="39">
        <v>0</v>
      </c>
      <c r="Y13" s="63">
        <f t="shared" si="1"/>
        <v>9.9009900990099011E-3</v>
      </c>
      <c r="Z13" s="63">
        <f t="shared" si="2"/>
        <v>3.1752448447852304</v>
      </c>
      <c r="AA13" s="63">
        <f t="shared" si="3"/>
        <v>0.15975234124916252</v>
      </c>
      <c r="AB13" s="63">
        <f t="shared" si="4"/>
        <v>6.3504896895704608</v>
      </c>
      <c r="AC13" s="507"/>
    </row>
    <row r="14" spans="1:29" x14ac:dyDescent="0.25">
      <c r="A14" s="23">
        <v>8</v>
      </c>
      <c r="B14" s="26" t="s">
        <v>145</v>
      </c>
      <c r="C14" s="91">
        <f>'2.1.1. УУД "4+5"'!E11</f>
        <v>0.54878048780487809</v>
      </c>
      <c r="D14" s="91">
        <f>'2.1.1. УУД "4+5"'!H11</f>
        <v>0.35555555555555557</v>
      </c>
      <c r="E14" s="91">
        <f>'2.1.1. УУД "4+5"'!K11</f>
        <v>0.53846153846153844</v>
      </c>
      <c r="F14" s="90">
        <f>'2.1.3. ВсОШ'!GO12</f>
        <v>0.04</v>
      </c>
      <c r="G14" s="90">
        <f>'2.1.3. ВсОШ'!GR12</f>
        <v>0</v>
      </c>
      <c r="H14" s="90">
        <f>'2.1.3. ВсОШ'!GU12</f>
        <v>0</v>
      </c>
      <c r="I14" s="90">
        <f>'2.1.3. ВсОШ'!GX12</f>
        <v>0</v>
      </c>
      <c r="J14" s="91">
        <f>'2.1.4. Конкурсы'!CA11</f>
        <v>0.3125</v>
      </c>
      <c r="K14" s="91">
        <f>'2.1.4. Конкурсы'!CD11</f>
        <v>0.5</v>
      </c>
      <c r="L14" s="91">
        <f>'2.1.4. Конкурсы'!CG11</f>
        <v>0</v>
      </c>
      <c r="M14" s="39"/>
      <c r="N14" s="91">
        <f>'2.1.5. МАН'!M11</f>
        <v>0</v>
      </c>
      <c r="O14" s="91">
        <f>'2.1.5. МАН'!P11</f>
        <v>0</v>
      </c>
      <c r="P14" s="340">
        <f>'2.1.6. Спорт'!BS14</f>
        <v>0</v>
      </c>
      <c r="Q14" s="381">
        <v>7.0999999999999994E-2</v>
      </c>
      <c r="R14" s="52"/>
      <c r="S14" s="56">
        <f>SUM(C14:R14)</f>
        <v>2.3662975818219723</v>
      </c>
      <c r="T14" s="90">
        <f>'2.1.2. УУД "2" '!E11</f>
        <v>0</v>
      </c>
      <c r="U14" s="90">
        <f>'2.1.2. УУД "2" '!H11</f>
        <v>0</v>
      </c>
      <c r="V14" s="90"/>
      <c r="W14" s="39">
        <v>0</v>
      </c>
      <c r="X14" s="39"/>
      <c r="Y14" s="63">
        <f t="shared" si="1"/>
        <v>0</v>
      </c>
      <c r="Z14" s="63">
        <f t="shared" si="2"/>
        <v>2.3662975818219723</v>
      </c>
      <c r="AA14" s="63">
        <f t="shared" si="3"/>
        <v>0.1391939754012925</v>
      </c>
      <c r="AB14" s="63">
        <f t="shared" si="4"/>
        <v>4.7325951636439445</v>
      </c>
      <c r="AC14" s="507"/>
    </row>
    <row r="15" spans="1:29" x14ac:dyDescent="0.25">
      <c r="A15" s="23">
        <v>9</v>
      </c>
      <c r="B15" s="26" t="s">
        <v>146</v>
      </c>
      <c r="C15" s="91">
        <f>'2.1.1. УУД "4+5"'!E12</f>
        <v>0.57746478873239437</v>
      </c>
      <c r="D15" s="91">
        <f>'2.1.1. УУД "4+5"'!H12</f>
        <v>0.33333333333333331</v>
      </c>
      <c r="E15" s="91"/>
      <c r="F15" s="90">
        <f>'2.1.3. ВсОШ'!GO13</f>
        <v>0.25</v>
      </c>
      <c r="G15" s="90">
        <f>'2.1.3. ВсОШ'!GR13</f>
        <v>0</v>
      </c>
      <c r="H15" s="90">
        <f>'2.1.3. ВсОШ'!GU13</f>
        <v>0</v>
      </c>
      <c r="I15" s="90">
        <f>'2.1.3. ВсОШ'!GX13</f>
        <v>0</v>
      </c>
      <c r="J15" s="91">
        <f>'2.1.4. Конкурсы'!CA12</f>
        <v>0</v>
      </c>
      <c r="K15" s="91">
        <f>'2.1.4. Конкурсы'!CD12</f>
        <v>0</v>
      </c>
      <c r="L15" s="91">
        <f>'2.1.4. Конкурсы'!CG12</f>
        <v>0</v>
      </c>
      <c r="M15" s="39"/>
      <c r="N15" s="91">
        <f>'2.1.5. МАН'!M12</f>
        <v>0</v>
      </c>
      <c r="O15" s="91">
        <f>'2.1.5. МАН'!P12</f>
        <v>0</v>
      </c>
      <c r="P15" s="340">
        <f>'2.1.6. Спорт'!BS15</f>
        <v>0</v>
      </c>
      <c r="Q15" s="39">
        <v>0</v>
      </c>
      <c r="R15" s="39"/>
      <c r="S15" s="56">
        <f t="shared" si="0"/>
        <v>1.1607981220657277</v>
      </c>
      <c r="T15" s="90">
        <f>'2.1.2. УУД "2" '!E12</f>
        <v>0</v>
      </c>
      <c r="U15" s="90">
        <f>'2.1.2. УУД "2" '!H12</f>
        <v>1.3333333333333334E-2</v>
      </c>
      <c r="V15" s="90"/>
      <c r="W15" s="39">
        <v>0</v>
      </c>
      <c r="X15" s="39"/>
      <c r="Y15" s="63">
        <f t="shared" si="1"/>
        <v>1.3333333333333334E-2</v>
      </c>
      <c r="Z15" s="63">
        <f t="shared" si="2"/>
        <v>1.1474647887323943</v>
      </c>
      <c r="AA15" s="63">
        <f t="shared" si="3"/>
        <v>7.3383215962441309E-2</v>
      </c>
      <c r="AB15" s="63">
        <f t="shared" si="4"/>
        <v>2.2949295774647887</v>
      </c>
      <c r="AC15" s="507"/>
    </row>
    <row r="16" spans="1:29" x14ac:dyDescent="0.25">
      <c r="A16" s="23">
        <v>10</v>
      </c>
      <c r="B16" s="26" t="s">
        <v>172</v>
      </c>
      <c r="C16" s="91">
        <f>'2.1.1. УУД "4+5"'!E13</f>
        <v>0.65</v>
      </c>
      <c r="D16" s="91">
        <f>'2.1.1. УУД "4+5"'!H13</f>
        <v>0.37800000000000006</v>
      </c>
      <c r="E16" s="91"/>
      <c r="F16" s="90">
        <f>'2.1.3. ВсОШ'!GO14</f>
        <v>0</v>
      </c>
      <c r="G16" s="90">
        <f>'2.1.3. ВсОШ'!GR14</f>
        <v>0</v>
      </c>
      <c r="H16" s="90">
        <f>'2.1.3. ВсОШ'!GU14</f>
        <v>0</v>
      </c>
      <c r="I16" s="90">
        <f>'2.1.3. ВсОШ'!GX14</f>
        <v>0</v>
      </c>
      <c r="J16" s="91">
        <f>'2.1.4. Конкурсы'!CA13</f>
        <v>0.25</v>
      </c>
      <c r="K16" s="91">
        <f>'2.1.4. Конкурсы'!CD13</f>
        <v>0.16666666666666666</v>
      </c>
      <c r="L16" s="91">
        <f>'2.1.4. Конкурсы'!CG13</f>
        <v>0</v>
      </c>
      <c r="M16" s="39"/>
      <c r="N16" s="91">
        <f>'2.1.5. МАН'!M13</f>
        <v>0</v>
      </c>
      <c r="O16" s="91">
        <f>'2.1.5. МАН'!P13</f>
        <v>0</v>
      </c>
      <c r="P16" s="340">
        <f>'2.1.6. Спорт'!BS16</f>
        <v>0</v>
      </c>
      <c r="Q16" s="39">
        <v>0</v>
      </c>
      <c r="R16" s="39"/>
      <c r="S16" s="56">
        <f t="shared" si="0"/>
        <v>1.4446666666666668</v>
      </c>
      <c r="T16" s="90">
        <f>'2.1.2. УУД "2" '!E13</f>
        <v>0</v>
      </c>
      <c r="U16" s="90">
        <f>'2.1.2. УУД "2" '!H13</f>
        <v>0</v>
      </c>
      <c r="V16" s="90"/>
      <c r="W16" s="39">
        <v>0</v>
      </c>
      <c r="X16" s="39"/>
      <c r="Y16" s="63">
        <f t="shared" si="1"/>
        <v>0</v>
      </c>
      <c r="Z16" s="63">
        <f t="shared" si="2"/>
        <v>1.4446666666666668</v>
      </c>
      <c r="AA16" s="63">
        <f t="shared" si="3"/>
        <v>9.0291666666666673E-2</v>
      </c>
      <c r="AB16" s="63">
        <f t="shared" si="4"/>
        <v>2.8893333333333335</v>
      </c>
      <c r="AC16" s="507"/>
    </row>
    <row r="17" spans="1:29" x14ac:dyDescent="0.25">
      <c r="A17" s="23">
        <v>11</v>
      </c>
      <c r="B17" s="26" t="s">
        <v>147</v>
      </c>
      <c r="C17" s="91">
        <f>'2.1.1. УУД "4+5"'!E14</f>
        <v>0.46022727272727271</v>
      </c>
      <c r="D17" s="91">
        <f>'2.1.1. УУД "4+5"'!H14</f>
        <v>0.32921810699588477</v>
      </c>
      <c r="E17" s="91">
        <f>'2.1.1. УУД "4+5"'!K14</f>
        <v>0.28813559322033899</v>
      </c>
      <c r="F17" s="90">
        <f>'2.1.3. ВсОШ'!GO15</f>
        <v>0.23529411764705882</v>
      </c>
      <c r="G17" s="90">
        <f>'2.1.3. ВсОШ'!GR15</f>
        <v>0</v>
      </c>
      <c r="H17" s="90">
        <f>'2.1.3. ВсОШ'!GU15</f>
        <v>0</v>
      </c>
      <c r="I17" s="90">
        <f>'2.1.3. ВсОШ'!GX15</f>
        <v>0</v>
      </c>
      <c r="J17" s="91">
        <f>'2.1.4. Конкурсы'!CA14</f>
        <v>0.5</v>
      </c>
      <c r="K17" s="91">
        <f>'2.1.4. Конкурсы'!CD14</f>
        <v>0.25</v>
      </c>
      <c r="L17" s="91">
        <f>'2.1.4. Конкурсы'!CG14</f>
        <v>0</v>
      </c>
      <c r="M17" s="39"/>
      <c r="N17" s="91">
        <f>'2.1.5. МАН'!M14</f>
        <v>0</v>
      </c>
      <c r="O17" s="91">
        <f>'2.1.5. МАН'!P14</f>
        <v>0</v>
      </c>
      <c r="P17" s="340">
        <f>'2.1.6. Спорт'!BS17</f>
        <v>0.25</v>
      </c>
      <c r="Q17" s="39">
        <v>2.5999999999999999E-2</v>
      </c>
      <c r="R17" s="39">
        <v>0.05</v>
      </c>
      <c r="S17" s="56">
        <f t="shared" si="0"/>
        <v>2.3888750905905551</v>
      </c>
      <c r="T17" s="90">
        <f>'2.1.2. УУД "2" '!E14</f>
        <v>0</v>
      </c>
      <c r="U17" s="90">
        <f>'2.1.2. УУД "2" '!H14</f>
        <v>4.11522633744856E-3</v>
      </c>
      <c r="V17" s="90">
        <f>'2.1.2. УУД "2" '!K14</f>
        <v>0</v>
      </c>
      <c r="W17" s="39">
        <v>0</v>
      </c>
      <c r="X17" s="39">
        <v>0</v>
      </c>
      <c r="Y17" s="63">
        <f t="shared" si="1"/>
        <v>4.11522633744856E-3</v>
      </c>
      <c r="Z17" s="63">
        <f t="shared" si="2"/>
        <v>2.3847598642531067</v>
      </c>
      <c r="AA17" s="63">
        <f t="shared" si="3"/>
        <v>0.11964951584640018</v>
      </c>
      <c r="AB17" s="63">
        <f t="shared" si="4"/>
        <v>4.7695197285062134</v>
      </c>
      <c r="AC17" s="507"/>
    </row>
    <row r="18" spans="1:29" ht="25.5" x14ac:dyDescent="0.25">
      <c r="A18" s="23">
        <v>12</v>
      </c>
      <c r="B18" s="26" t="s">
        <v>178</v>
      </c>
      <c r="C18" s="91">
        <f>'2.1.1. УУД "4+5"'!E15</f>
        <v>0.73699999999999999</v>
      </c>
      <c r="D18" s="91">
        <f>'2.1.1. УУД "4+5"'!H15</f>
        <v>0.41399999999999998</v>
      </c>
      <c r="E18" s="91">
        <f>'2.1.1. УУД "4+5"'!K15</f>
        <v>0.54100000000000004</v>
      </c>
      <c r="F18" s="90">
        <f>'2.1.3. ВсОШ'!GO16</f>
        <v>0.1891891891891892</v>
      </c>
      <c r="G18" s="90">
        <f>'2.1.3. ВсОШ'!GR16</f>
        <v>0.6</v>
      </c>
      <c r="H18" s="90">
        <f>'2.1.3. ВсОШ'!GU16</f>
        <v>0</v>
      </c>
      <c r="I18" s="90">
        <f>'2.1.3. ВсОШ'!GX16</f>
        <v>0</v>
      </c>
      <c r="J18" s="91">
        <f>'2.1.4. Конкурсы'!CA15</f>
        <v>0.5625</v>
      </c>
      <c r="K18" s="91">
        <f>'2.1.4. Конкурсы'!CD15</f>
        <v>0.33333333333333331</v>
      </c>
      <c r="L18" s="91">
        <f>'2.1.4. Конкурсы'!CG15</f>
        <v>0</v>
      </c>
      <c r="M18" s="39"/>
      <c r="N18" s="374">
        <f>'2.1.5. МАН'!M15</f>
        <v>0.5</v>
      </c>
      <c r="O18" s="374">
        <f>'2.1.5. МАН'!P15</f>
        <v>0</v>
      </c>
      <c r="P18" s="340">
        <f>'2.1.6. Спорт'!BS18</f>
        <v>0.125</v>
      </c>
      <c r="Q18" s="39">
        <v>0.08</v>
      </c>
      <c r="R18" s="381">
        <v>0.16700000000000001</v>
      </c>
      <c r="S18" s="56">
        <f t="shared" si="0"/>
        <v>4.2490225225225231</v>
      </c>
      <c r="T18" s="90">
        <f>'2.1.2. УУД "2" '!E15</f>
        <v>0</v>
      </c>
      <c r="U18" s="90">
        <f>'2.1.2. УУД "2" '!H15</f>
        <v>0</v>
      </c>
      <c r="V18" s="90">
        <f>'2.1.2. УУД "2" '!K15</f>
        <v>0</v>
      </c>
      <c r="W18" s="39">
        <v>0</v>
      </c>
      <c r="X18" s="39">
        <v>0</v>
      </c>
      <c r="Y18" s="63">
        <f t="shared" si="1"/>
        <v>0</v>
      </c>
      <c r="Z18" s="63">
        <f t="shared" si="2"/>
        <v>4.2490225225225231</v>
      </c>
      <c r="AA18" s="63">
        <f t="shared" si="3"/>
        <v>0.21245112612612616</v>
      </c>
      <c r="AB18" s="63">
        <f t="shared" si="4"/>
        <v>8.4980450450450462</v>
      </c>
      <c r="AC18" s="507"/>
    </row>
    <row r="19" spans="1:29" x14ac:dyDescent="0.25">
      <c r="A19" s="23">
        <v>13</v>
      </c>
      <c r="B19" s="26" t="s">
        <v>148</v>
      </c>
      <c r="C19" s="91">
        <f>'2.1.1. УУД "4+5"'!E16</f>
        <v>0.6629213483146067</v>
      </c>
      <c r="D19" s="91">
        <f>'2.1.1. УУД "4+5"'!H16</f>
        <v>0.33333333333333331</v>
      </c>
      <c r="E19" s="91">
        <f>'2.1.1. УУД "4+5"'!K16</f>
        <v>0.2857142857142857</v>
      </c>
      <c r="F19" s="90">
        <f>'2.1.3. ВсОШ'!GO17</f>
        <v>0.31818181818181818</v>
      </c>
      <c r="G19" s="90">
        <f>'2.1.3. ВсОШ'!GR17</f>
        <v>0</v>
      </c>
      <c r="H19" s="90">
        <f>'2.1.3. ВсОШ'!GU17</f>
        <v>0</v>
      </c>
      <c r="I19" s="90">
        <f>'2.1.3. ВсОШ'!GX17</f>
        <v>0</v>
      </c>
      <c r="J19" s="91">
        <f>'2.1.4. Конкурсы'!CA16</f>
        <v>0.8</v>
      </c>
      <c r="K19" s="91">
        <f>'2.1.4. Конкурсы'!CD16</f>
        <v>0.42857142857142855</v>
      </c>
      <c r="L19" s="91">
        <f>'2.1.4. Конкурсы'!CG16</f>
        <v>0</v>
      </c>
      <c r="M19" s="39"/>
      <c r="N19" s="550">
        <f>'2.1.5. МАН'!M16</f>
        <v>0</v>
      </c>
      <c r="O19" s="91">
        <f>'2.1.5. МАН'!P16</f>
        <v>0</v>
      </c>
      <c r="P19" s="340">
        <f>'2.1.6. Спорт'!BS19</f>
        <v>0</v>
      </c>
      <c r="Q19" s="39">
        <v>0</v>
      </c>
      <c r="R19" s="39">
        <v>9.0999999999999998E-2</v>
      </c>
      <c r="S19" s="56">
        <f t="shared" si="0"/>
        <v>2.9197222141154726</v>
      </c>
      <c r="T19" s="90">
        <f>'2.1.2. УУД "2" '!E16</f>
        <v>0</v>
      </c>
      <c r="U19" s="90">
        <f>'2.1.2. УУД "2" '!H16</f>
        <v>0</v>
      </c>
      <c r="V19" s="90">
        <f>'2.1.2. УУД "2" '!K16</f>
        <v>0</v>
      </c>
      <c r="W19" s="39">
        <v>0</v>
      </c>
      <c r="X19" s="39">
        <v>0</v>
      </c>
      <c r="Y19" s="63">
        <f t="shared" si="1"/>
        <v>0</v>
      </c>
      <c r="Z19" s="63">
        <f t="shared" si="2"/>
        <v>2.9197222141154726</v>
      </c>
      <c r="AA19" s="63">
        <f t="shared" si="3"/>
        <v>0.14598611070577364</v>
      </c>
      <c r="AB19" s="63">
        <f t="shared" si="4"/>
        <v>5.8394444282309452</v>
      </c>
      <c r="AC19" s="507"/>
    </row>
    <row r="20" spans="1:29" x14ac:dyDescent="0.25">
      <c r="A20" s="23">
        <v>14</v>
      </c>
      <c r="B20" s="26" t="s">
        <v>173</v>
      </c>
      <c r="C20" s="91">
        <f>'2.1.1. УУД "4+5"'!E17</f>
        <v>0.59375</v>
      </c>
      <c r="D20" s="91">
        <f>'2.1.1. УУД "4+5"'!H17</f>
        <v>0.39759036144578314</v>
      </c>
      <c r="E20" s="91"/>
      <c r="F20" s="90">
        <f>'2.1.3. ВсОШ'!GO18</f>
        <v>0.1</v>
      </c>
      <c r="G20" s="90">
        <f>'2.1.3. ВсОШ'!GR18</f>
        <v>0</v>
      </c>
      <c r="H20" s="90">
        <f>'2.1.3. ВсОШ'!GU18</f>
        <v>0</v>
      </c>
      <c r="I20" s="90">
        <f>'2.1.3. ВсОШ'!GX18</f>
        <v>0</v>
      </c>
      <c r="J20" s="91">
        <f>'2.1.4. Конкурсы'!CA17</f>
        <v>0.25</v>
      </c>
      <c r="K20" s="91">
        <f>'2.1.4. Конкурсы'!CD17</f>
        <v>0</v>
      </c>
      <c r="L20" s="91">
        <f>'2.1.4. Конкурсы'!CG17</f>
        <v>0</v>
      </c>
      <c r="M20" s="39"/>
      <c r="N20" s="550">
        <f>'2.1.5. МАН'!M17</f>
        <v>0</v>
      </c>
      <c r="O20" s="91">
        <f>'2.1.5. МАН'!P17</f>
        <v>0</v>
      </c>
      <c r="P20" s="340">
        <f>'2.1.6. Спорт'!BS20</f>
        <v>0</v>
      </c>
      <c r="Q20" s="39">
        <v>0</v>
      </c>
      <c r="R20" s="39"/>
      <c r="S20" s="56">
        <f t="shared" si="0"/>
        <v>1.3413403614457833</v>
      </c>
      <c r="T20" s="90">
        <f>'2.1.2. УУД "2" '!E17</f>
        <v>0</v>
      </c>
      <c r="U20" s="90">
        <f>'2.1.2. УУД "2" '!H17</f>
        <v>0</v>
      </c>
      <c r="V20" s="90"/>
      <c r="W20" s="39">
        <v>0</v>
      </c>
      <c r="X20" s="39"/>
      <c r="Y20" s="63">
        <f t="shared" si="1"/>
        <v>0</v>
      </c>
      <c r="Z20" s="63">
        <f t="shared" si="2"/>
        <v>1.3413403614457833</v>
      </c>
      <c r="AA20" s="63">
        <f t="shared" si="3"/>
        <v>8.3833772590361455E-2</v>
      </c>
      <c r="AB20" s="63">
        <f t="shared" si="4"/>
        <v>2.6826807228915666</v>
      </c>
      <c r="AC20" s="507"/>
    </row>
    <row r="21" spans="1:29" x14ac:dyDescent="0.25">
      <c r="A21" s="23">
        <v>15</v>
      </c>
      <c r="B21" s="26" t="s">
        <v>149</v>
      </c>
      <c r="C21" s="91">
        <f>'2.1.1. УУД "4+5"'!E18</f>
        <v>0.71212121212121215</v>
      </c>
      <c r="D21" s="91">
        <f>'2.1.1. УУД "4+5"'!H18</f>
        <v>0.49295774647887325</v>
      </c>
      <c r="E21" s="91">
        <f>'2.1.1. УУД "4+5"'!K18</f>
        <v>0.42857142857142855</v>
      </c>
      <c r="F21" s="90">
        <f>'2.1.3. ВсОШ'!GO19</f>
        <v>0.125</v>
      </c>
      <c r="G21" s="90">
        <f>'2.1.3. ВсОШ'!GR19</f>
        <v>0</v>
      </c>
      <c r="H21" s="90">
        <f>'2.1.3. ВсОШ'!GU19</f>
        <v>0</v>
      </c>
      <c r="I21" s="90">
        <f>'2.1.3. ВсОШ'!GX19</f>
        <v>0</v>
      </c>
      <c r="J21" s="91">
        <f>'2.1.4. Конкурсы'!CA18</f>
        <v>0.2</v>
      </c>
      <c r="K21" s="91">
        <f>'2.1.4. Конкурсы'!CD18</f>
        <v>0</v>
      </c>
      <c r="L21" s="91">
        <f>'2.1.4. Конкурсы'!CG18</f>
        <v>0</v>
      </c>
      <c r="M21" s="39"/>
      <c r="N21" s="91">
        <f>'2.1.5. МАН'!M18</f>
        <v>0</v>
      </c>
      <c r="O21" s="91">
        <f>'2.1.5. МАН'!P18</f>
        <v>0</v>
      </c>
      <c r="P21" s="340">
        <f>'2.1.6. Спорт'!BS21</f>
        <v>0</v>
      </c>
      <c r="Q21" s="39">
        <v>0</v>
      </c>
      <c r="R21" s="39">
        <v>0</v>
      </c>
      <c r="S21" s="56">
        <f t="shared" si="0"/>
        <v>1.958650387171514</v>
      </c>
      <c r="T21" s="90">
        <f>'2.1.2. УУД "2" '!E18</f>
        <v>0</v>
      </c>
      <c r="U21" s="90">
        <f>'2.1.2. УУД "2" '!H18</f>
        <v>0</v>
      </c>
      <c r="V21" s="90">
        <f>'2.1.2. УУД "2" '!K18</f>
        <v>0</v>
      </c>
      <c r="W21" s="39">
        <v>0</v>
      </c>
      <c r="X21" s="39">
        <v>0</v>
      </c>
      <c r="Y21" s="63">
        <f t="shared" si="1"/>
        <v>0</v>
      </c>
      <c r="Z21" s="63">
        <f t="shared" si="2"/>
        <v>1.958650387171514</v>
      </c>
      <c r="AA21" s="63">
        <f t="shared" si="3"/>
        <v>9.7932519358575693E-2</v>
      </c>
      <c r="AB21" s="63">
        <f t="shared" si="4"/>
        <v>3.9173007743430279</v>
      </c>
      <c r="AC21" s="507"/>
    </row>
    <row r="22" spans="1:29" x14ac:dyDescent="0.25">
      <c r="A22" s="23">
        <v>16</v>
      </c>
      <c r="B22" s="26" t="s">
        <v>150</v>
      </c>
      <c r="C22" s="91">
        <f>'2.1.1. УУД "4+5"'!E19</f>
        <v>0.55500000000000005</v>
      </c>
      <c r="D22" s="91">
        <f>'2.1.1. УУД "4+5"'!H19</f>
        <v>0.29399999999999998</v>
      </c>
      <c r="E22" s="91">
        <f>'2.1.1. УУД "4+5"'!K19</f>
        <v>0.33300000000000002</v>
      </c>
      <c r="F22" s="90">
        <f>'2.1.3. ВсОШ'!GO20</f>
        <v>0.15789473684210525</v>
      </c>
      <c r="G22" s="90">
        <f>'2.1.3. ВсОШ'!GR20</f>
        <v>0</v>
      </c>
      <c r="H22" s="90">
        <f>'2.1.3. ВсОШ'!GU20</f>
        <v>0</v>
      </c>
      <c r="I22" s="90">
        <f>'2.1.3. ВсОШ'!GX20</f>
        <v>0</v>
      </c>
      <c r="J22" s="91">
        <f>'2.1.4. Конкурсы'!CA19</f>
        <v>0.5</v>
      </c>
      <c r="K22" s="91">
        <f>'2.1.4. Конкурсы'!CD19</f>
        <v>0.25</v>
      </c>
      <c r="L22" s="91">
        <f>'2.1.4. Конкурсы'!CG19</f>
        <v>0</v>
      </c>
      <c r="M22" s="97"/>
      <c r="N22" s="91">
        <f>'2.1.5. МАН'!M19</f>
        <v>0</v>
      </c>
      <c r="O22" s="91">
        <f>'2.1.5. МАН'!P19</f>
        <v>0</v>
      </c>
      <c r="P22" s="340">
        <f>'2.1.6. Спорт'!BS22</f>
        <v>0</v>
      </c>
      <c r="Q22" s="39">
        <v>0</v>
      </c>
      <c r="R22" s="39">
        <v>0.105</v>
      </c>
      <c r="S22" s="56">
        <f t="shared" si="0"/>
        <v>2.1948947368421052</v>
      </c>
      <c r="T22" s="90">
        <f>'2.1.2. УУД "2" '!E19</f>
        <v>0</v>
      </c>
      <c r="U22" s="90">
        <f>'2.1.2. УУД "2" '!H19</f>
        <v>0</v>
      </c>
      <c r="V22" s="90">
        <f>'2.1.2. УУД "2" '!K19</f>
        <v>0</v>
      </c>
      <c r="W22" s="39">
        <v>0</v>
      </c>
      <c r="X22" s="39">
        <v>0</v>
      </c>
      <c r="Y22" s="63">
        <f t="shared" si="1"/>
        <v>0</v>
      </c>
      <c r="Z22" s="63">
        <f t="shared" si="2"/>
        <v>2.1948947368421052</v>
      </c>
      <c r="AA22" s="63">
        <f t="shared" si="3"/>
        <v>0.10974473684210526</v>
      </c>
      <c r="AB22" s="63">
        <f t="shared" si="4"/>
        <v>4.3897894736842105</v>
      </c>
      <c r="AC22" s="507"/>
    </row>
    <row r="23" spans="1:29" x14ac:dyDescent="0.25">
      <c r="A23" s="23">
        <v>17</v>
      </c>
      <c r="B23" s="26" t="s">
        <v>151</v>
      </c>
      <c r="C23" s="91">
        <f>'2.1.1. УУД "4+5"'!E20</f>
        <v>0.5714285714285714</v>
      </c>
      <c r="D23" s="91">
        <f>'2.1.1. УУД "4+5"'!H20</f>
        <v>0.37755102040816324</v>
      </c>
      <c r="E23" s="91">
        <f>'2.1.1. УУД "4+5"'!K20</f>
        <v>0.4</v>
      </c>
      <c r="F23" s="90">
        <f>'2.1.3. ВсОШ'!GO21</f>
        <v>0.2413793103448276</v>
      </c>
      <c r="G23" s="90">
        <f>'2.1.3. ВсОШ'!GR21</f>
        <v>0</v>
      </c>
      <c r="H23" s="90">
        <f>'2.1.3. ВсОШ'!GU21</f>
        <v>0</v>
      </c>
      <c r="I23" s="90">
        <f>'2.1.3. ВсОШ'!GX21</f>
        <v>0</v>
      </c>
      <c r="J23" s="91">
        <f>'2.1.4. Конкурсы'!CA20</f>
        <v>0.1</v>
      </c>
      <c r="K23" s="91">
        <f>'2.1.4. Конкурсы'!CD20</f>
        <v>0</v>
      </c>
      <c r="L23" s="91">
        <f>'2.1.4. Конкурсы'!CG20</f>
        <v>0</v>
      </c>
      <c r="M23" s="39"/>
      <c r="N23" s="91">
        <f>'2.1.5. МАН'!M20</f>
        <v>0</v>
      </c>
      <c r="O23" s="91">
        <f>'2.1.5. МАН'!P20</f>
        <v>0</v>
      </c>
      <c r="P23" s="340">
        <f>'2.1.6. Спорт'!BS23</f>
        <v>0.33333333333333331</v>
      </c>
      <c r="Q23" s="109">
        <v>3.3000000000000002E-2</v>
      </c>
      <c r="R23" s="39">
        <v>0.1</v>
      </c>
      <c r="S23" s="56">
        <f t="shared" si="0"/>
        <v>2.1566922355148956</v>
      </c>
      <c r="T23" s="90">
        <f>'2.1.2. УУД "2" '!E20</f>
        <v>1.9047619047619049E-2</v>
      </c>
      <c r="U23" s="90">
        <f>'2.1.2. УУД "2" '!H20</f>
        <v>1.020408163265306E-2</v>
      </c>
      <c r="V23" s="90">
        <f>'2.1.2. УУД "2" '!K20</f>
        <v>0</v>
      </c>
      <c r="W23" s="39">
        <v>0</v>
      </c>
      <c r="X23" s="39">
        <v>0</v>
      </c>
      <c r="Y23" s="63">
        <f t="shared" si="1"/>
        <v>2.9251700680272108E-2</v>
      </c>
      <c r="Z23" s="63">
        <f t="shared" si="2"/>
        <v>2.1274405348346237</v>
      </c>
      <c r="AA23" s="63">
        <f t="shared" si="3"/>
        <v>0.1092971968097584</v>
      </c>
      <c r="AB23" s="63">
        <f t="shared" si="4"/>
        <v>4.2548810696692474</v>
      </c>
      <c r="AC23" s="507"/>
    </row>
    <row r="24" spans="1:29" x14ac:dyDescent="0.25">
      <c r="A24" s="23">
        <v>18</v>
      </c>
      <c r="B24" s="26" t="s">
        <v>152</v>
      </c>
      <c r="C24" s="91">
        <f>'2.1.1. УУД "4+5"'!E21</f>
        <v>0.71710526315789469</v>
      </c>
      <c r="D24" s="91">
        <f>'2.1.1. УУД "4+5"'!H21</f>
        <v>0.39361702127659576</v>
      </c>
      <c r="E24" s="91">
        <f>'2.1.1. УУД "4+5"'!K21</f>
        <v>0.4</v>
      </c>
      <c r="F24" s="90">
        <f>'2.1.3. ВсОШ'!GO22</f>
        <v>0.3</v>
      </c>
      <c r="G24" s="90">
        <f>'2.1.3. ВсОШ'!GR22</f>
        <v>0</v>
      </c>
      <c r="H24" s="90">
        <f>'2.1.3. ВсОШ'!GU22</f>
        <v>0</v>
      </c>
      <c r="I24" s="90">
        <f>'2.1.3. ВсОШ'!GX22</f>
        <v>0</v>
      </c>
      <c r="J24" s="91">
        <f>'2.1.4. Конкурсы'!CA21</f>
        <v>0.33333333333333331</v>
      </c>
      <c r="K24" s="91">
        <f>'2.1.4. Конкурсы'!CD21</f>
        <v>0</v>
      </c>
      <c r="L24" s="91">
        <f>'2.1.4. Конкурсы'!CG21</f>
        <v>0</v>
      </c>
      <c r="M24" s="39"/>
      <c r="N24" s="91">
        <f>'2.1.5. МАН'!M21</f>
        <v>0</v>
      </c>
      <c r="O24" s="91">
        <f>'2.1.5. МАН'!P21</f>
        <v>0</v>
      </c>
      <c r="P24" s="340">
        <f>'2.1.6. Спорт'!BS24</f>
        <v>0</v>
      </c>
      <c r="Q24" s="39">
        <v>3.5999999999999997E-2</v>
      </c>
      <c r="R24" s="39">
        <v>0</v>
      </c>
      <c r="S24" s="56">
        <f t="shared" si="0"/>
        <v>2.1800556177678239</v>
      </c>
      <c r="T24" s="90">
        <f>'2.1.2. УУД "2" '!E21</f>
        <v>1.3157894736842105E-2</v>
      </c>
      <c r="U24" s="90">
        <f>'2.1.2. УУД "2" '!H21</f>
        <v>4.7872340425531915E-2</v>
      </c>
      <c r="V24" s="90">
        <f>'2.1.2. УУД "2" '!K21</f>
        <v>0</v>
      </c>
      <c r="W24" s="39">
        <v>0</v>
      </c>
      <c r="X24" s="39">
        <v>0</v>
      </c>
      <c r="Y24" s="63">
        <f t="shared" si="1"/>
        <v>6.1030235162374019E-2</v>
      </c>
      <c r="Z24" s="63">
        <f t="shared" si="2"/>
        <v>2.1190253826054497</v>
      </c>
      <c r="AA24" s="63">
        <f t="shared" si="3"/>
        <v>0.1120542926465099</v>
      </c>
      <c r="AB24" s="63">
        <f t="shared" si="4"/>
        <v>4.2380507652108994</v>
      </c>
      <c r="AC24" s="507"/>
    </row>
    <row r="25" spans="1:29" s="542" customFormat="1" x14ac:dyDescent="0.25">
      <c r="A25" s="23">
        <v>19</v>
      </c>
      <c r="B25" s="26" t="s">
        <v>153</v>
      </c>
      <c r="C25" s="91">
        <f>'2.1.1. УУД "4+5"'!E22</f>
        <v>0.63043478260869568</v>
      </c>
      <c r="D25" s="91">
        <f>'2.1.1. УУД "4+5"'!H22</f>
        <v>0.36220472440944884</v>
      </c>
      <c r="E25" s="91">
        <f>'2.1.1. УУД "4+5"'!K22</f>
        <v>0.48571428571428571</v>
      </c>
      <c r="F25" s="90">
        <f>'2.1.3. ВсОШ'!GO23</f>
        <v>0.41176470588235292</v>
      </c>
      <c r="G25" s="90">
        <f>'2.1.3. ВсОШ'!GR23</f>
        <v>0</v>
      </c>
      <c r="H25" s="90">
        <f>'2.1.3. ВсОШ'!GU23</f>
        <v>0</v>
      </c>
      <c r="I25" s="90">
        <f>'2.1.3. ВсОШ'!GX23</f>
        <v>0</v>
      </c>
      <c r="J25" s="91">
        <f>'2.1.4. Конкурсы'!CA22</f>
        <v>0.14285714285714285</v>
      </c>
      <c r="K25" s="91">
        <f>'2.1.4. Конкурсы'!CD22</f>
        <v>0</v>
      </c>
      <c r="L25" s="91">
        <f>'2.1.4. Конкурсы'!CG22</f>
        <v>0</v>
      </c>
      <c r="M25" s="39"/>
      <c r="N25" s="91">
        <f>'2.1.5. МАН'!M22</f>
        <v>0</v>
      </c>
      <c r="O25" s="91">
        <f>'2.1.5. МАН'!P22</f>
        <v>0</v>
      </c>
      <c r="P25" s="340">
        <f>'2.1.6. Спорт'!BS25</f>
        <v>0.2857142857142857</v>
      </c>
      <c r="Q25" s="39">
        <v>9.0999999999999998E-2</v>
      </c>
      <c r="R25" s="39">
        <v>0</v>
      </c>
      <c r="S25" s="63">
        <f t="shared" si="0"/>
        <v>2.4096899271862116</v>
      </c>
      <c r="T25" s="90">
        <f>'2.1.2. УУД "2" '!E22</f>
        <v>0</v>
      </c>
      <c r="U25" s="90">
        <f>'2.1.2. УУД "2" '!H22</f>
        <v>0</v>
      </c>
      <c r="V25" s="90">
        <f>'2.1.2. УУД "2" '!K22</f>
        <v>0</v>
      </c>
      <c r="W25" s="39">
        <v>0</v>
      </c>
      <c r="X25" s="39">
        <v>0</v>
      </c>
      <c r="Y25" s="63">
        <f t="shared" si="1"/>
        <v>0</v>
      </c>
      <c r="Z25" s="63">
        <f t="shared" si="2"/>
        <v>2.4096899271862116</v>
      </c>
      <c r="AA25" s="63">
        <f t="shared" si="3"/>
        <v>0.12048449635931058</v>
      </c>
      <c r="AB25" s="63">
        <f t="shared" si="4"/>
        <v>4.8193798543724231</v>
      </c>
      <c r="AC25" s="541"/>
    </row>
    <row r="26" spans="1:29" x14ac:dyDescent="0.25">
      <c r="A26" s="23">
        <v>20</v>
      </c>
      <c r="B26" s="26" t="s">
        <v>154</v>
      </c>
      <c r="C26" s="91">
        <f>'2.1.1. УУД "4+5"'!E23</f>
        <v>0.64081632653061227</v>
      </c>
      <c r="D26" s="91">
        <f>'2.1.1. УУД "4+5"'!H23</f>
        <v>0.45132743362831856</v>
      </c>
      <c r="E26" s="91">
        <f>'2.1.1. УУД "4+5"'!K23</f>
        <v>0.53061224489795922</v>
      </c>
      <c r="F26" s="90">
        <f>'2.1.3. ВсОШ'!GO24</f>
        <v>0.51020408163265307</v>
      </c>
      <c r="G26" s="90">
        <f>'2.1.3. ВсОШ'!GR24</f>
        <v>0.5</v>
      </c>
      <c r="H26" s="90">
        <f>'2.1.3. ВсОШ'!GU24</f>
        <v>0</v>
      </c>
      <c r="I26" s="90">
        <f>'2.1.3. ВсОШ'!GX24</f>
        <v>0</v>
      </c>
      <c r="J26" s="91">
        <f>'2.1.4. Конкурсы'!CA23</f>
        <v>0.66666666666666663</v>
      </c>
      <c r="K26" s="91">
        <f>'2.1.4. Конкурсы'!CD23</f>
        <v>0</v>
      </c>
      <c r="L26" s="91">
        <f>'2.1.4. Конкурсы'!CG23</f>
        <v>0</v>
      </c>
      <c r="M26" s="39"/>
      <c r="N26" s="91">
        <f>'2.1.5. МАН'!M23</f>
        <v>0</v>
      </c>
      <c r="O26" s="91">
        <f>'2.1.5. МАН'!P23</f>
        <v>0</v>
      </c>
      <c r="P26" s="340">
        <f>'2.1.6. Спорт'!BS26</f>
        <v>0.33333333333333331</v>
      </c>
      <c r="Q26" s="39">
        <v>3.2000000000000001E-2</v>
      </c>
      <c r="R26" s="39">
        <v>0.111</v>
      </c>
      <c r="S26" s="56">
        <f t="shared" si="0"/>
        <v>3.7759600866895431</v>
      </c>
      <c r="T26" s="90">
        <f>'2.1.2. УУД "2" '!E23</f>
        <v>8.1632653061224497E-3</v>
      </c>
      <c r="U26" s="90">
        <f>'2.1.2. УУД "2" '!H23</f>
        <v>3.5398230088495575E-2</v>
      </c>
      <c r="V26" s="90">
        <f>'2.1.2. УУД "2" '!K23</f>
        <v>0</v>
      </c>
      <c r="W26" s="39">
        <v>0</v>
      </c>
      <c r="X26" s="39">
        <v>0</v>
      </c>
      <c r="Y26" s="63">
        <f t="shared" si="1"/>
        <v>4.3561495394618024E-2</v>
      </c>
      <c r="Z26" s="63">
        <f t="shared" si="2"/>
        <v>3.7323985912949249</v>
      </c>
      <c r="AA26" s="63">
        <f t="shared" si="3"/>
        <v>0.19097607910420805</v>
      </c>
      <c r="AB26" s="63">
        <f t="shared" si="4"/>
        <v>7.4647971825898498</v>
      </c>
      <c r="AC26" s="507"/>
    </row>
    <row r="27" spans="1:29" x14ac:dyDescent="0.25">
      <c r="A27" s="23">
        <v>21</v>
      </c>
      <c r="B27" s="26" t="s">
        <v>155</v>
      </c>
      <c r="C27" s="91">
        <f>'2.1.1. УУД "4+5"'!E24</f>
        <v>0.224</v>
      </c>
      <c r="D27" s="91">
        <f>'2.1.1. УУД "4+5"'!H24</f>
        <v>0.20200000000000001</v>
      </c>
      <c r="E27" s="91">
        <f>'2.1.1. УУД "4+5"'!K24</f>
        <v>5.6000000000000001E-2</v>
      </c>
      <c r="F27" s="90">
        <f>'2.1.3. ВсОШ'!GO25</f>
        <v>0.35</v>
      </c>
      <c r="G27" s="90">
        <f>'2.1.3. ВсОШ'!GR25</f>
        <v>0</v>
      </c>
      <c r="H27" s="90">
        <f>'2.1.3. ВсОШ'!GU25</f>
        <v>0</v>
      </c>
      <c r="I27" s="90">
        <f>'2.1.3. ВсОШ'!GX25</f>
        <v>0</v>
      </c>
      <c r="J27" s="91">
        <f>'2.1.4. Конкурсы'!CA24</f>
        <v>0.42857142857142855</v>
      </c>
      <c r="K27" s="91">
        <f>'2.1.4. Конкурсы'!CD24</f>
        <v>0</v>
      </c>
      <c r="L27" s="91">
        <f>'2.1.4. Конкурсы'!CG24</f>
        <v>0</v>
      </c>
      <c r="M27" s="39"/>
      <c r="N27" s="374">
        <f>'2.1.5. МАН'!M24</f>
        <v>0</v>
      </c>
      <c r="O27" s="91">
        <f>'2.1.5. МАН'!P24</f>
        <v>0</v>
      </c>
      <c r="P27" s="340">
        <f>'2.1.6. Спорт'!BS27</f>
        <v>0</v>
      </c>
      <c r="Q27" s="39">
        <v>4.2000000000000003E-2</v>
      </c>
      <c r="R27" s="39">
        <v>0.182</v>
      </c>
      <c r="S27" s="56">
        <f t="shared" si="0"/>
        <v>1.4845714285714287</v>
      </c>
      <c r="T27" s="90">
        <f>'2.1.2. УУД "2" '!E24</f>
        <v>0</v>
      </c>
      <c r="U27" s="90">
        <f>'2.1.2. УУД "2" '!H24</f>
        <v>0</v>
      </c>
      <c r="V27" s="90">
        <f>'2.1.2. УУД "2" '!K24</f>
        <v>0</v>
      </c>
      <c r="W27" s="39">
        <v>0</v>
      </c>
      <c r="X27" s="39">
        <v>0</v>
      </c>
      <c r="Y27" s="63">
        <f t="shared" si="1"/>
        <v>0</v>
      </c>
      <c r="Z27" s="63">
        <f t="shared" si="2"/>
        <v>1.4845714285714287</v>
      </c>
      <c r="AA27" s="63">
        <f t="shared" si="3"/>
        <v>7.4228571428571435E-2</v>
      </c>
      <c r="AB27" s="63">
        <f t="shared" si="4"/>
        <v>2.9691428571428573</v>
      </c>
      <c r="AC27" s="507"/>
    </row>
    <row r="28" spans="1:29" x14ac:dyDescent="0.25">
      <c r="A28" s="23">
        <v>22</v>
      </c>
      <c r="B28" s="26" t="s">
        <v>277</v>
      </c>
      <c r="C28" s="91">
        <f>'2.1.1. УУД "4+5"'!E25</f>
        <v>0.51063829787234039</v>
      </c>
      <c r="D28" s="91">
        <f>'2.1.1. УУД "4+5"'!H25</f>
        <v>0.39436619718309857</v>
      </c>
      <c r="E28" s="91">
        <f>'2.1.1. УУД "4+5"'!K25</f>
        <v>0.48275862068965519</v>
      </c>
      <c r="F28" s="90">
        <f>'2.1.3. ВсОШ'!GO26</f>
        <v>9.375E-2</v>
      </c>
      <c r="G28" s="90">
        <f>'2.1.3. ВсОШ'!GR26</f>
        <v>1</v>
      </c>
      <c r="H28" s="90">
        <f>'2.1.3. ВсОШ'!GU26</f>
        <v>0</v>
      </c>
      <c r="I28" s="90">
        <f>'2.1.3. ВсОШ'!GX26</f>
        <v>0</v>
      </c>
      <c r="J28" s="91">
        <f>'2.1.4. Конкурсы'!CA25</f>
        <v>5.7000000000000002E-2</v>
      </c>
      <c r="K28" s="91">
        <f>'2.1.4. Конкурсы'!CD25</f>
        <v>6.0000000000000001E-3</v>
      </c>
      <c r="L28" s="91">
        <f>'2.1.4. Конкурсы'!CG25</f>
        <v>0</v>
      </c>
      <c r="M28" s="39"/>
      <c r="N28" s="91">
        <f>'2.1.5. МАН'!M25</f>
        <v>0</v>
      </c>
      <c r="O28" s="91">
        <f>'2.1.5. МАН'!P25</f>
        <v>0</v>
      </c>
      <c r="P28" s="340">
        <f>'2.1.6. Спорт'!BS28</f>
        <v>0.2</v>
      </c>
      <c r="Q28" s="381">
        <v>0.129</v>
      </c>
      <c r="R28" s="39">
        <v>0.25</v>
      </c>
      <c r="S28" s="56">
        <f t="shared" si="0"/>
        <v>3.1235131157450939</v>
      </c>
      <c r="T28" s="90">
        <f>'2.1.2. УУД "2" '!E25</f>
        <v>0</v>
      </c>
      <c r="U28" s="90">
        <f>'2.1.2. УУД "2" '!H25</f>
        <v>0</v>
      </c>
      <c r="V28" s="90">
        <f>'2.1.2. УУД "2" '!K25</f>
        <v>0</v>
      </c>
      <c r="W28" s="39">
        <v>0</v>
      </c>
      <c r="X28" s="39">
        <v>0</v>
      </c>
      <c r="Y28" s="63">
        <f t="shared" si="1"/>
        <v>0</v>
      </c>
      <c r="Z28" s="63">
        <f t="shared" si="2"/>
        <v>3.1235131157450939</v>
      </c>
      <c r="AA28" s="63">
        <f t="shared" si="3"/>
        <v>0.1561756557872547</v>
      </c>
      <c r="AB28" s="63">
        <f t="shared" si="4"/>
        <v>6.2470262314901879</v>
      </c>
      <c r="AC28" s="507"/>
    </row>
    <row r="29" spans="1:29" x14ac:dyDescent="0.25">
      <c r="A29" s="23">
        <v>23</v>
      </c>
      <c r="B29" s="26" t="s">
        <v>156</v>
      </c>
      <c r="C29" s="91">
        <f>'2.1.1. УУД "4+5"'!E26</f>
        <v>0.64100000000000001</v>
      </c>
      <c r="D29" s="91">
        <f>'2.1.1. УУД "4+5"'!H26</f>
        <v>0.37199999999999994</v>
      </c>
      <c r="E29" s="91">
        <f>'2.1.1. УУД "4+5"'!K26</f>
        <v>0.44400000000000001</v>
      </c>
      <c r="F29" s="90">
        <f>'2.1.3. ВсОШ'!GO27</f>
        <v>0.22222222222222221</v>
      </c>
      <c r="G29" s="90">
        <f>'2.1.3. ВсОШ'!GR27</f>
        <v>0</v>
      </c>
      <c r="H29" s="90">
        <f>'2.1.3. ВсОШ'!GU27</f>
        <v>0</v>
      </c>
      <c r="I29" s="90">
        <f>'2.1.3. ВсОШ'!GX27</f>
        <v>0</v>
      </c>
      <c r="J29" s="91">
        <f>'2.1.4. Конкурсы'!CA26</f>
        <v>0.36363636363636365</v>
      </c>
      <c r="K29" s="91">
        <f>'2.1.4. Конкурсы'!CD26</f>
        <v>0.5</v>
      </c>
      <c r="L29" s="91">
        <f>'2.1.4. Конкурсы'!CG26</f>
        <v>0</v>
      </c>
      <c r="M29" s="126"/>
      <c r="N29" s="91">
        <f>'2.1.5. МАН'!M26</f>
        <v>0</v>
      </c>
      <c r="O29" s="91">
        <f>'2.1.5. МАН'!P26</f>
        <v>0</v>
      </c>
      <c r="P29" s="340">
        <f>'2.1.6. Спорт'!BS29</f>
        <v>0</v>
      </c>
      <c r="Q29" s="39">
        <v>0</v>
      </c>
      <c r="R29" s="39">
        <v>9.0999999999999998E-2</v>
      </c>
      <c r="S29" s="56">
        <f t="shared" si="0"/>
        <v>2.6338585858585861</v>
      </c>
      <c r="T29" s="90">
        <f>'2.1.2. УУД "2" '!E26</f>
        <v>0</v>
      </c>
      <c r="U29" s="90">
        <f>'2.1.2. УУД "2" '!H26</f>
        <v>0</v>
      </c>
      <c r="V29" s="90">
        <f>'2.1.2. УУД "2" '!K26</f>
        <v>0</v>
      </c>
      <c r="W29" s="39">
        <v>0</v>
      </c>
      <c r="X29" s="39">
        <v>0</v>
      </c>
      <c r="Y29" s="63">
        <f t="shared" si="1"/>
        <v>0</v>
      </c>
      <c r="Z29" s="63">
        <f t="shared" si="2"/>
        <v>2.6338585858585861</v>
      </c>
      <c r="AA29" s="63">
        <f t="shared" si="3"/>
        <v>0.13169292929292931</v>
      </c>
      <c r="AB29" s="63">
        <f t="shared" si="4"/>
        <v>5.2677171717171722</v>
      </c>
      <c r="AC29" s="507"/>
    </row>
    <row r="30" spans="1:29" x14ac:dyDescent="0.25">
      <c r="A30" s="23">
        <v>24</v>
      </c>
      <c r="B30" s="26" t="s">
        <v>157</v>
      </c>
      <c r="C30" s="91">
        <f>'2.1.1. УУД "4+5"'!E27</f>
        <v>0.63300000000000001</v>
      </c>
      <c r="D30" s="91">
        <f>'2.1.1. УУД "4+5"'!H27</f>
        <v>0.35899999999999999</v>
      </c>
      <c r="E30" s="91">
        <f>'2.1.1. УУД "4+5"'!K27</f>
        <v>0.45200000000000001</v>
      </c>
      <c r="F30" s="90">
        <f>'2.1.3. ВсОШ'!GO28</f>
        <v>0.19230769230769232</v>
      </c>
      <c r="G30" s="90">
        <f>'2.1.3. ВсОШ'!GR28</f>
        <v>0</v>
      </c>
      <c r="H30" s="90">
        <f>'2.1.3. ВсОШ'!GU28</f>
        <v>0</v>
      </c>
      <c r="I30" s="90">
        <f>'2.1.3. ВсОШ'!GX28</f>
        <v>0</v>
      </c>
      <c r="J30" s="91">
        <f>'2.1.4. Конкурсы'!CA27</f>
        <v>0.2857142857142857</v>
      </c>
      <c r="K30" s="91">
        <f>'2.1.4. Конкурсы'!CD27</f>
        <v>0</v>
      </c>
      <c r="L30" s="91">
        <f>'2.1.4. Конкурсы'!CG27</f>
        <v>0</v>
      </c>
      <c r="M30" s="39"/>
      <c r="N30" s="91">
        <f>'2.1.5. МАН'!M27</f>
        <v>0</v>
      </c>
      <c r="O30" s="91">
        <f>'2.1.5. МАН'!P27</f>
        <v>0</v>
      </c>
      <c r="P30" s="340">
        <f>'2.1.6. Спорт'!BS30</f>
        <v>0</v>
      </c>
      <c r="Q30" s="382">
        <v>5.0999999999999997E-2</v>
      </c>
      <c r="R30" s="108">
        <v>0</v>
      </c>
      <c r="S30" s="56">
        <f t="shared" si="0"/>
        <v>1.973021978021978</v>
      </c>
      <c r="T30" s="90">
        <f>'2.1.2. УУД "2" '!E27</f>
        <v>0</v>
      </c>
      <c r="U30" s="90">
        <f>'2.1.2. УУД "2" '!H27</f>
        <v>5.2083333333333337E-5</v>
      </c>
      <c r="V30" s="90">
        <f>'2.1.2. УУД "2" '!K27</f>
        <v>0</v>
      </c>
      <c r="W30" s="39">
        <v>0</v>
      </c>
      <c r="X30" s="39">
        <v>0</v>
      </c>
      <c r="Y30" s="63">
        <f t="shared" si="1"/>
        <v>5.2083333333333337E-5</v>
      </c>
      <c r="Z30" s="63">
        <f t="shared" si="2"/>
        <v>1.9729698946886447</v>
      </c>
      <c r="AA30" s="63">
        <f t="shared" si="3"/>
        <v>9.8653703067765566E-2</v>
      </c>
      <c r="AB30" s="63">
        <f t="shared" si="4"/>
        <v>3.9459397893772894</v>
      </c>
      <c r="AC30" s="507"/>
    </row>
    <row r="31" spans="1:29" x14ac:dyDescent="0.25">
      <c r="A31" s="23">
        <v>25</v>
      </c>
      <c r="B31" s="26" t="s">
        <v>159</v>
      </c>
      <c r="C31" s="91">
        <f>'2.1.1. УУД "4+5"'!E28</f>
        <v>0.56074766355140182</v>
      </c>
      <c r="D31" s="91">
        <f>'2.1.1. УУД "4+5"'!H28</f>
        <v>0.33600000000000002</v>
      </c>
      <c r="E31" s="91">
        <f>'2.1.1. УУД "4+5"'!K28</f>
        <v>0.35714285714285715</v>
      </c>
      <c r="F31" s="90">
        <f>'2.1.3. ВсОШ'!GO29</f>
        <v>0.66666666666666663</v>
      </c>
      <c r="G31" s="90">
        <f>'2.1.3. ВсОШ'!GR29</f>
        <v>0.4</v>
      </c>
      <c r="H31" s="90">
        <f>'2.1.3. ВсОШ'!GU29</f>
        <v>0</v>
      </c>
      <c r="I31" s="90">
        <f>'2.1.3. ВсОШ'!GX29</f>
        <v>0</v>
      </c>
      <c r="J31" s="91">
        <f>'2.1.4. Конкурсы'!CA28</f>
        <v>0.46666666666666667</v>
      </c>
      <c r="K31" s="91">
        <f>'2.1.4. Конкурсы'!CD28</f>
        <v>0.2</v>
      </c>
      <c r="L31" s="91">
        <f>'2.1.4. Конкурсы'!CG28</f>
        <v>0</v>
      </c>
      <c r="M31" s="39"/>
      <c r="N31" s="91">
        <f>'2.1.5. МАН'!M28</f>
        <v>0</v>
      </c>
      <c r="O31" s="91">
        <f>'2.1.5. МАН'!P28</f>
        <v>0</v>
      </c>
      <c r="P31" s="340">
        <f>'2.1.6. Спорт'!BS31</f>
        <v>0</v>
      </c>
      <c r="Q31" s="39">
        <v>0</v>
      </c>
      <c r="R31" s="39">
        <v>0.28199999999999997</v>
      </c>
      <c r="S31" s="56">
        <f t="shared" si="0"/>
        <v>3.2692238540275924</v>
      </c>
      <c r="T31" s="90">
        <f>'2.1.2. УУД "2" '!E28</f>
        <v>1.8691588785046728E-2</v>
      </c>
      <c r="U31" s="90">
        <f>'2.1.2. УУД "2" '!H28</f>
        <v>1.6E-2</v>
      </c>
      <c r="V31" s="90">
        <f>'2.1.2. УУД "2" '!K28</f>
        <v>0</v>
      </c>
      <c r="W31" s="39">
        <v>0</v>
      </c>
      <c r="X31" s="39">
        <v>0</v>
      </c>
      <c r="Y31" s="63">
        <f t="shared" si="1"/>
        <v>3.4691588785046731E-2</v>
      </c>
      <c r="Z31" s="63">
        <f t="shared" si="2"/>
        <v>3.2345322652425459</v>
      </c>
      <c r="AA31" s="63">
        <f t="shared" si="3"/>
        <v>0.16519577214063197</v>
      </c>
      <c r="AB31" s="63">
        <f t="shared" si="4"/>
        <v>6.4690645304850918</v>
      </c>
      <c r="AC31" s="507"/>
    </row>
    <row r="32" spans="1:29" x14ac:dyDescent="0.25">
      <c r="A32" s="23">
        <v>26</v>
      </c>
      <c r="B32" s="26" t="s">
        <v>160</v>
      </c>
      <c r="C32" s="91">
        <f>'2.1.1. УУД "4+5"'!E29</f>
        <v>0.71099999999999997</v>
      </c>
      <c r="D32" s="91">
        <f>'2.1.1. УУД "4+5"'!H29</f>
        <v>0.44600000000000001</v>
      </c>
      <c r="E32" s="91">
        <f>'2.1.1. УУД "4+5"'!K29</f>
        <v>0.47699999999999998</v>
      </c>
      <c r="F32" s="90">
        <f>'2.1.3. ВсОШ'!GO30</f>
        <v>0.34615384615384615</v>
      </c>
      <c r="G32" s="90">
        <f>'2.1.3. ВсОШ'!GR30</f>
        <v>0</v>
      </c>
      <c r="H32" s="90">
        <f>'2.1.3. ВсОШ'!GU30</f>
        <v>0</v>
      </c>
      <c r="I32" s="90">
        <f>'2.1.3. ВсОШ'!GX30</f>
        <v>0</v>
      </c>
      <c r="J32" s="91">
        <f>'2.1.4. Конкурсы'!CA29</f>
        <v>0.3125</v>
      </c>
      <c r="K32" s="91">
        <f>'2.1.4. Конкурсы'!CD29</f>
        <v>0.2</v>
      </c>
      <c r="L32" s="91">
        <f>'2.1.4. Конкурсы'!CG29</f>
        <v>0</v>
      </c>
      <c r="M32" s="129"/>
      <c r="N32" s="91">
        <f>'2.1.5. МАН'!M28</f>
        <v>0</v>
      </c>
      <c r="O32" s="91">
        <f>'2.1.5. МАН'!P28</f>
        <v>0</v>
      </c>
      <c r="P32" s="340">
        <f>'2.1.6. Спорт'!BS32</f>
        <v>0</v>
      </c>
      <c r="Q32" s="39">
        <v>0</v>
      </c>
      <c r="R32" s="39">
        <v>0.185</v>
      </c>
      <c r="S32" s="56">
        <f t="shared" si="0"/>
        <v>2.6776538461538464</v>
      </c>
      <c r="T32" s="90">
        <f>'2.1.2. УУД "2" '!E29</f>
        <v>8.771929824561403E-3</v>
      </c>
      <c r="U32" s="90">
        <f>'2.1.2. УУД "2" '!H29</f>
        <v>0</v>
      </c>
      <c r="V32" s="90">
        <f>'2.1.2. УУД "2" '!K29</f>
        <v>0</v>
      </c>
      <c r="W32" s="39">
        <v>0</v>
      </c>
      <c r="X32" s="39">
        <v>0</v>
      </c>
      <c r="Y32" s="63">
        <f t="shared" si="1"/>
        <v>8.771929824561403E-3</v>
      </c>
      <c r="Z32" s="63">
        <f t="shared" si="2"/>
        <v>2.6688819163292852</v>
      </c>
      <c r="AA32" s="63">
        <f t="shared" si="3"/>
        <v>0.13432128879892041</v>
      </c>
      <c r="AB32" s="63">
        <f t="shared" si="4"/>
        <v>5.3377638326585704</v>
      </c>
      <c r="AC32" s="507"/>
    </row>
    <row r="33" spans="1:1022" x14ac:dyDescent="0.25">
      <c r="A33" s="23">
        <v>27</v>
      </c>
      <c r="B33" s="26" t="s">
        <v>158</v>
      </c>
      <c r="C33" s="91">
        <f>'2.1.1. УУД "4+5"'!E30</f>
        <v>0.44222222222222224</v>
      </c>
      <c r="D33" s="91">
        <f>'2.1.1. УУД "4+5"'!H30</f>
        <v>0.44036697247706424</v>
      </c>
      <c r="E33" s="91">
        <f>'2.1.1. УУД "4+5"'!K30</f>
        <v>0.43835616438356162</v>
      </c>
      <c r="F33" s="90">
        <f>'2.1.3. ВсОШ'!GO31</f>
        <v>0.48</v>
      </c>
      <c r="G33" s="90">
        <f>'2.1.3. ВсОШ'!GR31</f>
        <v>0</v>
      </c>
      <c r="H33" s="90">
        <f>'2.1.3. ВсОШ'!GU31</f>
        <v>0</v>
      </c>
      <c r="I33" s="90">
        <f>'2.1.3. ВсОШ'!GX31</f>
        <v>0</v>
      </c>
      <c r="J33" s="91">
        <f>'2.1.4. Конкурсы'!CA30</f>
        <v>0.2857142857142857</v>
      </c>
      <c r="K33" s="91">
        <f>'2.1.4. Конкурсы'!CD30</f>
        <v>0</v>
      </c>
      <c r="L33" s="91">
        <f>'2.1.4. Конкурсы'!CG30</f>
        <v>0</v>
      </c>
      <c r="M33" s="129"/>
      <c r="N33" s="91">
        <f>'2.1.5. МАН'!M29</f>
        <v>0</v>
      </c>
      <c r="O33" s="91">
        <f>'2.1.5. МАН'!P29</f>
        <v>0</v>
      </c>
      <c r="P33" s="340">
        <f>'2.1.6. Спорт'!BS33</f>
        <v>0</v>
      </c>
      <c r="Q33" s="39">
        <v>9.7000000000000003E-2</v>
      </c>
      <c r="R33" s="39">
        <v>0.14199999999999999</v>
      </c>
      <c r="S33" s="56">
        <f t="shared" si="0"/>
        <v>2.3256596447971338</v>
      </c>
      <c r="T33" s="90">
        <f>'2.1.2. УУД "2" '!E30</f>
        <v>0</v>
      </c>
      <c r="U33" s="90">
        <f>'2.1.2. УУД "2" '!H30</f>
        <v>0</v>
      </c>
      <c r="V33" s="90">
        <f>'2.1.2. УУД "2" '!K30</f>
        <v>0</v>
      </c>
      <c r="W33" s="39">
        <v>0</v>
      </c>
      <c r="X33" s="39">
        <v>0</v>
      </c>
      <c r="Y33" s="63">
        <f t="shared" si="1"/>
        <v>0</v>
      </c>
      <c r="Z33" s="63">
        <f t="shared" si="2"/>
        <v>2.3256596447971338</v>
      </c>
      <c r="AA33" s="63">
        <f t="shared" si="3"/>
        <v>0.1162829822398567</v>
      </c>
      <c r="AB33" s="63">
        <f t="shared" si="4"/>
        <v>4.6513192895942677</v>
      </c>
      <c r="AC33" s="507"/>
    </row>
    <row r="34" spans="1:1022" x14ac:dyDescent="0.25">
      <c r="A34" s="23">
        <v>28</v>
      </c>
      <c r="B34" s="26" t="s">
        <v>161</v>
      </c>
      <c r="C34" s="91">
        <f>'2.1.1. УУД "4+5"'!E31</f>
        <v>0.42857142857142855</v>
      </c>
      <c r="D34" s="91">
        <f>'2.1.1. УУД "4+5"'!H31</f>
        <v>0.44751381215469616</v>
      </c>
      <c r="E34" s="91">
        <f>'2.1.1. УУД "4+5"'!K31</f>
        <v>0.56521739130434778</v>
      </c>
      <c r="F34" s="90">
        <f>'2.1.3. ВсОШ'!GO32</f>
        <v>8.6956521739130432E-2</v>
      </c>
      <c r="G34" s="90">
        <f>'2.1.3. ВсОШ'!GR32</f>
        <v>0</v>
      </c>
      <c r="H34" s="90">
        <f>'2.1.3. ВсОШ'!GU32</f>
        <v>0</v>
      </c>
      <c r="I34" s="90">
        <f>'2.1.3. ВсОШ'!GX32</f>
        <v>0</v>
      </c>
      <c r="J34" s="91">
        <f>'2.1.4. Конкурсы'!CA31</f>
        <v>0.30769230769230771</v>
      </c>
      <c r="K34" s="91">
        <f>'2.1.4. Конкурсы'!CD31</f>
        <v>0</v>
      </c>
      <c r="L34" s="91">
        <f>'2.1.4. Конкурсы'!CG31</f>
        <v>0</v>
      </c>
      <c r="M34" s="39"/>
      <c r="N34" s="91">
        <f>'2.1.5. МАН'!M31</f>
        <v>0</v>
      </c>
      <c r="O34" s="91">
        <f>'2.1.5. МАН'!P31</f>
        <v>0</v>
      </c>
      <c r="P34" s="340">
        <f>'2.1.6. Спорт'!BS34</f>
        <v>0.2857142857142857</v>
      </c>
      <c r="Q34" s="39">
        <v>3.1E-2</v>
      </c>
      <c r="R34" s="39">
        <v>0</v>
      </c>
      <c r="S34" s="56">
        <f t="shared" si="0"/>
        <v>2.1526657471761963</v>
      </c>
      <c r="T34" s="90">
        <f>'2.1.2. УУД "2" '!E31</f>
        <v>0</v>
      </c>
      <c r="U34" s="90">
        <f>'2.1.2. УУД "2" '!H31</f>
        <v>0</v>
      </c>
      <c r="V34" s="90">
        <f>'2.1.2. УУД "2" '!K31</f>
        <v>0</v>
      </c>
      <c r="W34" s="39">
        <v>0</v>
      </c>
      <c r="X34" s="39">
        <v>0</v>
      </c>
      <c r="Y34" s="63">
        <f t="shared" si="1"/>
        <v>0</v>
      </c>
      <c r="Z34" s="63">
        <f t="shared" si="2"/>
        <v>2.1526657471761963</v>
      </c>
      <c r="AA34" s="63">
        <f t="shared" si="3"/>
        <v>0.10763328735880981</v>
      </c>
      <c r="AB34" s="63">
        <f t="shared" si="4"/>
        <v>4.3053314943523926</v>
      </c>
      <c r="AC34" s="507"/>
    </row>
    <row r="35" spans="1:1022" x14ac:dyDescent="0.25">
      <c r="A35" s="23">
        <v>29</v>
      </c>
      <c r="B35" s="26" t="s">
        <v>162</v>
      </c>
      <c r="C35" s="91">
        <f>'2.1.1. УУД "4+5"'!E32</f>
        <v>0.72699999999999998</v>
      </c>
      <c r="D35" s="91">
        <f>'2.1.1. УУД "4+5"'!H32</f>
        <v>0.441</v>
      </c>
      <c r="E35" s="91">
        <f>'2.1.1. УУД "4+5"'!K32</f>
        <v>0.56299999999999994</v>
      </c>
      <c r="F35" s="90">
        <f>'2.1.3. ВсОШ'!GO33</f>
        <v>0.22222222222222221</v>
      </c>
      <c r="G35" s="90">
        <f>'2.1.3. ВсОШ'!GR33</f>
        <v>0</v>
      </c>
      <c r="H35" s="90">
        <f>'2.1.3. ВсОШ'!GU33</f>
        <v>0</v>
      </c>
      <c r="I35" s="90">
        <f>'2.1.3. ВсОШ'!GX33</f>
        <v>0</v>
      </c>
      <c r="J35" s="91">
        <f>'2.1.4. Конкурсы'!CA32</f>
        <v>0.4</v>
      </c>
      <c r="K35" s="91">
        <f>'2.1.4. Конкурсы'!CD32</f>
        <v>1</v>
      </c>
      <c r="L35" s="91">
        <f>'2.1.4. Конкурсы'!CG32</f>
        <v>0</v>
      </c>
      <c r="M35" s="39"/>
      <c r="N35" s="91">
        <f>'2.1.5. МАН'!M32</f>
        <v>1</v>
      </c>
      <c r="O35" s="374">
        <f>'2.1.5. МАН'!P32</f>
        <v>0.5</v>
      </c>
      <c r="P35" s="340">
        <f>'2.1.6. Спорт'!BS35</f>
        <v>0</v>
      </c>
      <c r="Q35" s="39">
        <v>0</v>
      </c>
      <c r="R35" s="39">
        <v>0</v>
      </c>
      <c r="S35" s="56">
        <f t="shared" si="0"/>
        <v>4.8532222222222217</v>
      </c>
      <c r="T35" s="90">
        <f>'2.1.2. УУД "2" '!E32</f>
        <v>0</v>
      </c>
      <c r="U35" s="90">
        <f>'2.1.2. УУД "2" '!H32</f>
        <v>0</v>
      </c>
      <c r="V35" s="90">
        <f>'2.1.2. УУД "2" '!K32</f>
        <v>0</v>
      </c>
      <c r="W35" s="39">
        <v>0</v>
      </c>
      <c r="X35" s="39">
        <v>0</v>
      </c>
      <c r="Y35" s="63">
        <f t="shared" si="1"/>
        <v>0</v>
      </c>
      <c r="Z35" s="63">
        <f t="shared" si="2"/>
        <v>4.8532222222222217</v>
      </c>
      <c r="AA35" s="63">
        <f t="shared" si="3"/>
        <v>0.24266111111111108</v>
      </c>
      <c r="AB35" s="63">
        <f t="shared" si="4"/>
        <v>9.7064444444444433</v>
      </c>
      <c r="AC35" s="507"/>
    </row>
    <row r="36" spans="1:1022" x14ac:dyDescent="0.25">
      <c r="A36" s="23">
        <v>30</v>
      </c>
      <c r="B36" s="26" t="s">
        <v>163</v>
      </c>
      <c r="C36" s="91">
        <f>'2.1.1. УУД "4+5"'!E33</f>
        <v>0.65413533834586468</v>
      </c>
      <c r="D36" s="91">
        <f>'2.1.1. УУД "4+5"'!H33</f>
        <v>0.44767441860465118</v>
      </c>
      <c r="E36" s="91">
        <f>'2.1.1. УУД "4+5"'!K33</f>
        <v>0.5714285714285714</v>
      </c>
      <c r="F36" s="90">
        <f>'2.1.3. ВсОШ'!GO34</f>
        <v>0.26923076923076922</v>
      </c>
      <c r="G36" s="90">
        <f>'2.1.3. ВсОШ'!GR34</f>
        <v>0</v>
      </c>
      <c r="H36" s="90">
        <f>'2.1.3. ВсОШ'!GU34</f>
        <v>0</v>
      </c>
      <c r="I36" s="90">
        <f>'2.1.3. ВсОШ'!GX34</f>
        <v>0</v>
      </c>
      <c r="J36" s="91">
        <f>'2.1.4. Конкурсы'!CA33</f>
        <v>0.38461538461538464</v>
      </c>
      <c r="K36" s="91">
        <f>'2.1.4. Конкурсы'!CD33</f>
        <v>0</v>
      </c>
      <c r="L36" s="91">
        <f>'2.1.4. Конкурсы'!CG33</f>
        <v>0</v>
      </c>
      <c r="M36" s="39"/>
      <c r="N36" s="91">
        <f>'2.1.5. МАН'!M33</f>
        <v>0</v>
      </c>
      <c r="O36" s="91">
        <f>'2.1.5. МАН'!P33</f>
        <v>0</v>
      </c>
      <c r="P36" s="340">
        <f>'2.1.6. Спорт'!BS36</f>
        <v>0</v>
      </c>
      <c r="Q36" s="39">
        <v>0</v>
      </c>
      <c r="R36" s="39">
        <v>7.6999999999999999E-2</v>
      </c>
      <c r="S36" s="56">
        <f t="shared" si="0"/>
        <v>2.4040844822252412</v>
      </c>
      <c r="T36" s="90">
        <f>'2.1.2. УУД "2" '!E33</f>
        <v>0</v>
      </c>
      <c r="U36" s="90">
        <f>'2.1.2. УУД "2" '!H33</f>
        <v>0</v>
      </c>
      <c r="V36" s="90">
        <f>'2.1.2. УУД "2" '!K33</f>
        <v>0</v>
      </c>
      <c r="W36" s="39">
        <v>0</v>
      </c>
      <c r="X36" s="39">
        <v>0</v>
      </c>
      <c r="Y36" s="63">
        <f t="shared" si="1"/>
        <v>0</v>
      </c>
      <c r="Z36" s="63">
        <f t="shared" si="2"/>
        <v>2.4040844822252412</v>
      </c>
      <c r="AA36" s="63">
        <f t="shared" si="3"/>
        <v>0.12020422411126205</v>
      </c>
      <c r="AB36" s="63">
        <f t="shared" si="4"/>
        <v>4.8081689644504824</v>
      </c>
      <c r="AC36" s="507"/>
    </row>
    <row r="37" spans="1:1022" x14ac:dyDescent="0.25">
      <c r="A37" s="23">
        <v>31</v>
      </c>
      <c r="B37" s="26" t="s">
        <v>164</v>
      </c>
      <c r="C37" s="91">
        <f>'2.1.1. УУД "4+5"'!E34</f>
        <v>0.6</v>
      </c>
      <c r="D37" s="91">
        <f>'2.1.1. УУД "4+5"'!H34</f>
        <v>0.36499999999999999</v>
      </c>
      <c r="E37" s="91">
        <f>'2.1.1. УУД "4+5"'!K34</f>
        <v>0.44800000000000001</v>
      </c>
      <c r="F37" s="90">
        <f>'2.1.3. ВсОШ'!GO35</f>
        <v>0.27777777777777779</v>
      </c>
      <c r="G37" s="90">
        <f>'2.1.3. ВсОШ'!GR35</f>
        <v>0</v>
      </c>
      <c r="H37" s="90">
        <f>'2.1.3. ВсОШ'!GU35</f>
        <v>0</v>
      </c>
      <c r="I37" s="90">
        <f>'2.1.3. ВсОШ'!GX35</f>
        <v>0</v>
      </c>
      <c r="J37" s="91">
        <f>'2.1.4. Конкурсы'!CA34</f>
        <v>0.33333333333333331</v>
      </c>
      <c r="K37" s="91">
        <f>'2.1.4. Конкурсы'!CD34</f>
        <v>0</v>
      </c>
      <c r="L37" s="91">
        <f>'2.1.4. Конкурсы'!CG34</f>
        <v>0</v>
      </c>
      <c r="M37" s="39"/>
      <c r="N37" s="91">
        <f>'2.1.5. МАН'!M34</f>
        <v>0</v>
      </c>
      <c r="O37" s="91">
        <f>'2.1.5. МАН'!P34</f>
        <v>0</v>
      </c>
      <c r="P37" s="340">
        <f>'2.1.6. Спорт'!BS37</f>
        <v>0</v>
      </c>
      <c r="Q37" s="39">
        <v>0</v>
      </c>
      <c r="R37" s="39">
        <v>0.16700000000000001</v>
      </c>
      <c r="S37" s="56">
        <f t="shared" si="0"/>
        <v>2.1911111111111112</v>
      </c>
      <c r="T37" s="90">
        <f>'2.1.2. УУД "2" '!E34</f>
        <v>3.4883720930232558E-2</v>
      </c>
      <c r="U37" s="90">
        <f>'2.1.2. УУД "2" '!H34</f>
        <v>0</v>
      </c>
      <c r="V37" s="90">
        <f>'2.1.2. УУД "2" '!K34</f>
        <v>0.10344827586206896</v>
      </c>
      <c r="W37" s="39">
        <v>0</v>
      </c>
      <c r="X37" s="39">
        <v>0</v>
      </c>
      <c r="Y37" s="63">
        <f t="shared" si="1"/>
        <v>0.13833199679230151</v>
      </c>
      <c r="Z37" s="63">
        <f t="shared" si="2"/>
        <v>2.0527791143188097</v>
      </c>
      <c r="AA37" s="63">
        <f t="shared" si="3"/>
        <v>0.11647215539517061</v>
      </c>
      <c r="AB37" s="63">
        <f t="shared" si="4"/>
        <v>4.1055582286376193</v>
      </c>
      <c r="AC37" s="507"/>
    </row>
    <row r="38" spans="1:1022" x14ac:dyDescent="0.25">
      <c r="A38" s="23">
        <v>32</v>
      </c>
      <c r="B38" s="26" t="s">
        <v>165</v>
      </c>
      <c r="C38" s="91">
        <f>'2.1.1. УУД "4+5"'!E35</f>
        <v>0.73</v>
      </c>
      <c r="D38" s="91">
        <f>'2.1.1. УУД "4+5"'!H35</f>
        <v>0.44800000000000001</v>
      </c>
      <c r="E38" s="91"/>
      <c r="F38" s="90">
        <f>'2.1.3. ВсОШ'!GO36</f>
        <v>0.19230769230769232</v>
      </c>
      <c r="G38" s="90">
        <f>'2.1.3. ВсОШ'!GR36</f>
        <v>0.5</v>
      </c>
      <c r="H38" s="90">
        <f>'2.1.3. ВсОШ'!GU36</f>
        <v>0</v>
      </c>
      <c r="I38" s="90">
        <f>'2.1.3. ВсОШ'!GX36</f>
        <v>0</v>
      </c>
      <c r="J38" s="91">
        <f>'2.1.4. Конкурсы'!CA35</f>
        <v>0.3</v>
      </c>
      <c r="K38" s="91">
        <f>'2.1.4. Конкурсы'!CD35</f>
        <v>0.33333333333333331</v>
      </c>
      <c r="L38" s="91">
        <f>'2.1.4. Конкурсы'!CG35</f>
        <v>0</v>
      </c>
      <c r="M38" s="39"/>
      <c r="N38" s="91">
        <f>'2.1.5. МАН'!M35</f>
        <v>0</v>
      </c>
      <c r="O38" s="91">
        <f>'2.1.5. МАН'!P35</f>
        <v>0</v>
      </c>
      <c r="P38" s="340">
        <f>'2.1.6. Спорт'!BS38</f>
        <v>0.14285714285714285</v>
      </c>
      <c r="Q38" s="39">
        <v>0</v>
      </c>
      <c r="R38" s="39"/>
      <c r="S38" s="56">
        <f t="shared" si="0"/>
        <v>2.6464981684981685</v>
      </c>
      <c r="T38" s="90">
        <f>'2.1.2. УУД "2" '!E35</f>
        <v>6.6225165562913907E-3</v>
      </c>
      <c r="U38" s="90">
        <f>'2.1.2. УУД "2" '!H35</f>
        <v>2.3255813953488372E-2</v>
      </c>
      <c r="V38" s="90"/>
      <c r="W38" s="39">
        <v>0</v>
      </c>
      <c r="X38" s="39"/>
      <c r="Y38" s="63">
        <f t="shared" si="1"/>
        <v>2.9878330509779762E-2</v>
      </c>
      <c r="Z38" s="63">
        <f t="shared" si="2"/>
        <v>2.6166198379883889</v>
      </c>
      <c r="AA38" s="63">
        <f t="shared" si="3"/>
        <v>0.16727353118799676</v>
      </c>
      <c r="AB38" s="63">
        <f t="shared" si="4"/>
        <v>5.2332396759767779</v>
      </c>
      <c r="AC38" s="507"/>
    </row>
    <row r="39" spans="1:1022" x14ac:dyDescent="0.25">
      <c r="A39" s="23">
        <v>33</v>
      </c>
      <c r="B39" s="26" t="s">
        <v>166</v>
      </c>
      <c r="C39" s="91">
        <f>'2.1.1. УУД "4+5"'!E36</f>
        <v>0.625</v>
      </c>
      <c r="D39" s="91">
        <f>'2.1.1. УУД "4+5"'!H36</f>
        <v>0.22988505747126436</v>
      </c>
      <c r="E39" s="91">
        <f>'2.1.1. УУД "4+5"'!K36</f>
        <v>0.23076923076923078</v>
      </c>
      <c r="F39" s="90">
        <f>'2.1.3. ВсОШ'!GO37</f>
        <v>0.125</v>
      </c>
      <c r="G39" s="90">
        <f>'2.1.3. ВсОШ'!GR37</f>
        <v>0</v>
      </c>
      <c r="H39" s="90">
        <f>'2.1.3. ВсОШ'!GU37</f>
        <v>0</v>
      </c>
      <c r="I39" s="90">
        <f>'2.1.3. ВсОШ'!GX37</f>
        <v>0</v>
      </c>
      <c r="J39" s="91">
        <f>'2.1.4. Конкурсы'!CA36</f>
        <v>0.25</v>
      </c>
      <c r="K39" s="91">
        <f>'2.1.4. Конкурсы'!CD36</f>
        <v>0.33333333333333331</v>
      </c>
      <c r="L39" s="91">
        <f>'2.1.4. Конкурсы'!CG36</f>
        <v>0</v>
      </c>
      <c r="M39" s="39"/>
      <c r="N39" s="91">
        <f>'2.1.5. МАН'!M36</f>
        <v>0</v>
      </c>
      <c r="O39" s="91">
        <f>'2.1.5. МАН'!P36</f>
        <v>0</v>
      </c>
      <c r="P39" s="340">
        <f>'2.1.6. Спорт'!BS39</f>
        <v>0</v>
      </c>
      <c r="Q39" s="39">
        <v>0</v>
      </c>
      <c r="R39" s="39">
        <v>0</v>
      </c>
      <c r="S39" s="56">
        <f t="shared" si="0"/>
        <v>1.7939876215738284</v>
      </c>
      <c r="T39" s="90">
        <f>'2.1.2. УУД "2" '!E36</f>
        <v>1.9230769230769232E-2</v>
      </c>
      <c r="U39" s="90">
        <f>'2.1.2. УУД "2" '!H36</f>
        <v>4.5977011494252873E-2</v>
      </c>
      <c r="V39" s="90">
        <f>'2.1.2. УУД "2" '!K36</f>
        <v>0</v>
      </c>
      <c r="W39" s="39">
        <v>0</v>
      </c>
      <c r="X39" s="39">
        <v>0</v>
      </c>
      <c r="Y39" s="63">
        <f t="shared" si="1"/>
        <v>6.5207780725022105E-2</v>
      </c>
      <c r="Z39" s="63">
        <f t="shared" si="2"/>
        <v>1.7287798408488062</v>
      </c>
      <c r="AA39" s="63">
        <f t="shared" si="3"/>
        <v>9.2959770114942525E-2</v>
      </c>
      <c r="AB39" s="63">
        <f t="shared" si="4"/>
        <v>3.4575596816976124</v>
      </c>
      <c r="AC39" s="507"/>
    </row>
    <row r="40" spans="1:1022" x14ac:dyDescent="0.25">
      <c r="A40" s="23">
        <v>34</v>
      </c>
      <c r="B40" s="26" t="s">
        <v>167</v>
      </c>
      <c r="C40" s="91">
        <f>'2.1.1. УУД "4+5"'!E37</f>
        <v>0.5467625899280576</v>
      </c>
      <c r="D40" s="91">
        <f>'2.1.1. УУД "4+5"'!H37</f>
        <v>0.30726256983240224</v>
      </c>
      <c r="E40" s="91">
        <f>'2.1.1. УУД "4+5"'!K37</f>
        <v>0.51851851851851849</v>
      </c>
      <c r="F40" s="90">
        <f>'2.1.3. ВсОШ'!GO38</f>
        <v>0.22222222222222221</v>
      </c>
      <c r="G40" s="90">
        <f>'2.1.3. ВсОШ'!GR38</f>
        <v>0</v>
      </c>
      <c r="H40" s="90">
        <f>'2.1.3. ВсОШ'!GU38</f>
        <v>0</v>
      </c>
      <c r="I40" s="90">
        <f>'2.1.3. ВсОШ'!GX38</f>
        <v>0</v>
      </c>
      <c r="J40" s="91">
        <f>'2.1.4. Конкурсы'!CA37</f>
        <v>0.42857142857142855</v>
      </c>
      <c r="K40" s="91">
        <f>'2.1.4. Конкурсы'!CD37</f>
        <v>0</v>
      </c>
      <c r="L40" s="91">
        <f>'2.1.4. Конкурсы'!CG37</f>
        <v>0</v>
      </c>
      <c r="M40" s="39"/>
      <c r="N40" s="91">
        <f>'2.1.5. МАН'!M37</f>
        <v>1</v>
      </c>
      <c r="O40" s="91">
        <f>'2.1.5. МАН'!P37</f>
        <v>1</v>
      </c>
      <c r="P40" s="340">
        <f>'2.1.6. Спорт'!BS40</f>
        <v>0</v>
      </c>
      <c r="Q40" s="39">
        <v>0</v>
      </c>
      <c r="R40" s="39">
        <v>6.7000000000000004E-2</v>
      </c>
      <c r="S40" s="56">
        <f t="shared" si="0"/>
        <v>4.0903373290726286</v>
      </c>
      <c r="T40" s="90">
        <f>'2.1.2. УУД "2" '!E37</f>
        <v>0</v>
      </c>
      <c r="U40" s="90">
        <f>'2.1.2. УУД "2" '!H37</f>
        <v>0</v>
      </c>
      <c r="V40" s="90">
        <f>'2.1.2. УУД "2" '!K37</f>
        <v>0</v>
      </c>
      <c r="W40" s="39">
        <v>0</v>
      </c>
      <c r="X40" s="39">
        <v>0</v>
      </c>
      <c r="Y40" s="63">
        <f t="shared" si="1"/>
        <v>0</v>
      </c>
      <c r="Z40" s="63">
        <f t="shared" si="2"/>
        <v>4.0903373290726286</v>
      </c>
      <c r="AA40" s="63">
        <f t="shared" si="3"/>
        <v>0.20451686645363143</v>
      </c>
      <c r="AB40" s="63">
        <f t="shared" si="4"/>
        <v>8.1806746581452572</v>
      </c>
      <c r="AC40" s="507"/>
    </row>
    <row r="41" spans="1:1022" x14ac:dyDescent="0.25">
      <c r="A41" s="23">
        <v>35</v>
      </c>
      <c r="B41" s="26" t="s">
        <v>168</v>
      </c>
      <c r="C41" s="91">
        <f>'2.1.1. УУД "4+5"'!E38</f>
        <v>0.57446808510638303</v>
      </c>
      <c r="D41" s="91">
        <f>'2.1.1. УУД "4+5"'!H38</f>
        <v>0.36994219653179189</v>
      </c>
      <c r="E41" s="91">
        <f>'2.1.1. УУД "4+5"'!K38</f>
        <v>0.375</v>
      </c>
      <c r="F41" s="90">
        <f>'2.1.3. ВсОШ'!GO39</f>
        <v>0.19354838709677419</v>
      </c>
      <c r="G41" s="90">
        <f>'2.1.3. ВсОШ'!GR39</f>
        <v>0.5</v>
      </c>
      <c r="H41" s="90">
        <f>'2.1.3. ВсОШ'!GU39</f>
        <v>0</v>
      </c>
      <c r="I41" s="90">
        <f>'2.1.3. ВсОШ'!GX39</f>
        <v>0</v>
      </c>
      <c r="J41" s="91">
        <f>'2.1.4. Конкурсы'!CA38</f>
        <v>0</v>
      </c>
      <c r="K41" s="91">
        <f>'2.1.4. Конкурсы'!CD38</f>
        <v>0</v>
      </c>
      <c r="L41" s="91">
        <f>'2.1.4. Конкурсы'!CG38</f>
        <v>0</v>
      </c>
      <c r="M41" s="39"/>
      <c r="N41" s="91">
        <f>'2.1.5. МАН'!M38</f>
        <v>0</v>
      </c>
      <c r="O41" s="91">
        <f>'2.1.5. МАН'!P38</f>
        <v>0</v>
      </c>
      <c r="P41" s="340">
        <f>'2.1.6. Спорт'!BS41</f>
        <v>0.2857142857142857</v>
      </c>
      <c r="Q41" s="39">
        <v>3.6999999999999998E-2</v>
      </c>
      <c r="R41" s="39">
        <v>0</v>
      </c>
      <c r="S41" s="56">
        <f t="shared" si="0"/>
        <v>2.335672954449235</v>
      </c>
      <c r="T41" s="90">
        <f>'2.1.2. УУД "2" '!E38</f>
        <v>7.0921985815602835E-3</v>
      </c>
      <c r="U41" s="90">
        <f>'2.1.2. УУД "2" '!H38</f>
        <v>0</v>
      </c>
      <c r="V41" s="90">
        <f>'2.1.2. УУД "2" '!K38</f>
        <v>0</v>
      </c>
      <c r="W41" s="39">
        <v>0</v>
      </c>
      <c r="X41" s="39">
        <v>0</v>
      </c>
      <c r="Y41" s="63">
        <f t="shared" si="1"/>
        <v>7.0921985815602835E-3</v>
      </c>
      <c r="Z41" s="63">
        <f t="shared" si="2"/>
        <v>2.3285807558676748</v>
      </c>
      <c r="AA41" s="63">
        <f t="shared" si="3"/>
        <v>0.11713825765153976</v>
      </c>
      <c r="AB41" s="63">
        <f t="shared" si="4"/>
        <v>4.6571615117353495</v>
      </c>
      <c r="AC41" s="507"/>
    </row>
    <row r="42" spans="1:1022" s="88" customFormat="1" x14ac:dyDescent="0.25">
      <c r="A42" s="125">
        <v>36</v>
      </c>
      <c r="B42" s="87" t="s">
        <v>169</v>
      </c>
      <c r="C42" s="91">
        <f>'2.1.1. УУД "4+5"'!E39</f>
        <v>0.8125</v>
      </c>
      <c r="D42" s="91">
        <f>'2.1.1. УУД "4+5"'!H39</f>
        <v>0.43820224719101125</v>
      </c>
      <c r="E42" s="91">
        <f>'2.1.1. УУД "4+5"'!K39</f>
        <v>0.22222222222222221</v>
      </c>
      <c r="F42" s="90">
        <f>'2.1.3. ВсОШ'!GO40</f>
        <v>0.27272727272727271</v>
      </c>
      <c r="G42" s="90">
        <f>'2.1.3. ВсОШ'!GR40</f>
        <v>0</v>
      </c>
      <c r="H42" s="90">
        <f>'2.1.3. ВсОШ'!GU40</f>
        <v>0</v>
      </c>
      <c r="I42" s="90">
        <f>'2.1.3. ВсОШ'!GX40</f>
        <v>0</v>
      </c>
      <c r="J42" s="91">
        <v>0.222</v>
      </c>
      <c r="K42" s="91">
        <f>'2.1.4. Конкурсы'!CD39</f>
        <v>0</v>
      </c>
      <c r="L42" s="91">
        <f>'2.1.4. Конкурсы'!CG39</f>
        <v>0</v>
      </c>
      <c r="M42" s="39"/>
      <c r="N42" s="91">
        <f>'2.1.5. МАН'!M39</f>
        <v>0</v>
      </c>
      <c r="O42" s="91">
        <f>'2.1.5. МАН'!P39</f>
        <v>0</v>
      </c>
      <c r="P42" s="340">
        <f>'2.1.6. Спорт'!BS42</f>
        <v>0</v>
      </c>
      <c r="Q42" s="39">
        <v>0.111</v>
      </c>
      <c r="R42" s="39">
        <v>0</v>
      </c>
      <c r="S42" s="56">
        <f t="shared" si="0"/>
        <v>2.0786517421405062</v>
      </c>
      <c r="T42" s="90">
        <f>'2.1.2. УУД "2" '!E39</f>
        <v>0</v>
      </c>
      <c r="U42" s="90">
        <f>'2.1.2. УУД "2" '!H39</f>
        <v>0</v>
      </c>
      <c r="V42" s="90">
        <f>'2.1.2. УУД "2" '!K39</f>
        <v>0</v>
      </c>
      <c r="W42" s="39">
        <v>0</v>
      </c>
      <c r="X42" s="39">
        <v>0</v>
      </c>
      <c r="Y42" s="63">
        <f t="shared" si="1"/>
        <v>0</v>
      </c>
      <c r="Z42" s="63">
        <f t="shared" si="2"/>
        <v>2.0786517421405062</v>
      </c>
      <c r="AA42" s="63">
        <f t="shared" si="3"/>
        <v>0.10393258710702531</v>
      </c>
      <c r="AB42" s="63">
        <f t="shared" si="4"/>
        <v>4.1573034842810124</v>
      </c>
      <c r="AC42" s="507"/>
    </row>
    <row r="43" spans="1:1022" x14ac:dyDescent="0.25">
      <c r="A43" s="23">
        <v>37</v>
      </c>
      <c r="B43" s="26" t="s">
        <v>170</v>
      </c>
      <c r="C43" s="91">
        <f>'2.1.1. УУД "4+5"'!E40</f>
        <v>0.65025906735751293</v>
      </c>
      <c r="D43" s="91">
        <f>'2.1.1. УУД "4+5"'!H40</f>
        <v>0.42073170731707316</v>
      </c>
      <c r="E43" s="91">
        <f>'2.1.1. УУД "4+5"'!K40</f>
        <v>0.47619047619047616</v>
      </c>
      <c r="F43" s="90">
        <f>'2.1.3. ВсОШ'!GO41</f>
        <v>0.54838709677419351</v>
      </c>
      <c r="G43" s="90">
        <f>'2.1.3. ВсОШ'!GR41</f>
        <v>0.6</v>
      </c>
      <c r="H43" s="90">
        <f>'2.1.3. ВсОШ'!GU41</f>
        <v>0</v>
      </c>
      <c r="I43" s="90">
        <f>'2.1.3. ВсОШ'!GX41</f>
        <v>0</v>
      </c>
      <c r="J43" s="91">
        <f>'2.1.4. Конкурсы'!CA40</f>
        <v>0.51428571428571423</v>
      </c>
      <c r="K43" s="91">
        <f>'2.1.4. Конкурсы'!CD40</f>
        <v>0</v>
      </c>
      <c r="L43" s="91">
        <f>'2.1.4. Конкурсы'!CG40</f>
        <v>0</v>
      </c>
      <c r="M43" s="39"/>
      <c r="N43" s="91">
        <f>'2.1.5. МАН'!M40</f>
        <v>0.44444444444444442</v>
      </c>
      <c r="O43" s="91">
        <f>'2.1.5. МАН'!P40</f>
        <v>1</v>
      </c>
      <c r="P43" s="340">
        <f>'2.1.6. Спорт'!BS43</f>
        <v>0</v>
      </c>
      <c r="Q43" s="100">
        <v>0.02</v>
      </c>
      <c r="R43" s="97">
        <v>7.6999999999999999E-2</v>
      </c>
      <c r="S43" s="56">
        <f t="shared" si="0"/>
        <v>4.7512985063694142</v>
      </c>
      <c r="T43" s="90">
        <f>'2.1.2. УУД "2" '!E40</f>
        <v>1.0362694300518135E-2</v>
      </c>
      <c r="U43" s="90">
        <f>'2.1.2. УУД "2" '!H40</f>
        <v>0</v>
      </c>
      <c r="V43" s="90">
        <f>'2.1.2. УУД "2" '!K40</f>
        <v>0</v>
      </c>
      <c r="W43" s="39">
        <v>0</v>
      </c>
      <c r="X43" s="39">
        <v>0</v>
      </c>
      <c r="Y43" s="63">
        <f t="shared" si="1"/>
        <v>1.0362694300518135E-2</v>
      </c>
      <c r="Z43" s="63">
        <f t="shared" si="2"/>
        <v>4.740935812068896</v>
      </c>
      <c r="AA43" s="63">
        <f t="shared" si="3"/>
        <v>0.23808306003349661</v>
      </c>
      <c r="AB43" s="63">
        <f t="shared" si="4"/>
        <v>9.4818716241377921</v>
      </c>
      <c r="AC43" s="507"/>
    </row>
    <row r="44" spans="1:1022" customFormat="1" x14ac:dyDescent="0.25">
      <c r="A44" s="143">
        <v>38</v>
      </c>
      <c r="B44" s="144" t="s">
        <v>171</v>
      </c>
      <c r="C44" s="91">
        <f>'2.1.1. УУД "4+5"'!E41</f>
        <v>0.70833333333333337</v>
      </c>
      <c r="D44" s="91">
        <f>'2.1.1. УУД "4+5"'!H41</f>
        <v>0.46987951807228917</v>
      </c>
      <c r="E44" s="91">
        <f>'2.1.1. УУД "4+5"'!K41</f>
        <v>0.625</v>
      </c>
      <c r="F44" s="90">
        <f>'2.1.3. ВсОШ'!GO42</f>
        <v>0.27586206896551724</v>
      </c>
      <c r="G44" s="90">
        <f>'2.1.3. ВсОШ'!GR42</f>
        <v>0</v>
      </c>
      <c r="H44" s="90">
        <f>'2.1.3. ВсОШ'!GU42</f>
        <v>0</v>
      </c>
      <c r="I44" s="90">
        <f>'2.1.3. ВсОШ'!GX42</f>
        <v>0</v>
      </c>
      <c r="J44" s="91">
        <f>'2.1.4. Конкурсы'!CA41</f>
        <v>0.17599999999999999</v>
      </c>
      <c r="K44" s="91">
        <f>'2.1.4. Конкурсы'!CD41</f>
        <v>0</v>
      </c>
      <c r="L44" s="91">
        <f>'2.1.4. Конкурсы'!CG41</f>
        <v>0</v>
      </c>
      <c r="M44" s="145"/>
      <c r="N44" s="91">
        <f>'2.1.5. МАН'!M41</f>
        <v>1</v>
      </c>
      <c r="O44" s="91">
        <f>'2.1.5. МАН'!P41</f>
        <v>0</v>
      </c>
      <c r="P44" s="340">
        <f>'2.1.6. Спорт'!BS44</f>
        <v>0</v>
      </c>
      <c r="Q44" s="145">
        <v>0</v>
      </c>
      <c r="R44" s="145">
        <v>0.125</v>
      </c>
      <c r="S44" s="56">
        <f t="shared" si="0"/>
        <v>3.3800749203711398</v>
      </c>
      <c r="T44" s="90">
        <f>'2.1.2. УУД "2" '!E41</f>
        <v>0</v>
      </c>
      <c r="U44" s="90">
        <f>'2.1.2. УУД "2" '!H41</f>
        <v>0</v>
      </c>
      <c r="V44" s="90">
        <f>'2.1.2. УУД "2" '!K41</f>
        <v>0</v>
      </c>
      <c r="W44" s="39">
        <v>0</v>
      </c>
      <c r="X44" s="39">
        <v>0</v>
      </c>
      <c r="Y44" s="63">
        <f t="shared" si="1"/>
        <v>0</v>
      </c>
      <c r="Z44" s="63">
        <f t="shared" si="2"/>
        <v>3.3800749203711398</v>
      </c>
      <c r="AA44" s="63">
        <f t="shared" si="3"/>
        <v>0.169003746018557</v>
      </c>
      <c r="AB44" s="63">
        <f t="shared" si="4"/>
        <v>6.7601498407422795</v>
      </c>
      <c r="AC44" s="50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  <c r="ALL44" s="147"/>
      <c r="ALM44" s="147"/>
      <c r="ALN44" s="147"/>
      <c r="ALO44" s="147"/>
      <c r="ALP44" s="147"/>
      <c r="ALQ44" s="147"/>
      <c r="ALR44" s="147"/>
      <c r="ALS44" s="147"/>
      <c r="ALT44" s="147"/>
      <c r="ALU44" s="147"/>
      <c r="ALV44" s="147"/>
      <c r="ALW44" s="147"/>
      <c r="ALX44" s="147"/>
      <c r="ALY44" s="147"/>
      <c r="ALZ44" s="147"/>
      <c r="AMA44" s="147"/>
      <c r="AMB44" s="147"/>
      <c r="AMC44" s="147"/>
      <c r="AMD44" s="147"/>
      <c r="AME44" s="147"/>
      <c r="AMF44" s="147"/>
      <c r="AMG44" s="147"/>
      <c r="AMH44" s="147"/>
    </row>
    <row r="45" spans="1:1022" x14ac:dyDescent="0.25">
      <c r="A45" s="654" t="s">
        <v>118</v>
      </c>
      <c r="B45" s="701"/>
      <c r="C45" s="436">
        <f t="shared" ref="C45:Z45" si="5">AVERAGE(C7:C44)</f>
        <v>0.60773158114043202</v>
      </c>
      <c r="D45" s="436">
        <f t="shared" si="5"/>
        <v>0.37888012464112153</v>
      </c>
      <c r="E45" s="436">
        <f t="shared" si="5"/>
        <v>0.43413450221706562</v>
      </c>
      <c r="F45" s="436">
        <f t="shared" si="5"/>
        <v>0.26222074058218747</v>
      </c>
      <c r="G45" s="436">
        <f t="shared" si="5"/>
        <v>0.20146198830409356</v>
      </c>
      <c r="H45" s="436">
        <f t="shared" si="5"/>
        <v>5.2631578947368418E-2</v>
      </c>
      <c r="I45" s="436">
        <f t="shared" si="5"/>
        <v>0</v>
      </c>
      <c r="J45" s="436">
        <f t="shared" si="5"/>
        <v>0.36683416672193775</v>
      </c>
      <c r="K45" s="436">
        <f t="shared" si="5"/>
        <v>0.18284757347915243</v>
      </c>
      <c r="L45" s="436">
        <f t="shared" si="5"/>
        <v>2.6315789473684209E-2</v>
      </c>
      <c r="M45" s="436"/>
      <c r="N45" s="436">
        <f t="shared" si="5"/>
        <v>0.18494152046783627</v>
      </c>
      <c r="O45" s="436">
        <f t="shared" si="5"/>
        <v>9.2105263157894732E-2</v>
      </c>
      <c r="P45" s="436">
        <f t="shared" si="5"/>
        <v>8.2487468671679193E-2</v>
      </c>
      <c r="Q45" s="436">
        <f t="shared" si="5"/>
        <v>3.052631578947369E-2</v>
      </c>
      <c r="R45" s="436">
        <f t="shared" si="5"/>
        <v>8.5205278592375366E-2</v>
      </c>
      <c r="S45" s="436">
        <f t="shared" si="5"/>
        <v>2.9314143026644568</v>
      </c>
      <c r="T45" s="436">
        <f t="shared" si="5"/>
        <v>4.103294405225613E-3</v>
      </c>
      <c r="U45" s="436">
        <f t="shared" si="5"/>
        <v>5.3654122048609858E-3</v>
      </c>
      <c r="V45" s="436">
        <f t="shared" si="5"/>
        <v>4.0348862472454148E-3</v>
      </c>
      <c r="W45" s="436">
        <f t="shared" si="5"/>
        <v>0</v>
      </c>
      <c r="X45" s="436">
        <f t="shared" si="5"/>
        <v>0</v>
      </c>
      <c r="Y45" s="436">
        <f t="shared" si="5"/>
        <v>1.2972686772168141E-2</v>
      </c>
      <c r="Z45" s="436">
        <f t="shared" si="5"/>
        <v>2.9184416158922888</v>
      </c>
      <c r="AA45" s="436">
        <f>AVERAGE(AA7:AA44)</f>
        <v>0.14995186351371773</v>
      </c>
      <c r="AB45" s="64">
        <f>AVERAGE(AB7:AB44)</f>
        <v>5.8368832317845776</v>
      </c>
    </row>
    <row r="48" spans="1:1022" ht="25.5" x14ac:dyDescent="0.25">
      <c r="A48" s="23">
        <v>1</v>
      </c>
      <c r="B48" s="26" t="s">
        <v>174</v>
      </c>
      <c r="C48" s="91">
        <f>'2.1.1. УУД "4+5"'!E45</f>
        <v>0.51655629139072845</v>
      </c>
      <c r="D48" s="39"/>
      <c r="E48" s="39"/>
      <c r="F48" s="306">
        <f>'2.1.3. ВсОШ'!GO46</f>
        <v>0</v>
      </c>
      <c r="G48" s="306">
        <f>'2.1.3. ВсОШ'!GR46</f>
        <v>0</v>
      </c>
      <c r="H48" s="306"/>
      <c r="I48" s="306"/>
      <c r="J48" s="91">
        <f>'2.1.4. Конкурсы'!CA45</f>
        <v>1</v>
      </c>
      <c r="K48" s="91">
        <f>'2.1.4. Конкурсы'!CD45</f>
        <v>0.5</v>
      </c>
      <c r="L48" s="39"/>
      <c r="M48" s="39"/>
      <c r="N48" s="39"/>
      <c r="O48" s="39"/>
      <c r="P48" s="340">
        <f>'2.1.6. Спорт'!BS46</f>
        <v>0</v>
      </c>
      <c r="Q48" s="39"/>
      <c r="R48" s="39"/>
      <c r="S48" s="56">
        <f>SUM(C48:R48)</f>
        <v>2.0165562913907285</v>
      </c>
      <c r="T48" s="90">
        <f>'2.1.2. УУД "2" '!E45</f>
        <v>0</v>
      </c>
      <c r="U48" s="90"/>
      <c r="V48" s="39"/>
      <c r="W48" s="39"/>
      <c r="X48" s="39"/>
      <c r="Y48" s="63">
        <f t="shared" ref="Y48" si="6">SUM(T48:X48)</f>
        <v>0</v>
      </c>
      <c r="Z48" s="63">
        <f t="shared" ref="Z48" si="7">S48-Y48</f>
        <v>2.0165562913907285</v>
      </c>
      <c r="AA48" s="63">
        <f t="shared" ref="AA48" si="8">AVERAGE(T48:X48,C48:R48)</f>
        <v>0.28807947019867547</v>
      </c>
      <c r="AB48" s="63">
        <f t="shared" ref="AB48" si="9">Z48*2</f>
        <v>4.0331125827814569</v>
      </c>
    </row>
    <row r="49" spans="1:28" x14ac:dyDescent="0.25">
      <c r="A49" s="23">
        <v>2</v>
      </c>
      <c r="B49" s="26" t="s">
        <v>175</v>
      </c>
      <c r="C49" s="91">
        <f>'2.1.1. УУД "4+5"'!E46</f>
        <v>0.7024793388429752</v>
      </c>
      <c r="D49" s="39"/>
      <c r="E49" s="39"/>
      <c r="F49" s="306">
        <f>'2.1.3. ВсОШ'!GO47</f>
        <v>0</v>
      </c>
      <c r="G49" s="306">
        <f>'2.1.3. ВсОШ'!GR47</f>
        <v>0</v>
      </c>
      <c r="H49" s="306"/>
      <c r="I49" s="306"/>
      <c r="J49" s="91">
        <f>'2.1.4. Конкурсы'!CA46</f>
        <v>0</v>
      </c>
      <c r="K49" s="91">
        <f>'2.1.4. Конкурсы'!CD46</f>
        <v>0</v>
      </c>
      <c r="L49" s="39"/>
      <c r="M49" s="39"/>
      <c r="N49" s="39"/>
      <c r="O49" s="39"/>
      <c r="P49" s="340">
        <f>'2.1.6. Спорт'!BS47</f>
        <v>0</v>
      </c>
      <c r="Q49" s="39"/>
      <c r="R49" s="39"/>
      <c r="S49" s="56">
        <f>SUM(C49:R49)</f>
        <v>0.7024793388429752</v>
      </c>
      <c r="T49" s="90">
        <f>'2.1.2. УУД "2" '!E46</f>
        <v>0</v>
      </c>
      <c r="U49" s="90"/>
      <c r="V49" s="39"/>
      <c r="W49" s="39"/>
      <c r="X49" s="39"/>
      <c r="Y49" s="63">
        <f t="shared" ref="Y49:Y50" si="10">SUM(T49:X49)</f>
        <v>0</v>
      </c>
      <c r="Z49" s="63">
        <f t="shared" ref="Z49:Z50" si="11">S49-Y49</f>
        <v>0.7024793388429752</v>
      </c>
      <c r="AA49" s="63">
        <f t="shared" ref="AA49:AA50" si="12">AVERAGE(T49:X49,C49:R49)</f>
        <v>0.10035419126328217</v>
      </c>
      <c r="AB49" s="63">
        <f t="shared" ref="AB49:AB50" si="13">Z49*2</f>
        <v>1.4049586776859504</v>
      </c>
    </row>
    <row r="50" spans="1:28" ht="25.5" x14ac:dyDescent="0.25">
      <c r="A50" s="23">
        <v>3</v>
      </c>
      <c r="B50" s="26" t="s">
        <v>176</v>
      </c>
      <c r="C50" s="91">
        <f>'2.1.1. УУД "4+5"'!E47</f>
        <v>0.74</v>
      </c>
      <c r="D50" s="39"/>
      <c r="E50" s="39"/>
      <c r="F50" s="306">
        <f>'2.1.3. ВсОШ'!GO48</f>
        <v>0</v>
      </c>
      <c r="G50" s="306">
        <f>'2.1.3. ВсОШ'!GR48</f>
        <v>0</v>
      </c>
      <c r="H50" s="306"/>
      <c r="I50" s="306"/>
      <c r="J50" s="91">
        <f>'2.1.4. Конкурсы'!CA47</f>
        <v>0</v>
      </c>
      <c r="K50" s="91">
        <f>'2.1.4. Конкурсы'!CD47</f>
        <v>0</v>
      </c>
      <c r="L50" s="39"/>
      <c r="M50" s="39"/>
      <c r="N50" s="39"/>
      <c r="O50" s="39"/>
      <c r="P50" s="340">
        <f>'2.1.6. Спорт'!BS48</f>
        <v>0</v>
      </c>
      <c r="Q50" s="39"/>
      <c r="R50" s="39"/>
      <c r="S50" s="56">
        <f>SUM(C50:R50)</f>
        <v>0.74</v>
      </c>
      <c r="T50" s="90">
        <f>'2.1.2. УУД "2" '!E47</f>
        <v>0</v>
      </c>
      <c r="U50" s="90"/>
      <c r="V50" s="39"/>
      <c r="W50" s="39"/>
      <c r="X50" s="39"/>
      <c r="Y50" s="63">
        <f t="shared" si="10"/>
        <v>0</v>
      </c>
      <c r="Z50" s="63">
        <f t="shared" si="11"/>
        <v>0.74</v>
      </c>
      <c r="AA50" s="63">
        <f t="shared" si="12"/>
        <v>0.10571428571428572</v>
      </c>
      <c r="AB50" s="63">
        <f t="shared" si="13"/>
        <v>1.48</v>
      </c>
    </row>
    <row r="51" spans="1:28" x14ac:dyDescent="0.25">
      <c r="A51" s="654" t="s">
        <v>118</v>
      </c>
      <c r="B51" s="701"/>
      <c r="C51" s="436">
        <f>AVERAGE(C48:C50)</f>
        <v>0.65301187674456795</v>
      </c>
      <c r="D51" s="17"/>
      <c r="E51" s="17"/>
      <c r="F51" s="436">
        <f>AVERAGE(F48:F50)</f>
        <v>0</v>
      </c>
      <c r="G51" s="436">
        <f>AVERAGE(G48:G50)</f>
        <v>0</v>
      </c>
      <c r="H51" s="17"/>
      <c r="I51" s="17"/>
      <c r="J51" s="436">
        <f>AVERAGE(J48:J50)</f>
        <v>0.33333333333333331</v>
      </c>
      <c r="K51" s="436">
        <f>AVERAGE(K48:K50)</f>
        <v>0.16666666666666666</v>
      </c>
      <c r="L51" s="17"/>
      <c r="M51" s="17"/>
      <c r="N51" s="17"/>
      <c r="O51" s="17"/>
      <c r="P51" s="436">
        <f>AVERAGE(P48:P50)</f>
        <v>0</v>
      </c>
      <c r="Q51" s="17"/>
      <c r="R51" s="17"/>
      <c r="S51" s="436">
        <f>AVERAGE(S48:S50)</f>
        <v>1.1530118767445678</v>
      </c>
      <c r="T51" s="436">
        <f>AVERAGE(T48:T50)</f>
        <v>0</v>
      </c>
      <c r="U51" s="17"/>
      <c r="V51" s="17"/>
      <c r="W51" s="17"/>
      <c r="X51" s="17"/>
      <c r="Y51" s="436">
        <f>AVERAGE(Y48:Y50)</f>
        <v>0</v>
      </c>
      <c r="Z51" s="436">
        <f t="shared" ref="Z51:AA51" si="14">AVERAGE(Z48:Z50)</f>
        <v>1.1530118767445678</v>
      </c>
      <c r="AA51" s="436">
        <f t="shared" si="14"/>
        <v>0.1647159823920811</v>
      </c>
      <c r="AB51" s="64">
        <f>AVERAGE(AB48:AB50)</f>
        <v>2.3060237534891357</v>
      </c>
    </row>
  </sheetData>
  <sheetProtection algorithmName="SHA-512" hashValue="AAIM2t8hBNOBtWbiq8X4XBfXP5bCb4/kcky9eTxYHOs/xX8dpHZ+FWQ43MybBh1/nrC32ETJLhe94snHykLdnQ==" saltValue="oI/3zEews/UoX7EqsXGDDw==" spinCount="100000" sheet="1" selectLockedCells="1" selectUnlockedCells="1"/>
  <mergeCells count="15">
    <mergeCell ref="A51:B51"/>
    <mergeCell ref="A45:B45"/>
    <mergeCell ref="T4:V4"/>
    <mergeCell ref="W4:X4"/>
    <mergeCell ref="A1:AB1"/>
    <mergeCell ref="A2:AB2"/>
    <mergeCell ref="A3:AB3"/>
    <mergeCell ref="A4:A6"/>
    <mergeCell ref="B4:B6"/>
    <mergeCell ref="C4:E4"/>
    <mergeCell ref="F4:I4"/>
    <mergeCell ref="J4:M4"/>
    <mergeCell ref="Q4:R4"/>
    <mergeCell ref="N4:O4"/>
    <mergeCell ref="P4:P6"/>
  </mergeCells>
  <printOptions horizontalCentered="1"/>
  <pageMargins left="0.25" right="0.25" top="0.75" bottom="0.75" header="0.3" footer="0.3"/>
  <pageSetup paperSize="9" scale="78" fitToWidth="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Q51"/>
  <sheetViews>
    <sheetView topLeftCell="A10" zoomScale="60" zoomScaleNormal="60" workbookViewId="0">
      <pane xSplit="2" topLeftCell="C1" activePane="topRight" state="frozen"/>
      <selection activeCell="B38" sqref="B38"/>
      <selection pane="topRight" activeCell="B38" sqref="B38"/>
    </sheetView>
  </sheetViews>
  <sheetFormatPr defaultColWidth="8.85546875" defaultRowHeight="15" x14ac:dyDescent="0.25"/>
  <cols>
    <col min="1" max="1" width="8.85546875" style="8"/>
    <col min="2" max="2" width="41.28515625" style="8" customWidth="1"/>
    <col min="3" max="3" width="9.5703125" style="8" customWidth="1"/>
    <col min="4" max="4" width="9.7109375" style="8" customWidth="1"/>
    <col min="5" max="5" width="11.28515625" style="8" customWidth="1"/>
    <col min="6" max="6" width="11.5703125" style="8" customWidth="1"/>
    <col min="7" max="8" width="17.28515625" style="18" customWidth="1"/>
    <col min="9" max="9" width="15.28515625" style="76" customWidth="1"/>
    <col min="10" max="10" width="8.85546875" style="51"/>
    <col min="11" max="11" width="8.85546875" style="8"/>
    <col min="12" max="12" width="11.140625" style="8" customWidth="1"/>
    <col min="13" max="13" width="11.7109375" style="8" customWidth="1"/>
    <col min="14" max="14" width="12.28515625" style="8" customWidth="1"/>
    <col min="15" max="15" width="9.42578125" style="18" customWidth="1"/>
    <col min="16" max="16" width="7.7109375" style="18" customWidth="1"/>
    <col min="17" max="17" width="8.42578125" style="18" customWidth="1"/>
    <col min="18" max="20" width="7.5703125" style="18" customWidth="1"/>
    <col min="21" max="21" width="18.140625" style="571" customWidth="1"/>
    <col min="22" max="22" width="9.5703125" style="51" customWidth="1"/>
    <col min="23" max="23" width="8.85546875" style="51"/>
    <col min="24" max="24" width="8.28515625" style="51" customWidth="1"/>
    <col min="25" max="25" width="9.28515625" style="51" customWidth="1"/>
    <col min="26" max="16384" width="8.85546875" style="8"/>
  </cols>
  <sheetData>
    <row r="2" spans="1:25" ht="15.75" x14ac:dyDescent="0.25">
      <c r="I2" s="575" t="s">
        <v>123</v>
      </c>
    </row>
    <row r="4" spans="1:25" ht="68.25" customHeight="1" x14ac:dyDescent="0.25">
      <c r="A4" s="724" t="s">
        <v>3</v>
      </c>
      <c r="B4" s="724" t="s">
        <v>4</v>
      </c>
      <c r="C4" s="720" t="s">
        <v>103</v>
      </c>
      <c r="D4" s="725"/>
      <c r="E4" s="307" t="s">
        <v>104</v>
      </c>
      <c r="F4" s="307" t="s">
        <v>106</v>
      </c>
      <c r="G4" s="726" t="s">
        <v>187</v>
      </c>
      <c r="H4" s="726" t="s">
        <v>188</v>
      </c>
      <c r="I4" s="726" t="s">
        <v>189</v>
      </c>
      <c r="J4" s="47" t="s">
        <v>17</v>
      </c>
      <c r="K4" s="720" t="s">
        <v>109</v>
      </c>
      <c r="L4" s="720"/>
      <c r="M4" s="307" t="s">
        <v>110</v>
      </c>
      <c r="N4" s="307" t="s">
        <v>112</v>
      </c>
      <c r="O4" s="720" t="s">
        <v>190</v>
      </c>
      <c r="P4" s="720"/>
      <c r="Q4" s="720" t="s">
        <v>191</v>
      </c>
      <c r="R4" s="720"/>
      <c r="S4" s="720"/>
      <c r="T4" s="720"/>
      <c r="U4" s="721" t="s">
        <v>275</v>
      </c>
      <c r="V4" s="47" t="s">
        <v>18</v>
      </c>
      <c r="W4" s="47" t="s">
        <v>19</v>
      </c>
      <c r="X4" s="47" t="s">
        <v>119</v>
      </c>
      <c r="Y4" s="47" t="s">
        <v>115</v>
      </c>
    </row>
    <row r="5" spans="1:25" ht="34.5" customHeight="1" x14ac:dyDescent="0.25">
      <c r="A5" s="724"/>
      <c r="B5" s="724"/>
      <c r="C5" s="33" t="s">
        <v>57</v>
      </c>
      <c r="D5" s="33" t="s">
        <v>58</v>
      </c>
      <c r="E5" s="307" t="s">
        <v>56</v>
      </c>
      <c r="F5" s="307" t="s">
        <v>107</v>
      </c>
      <c r="G5" s="726"/>
      <c r="H5" s="726"/>
      <c r="I5" s="726"/>
      <c r="J5" s="47" t="s">
        <v>93</v>
      </c>
      <c r="K5" s="33" t="s">
        <v>60</v>
      </c>
      <c r="L5" s="33" t="s">
        <v>54</v>
      </c>
      <c r="M5" s="307" t="s">
        <v>59</v>
      </c>
      <c r="N5" s="307" t="s">
        <v>113</v>
      </c>
      <c r="O5" s="33" t="s">
        <v>192</v>
      </c>
      <c r="P5" s="33" t="s">
        <v>114</v>
      </c>
      <c r="Q5" s="723" t="s">
        <v>193</v>
      </c>
      <c r="R5" s="723"/>
      <c r="S5" s="723" t="s">
        <v>194</v>
      </c>
      <c r="T5" s="723"/>
      <c r="U5" s="721"/>
      <c r="V5" s="47" t="s">
        <v>93</v>
      </c>
      <c r="W5" s="47"/>
      <c r="X5" s="47"/>
      <c r="Y5" s="47"/>
    </row>
    <row r="6" spans="1:25" ht="89.25" x14ac:dyDescent="0.25">
      <c r="A6" s="724"/>
      <c r="B6" s="724"/>
      <c r="C6" s="33" t="s">
        <v>61</v>
      </c>
      <c r="D6" s="389" t="s">
        <v>62</v>
      </c>
      <c r="E6" s="307" t="s">
        <v>105</v>
      </c>
      <c r="F6" s="307" t="s">
        <v>105</v>
      </c>
      <c r="G6" s="726"/>
      <c r="H6" s="726"/>
      <c r="I6" s="726"/>
      <c r="J6" s="390" t="s">
        <v>108</v>
      </c>
      <c r="K6" s="33" t="s">
        <v>64</v>
      </c>
      <c r="L6" s="33" t="s">
        <v>63</v>
      </c>
      <c r="M6" s="307" t="s">
        <v>111</v>
      </c>
      <c r="N6" s="307" t="s">
        <v>111</v>
      </c>
      <c r="O6" s="33" t="s">
        <v>11</v>
      </c>
      <c r="P6" s="33" t="s">
        <v>12</v>
      </c>
      <c r="Q6" s="19" t="s">
        <v>11</v>
      </c>
      <c r="R6" s="19" t="s">
        <v>12</v>
      </c>
      <c r="S6" s="19" t="s">
        <v>11</v>
      </c>
      <c r="T6" s="19" t="s">
        <v>12</v>
      </c>
      <c r="U6" s="722"/>
      <c r="V6" s="47" t="s">
        <v>121</v>
      </c>
      <c r="W6" s="47"/>
      <c r="X6" s="47"/>
      <c r="Y6" s="47" t="s">
        <v>102</v>
      </c>
    </row>
    <row r="7" spans="1:25" x14ac:dyDescent="0.25">
      <c r="A7" s="6">
        <v>1</v>
      </c>
      <c r="B7" s="28" t="s">
        <v>139</v>
      </c>
      <c r="C7" s="94">
        <f>14/15</f>
        <v>0.93333333333333335</v>
      </c>
      <c r="D7" s="94">
        <v>0</v>
      </c>
      <c r="E7" s="308"/>
      <c r="F7" s="308"/>
      <c r="G7" s="568">
        <f>1/14</f>
        <v>7.1428571428571425E-2</v>
      </c>
      <c r="H7" s="565">
        <v>0</v>
      </c>
      <c r="I7" s="94">
        <v>0</v>
      </c>
      <c r="J7" s="391">
        <f>SUM(C7:I7)</f>
        <v>1.0047619047619047</v>
      </c>
      <c r="K7" s="155">
        <v>-7.0999999999999994E-2</v>
      </c>
      <c r="L7" s="155">
        <v>-0.28599999999999998</v>
      </c>
      <c r="M7" s="392"/>
      <c r="N7" s="392"/>
      <c r="O7" s="155">
        <v>0</v>
      </c>
      <c r="P7" s="155">
        <v>0</v>
      </c>
      <c r="Q7" s="155">
        <v>0</v>
      </c>
      <c r="R7" s="155">
        <v>0</v>
      </c>
      <c r="S7" s="155">
        <v>0</v>
      </c>
      <c r="T7" s="155">
        <v>-0.14299999999999999</v>
      </c>
      <c r="U7" s="572">
        <v>0</v>
      </c>
      <c r="V7" s="49">
        <f>SUM(K7:U7)</f>
        <v>-0.5</v>
      </c>
      <c r="W7" s="49">
        <f>J7+V7</f>
        <v>0.50476190476190474</v>
      </c>
      <c r="X7" s="49">
        <f>AVERAGE(C7:D7,G7:I7,K7:L7,O7:U7)</f>
        <v>3.6054421768707483E-2</v>
      </c>
      <c r="Y7" s="49">
        <f>X7*2</f>
        <v>7.2108843537414966E-2</v>
      </c>
    </row>
    <row r="8" spans="1:25" x14ac:dyDescent="0.25">
      <c r="A8" s="6">
        <v>2</v>
      </c>
      <c r="B8" s="28" t="s">
        <v>140</v>
      </c>
      <c r="C8" s="94">
        <v>1</v>
      </c>
      <c r="D8" s="94">
        <v>0.32300000000000001</v>
      </c>
      <c r="E8" s="308"/>
      <c r="F8" s="308"/>
      <c r="G8" s="568">
        <f>4/23</f>
        <v>0.17391304347826086</v>
      </c>
      <c r="H8" s="565">
        <v>1</v>
      </c>
      <c r="I8" s="94">
        <v>0</v>
      </c>
      <c r="J8" s="391">
        <f t="shared" ref="J8" si="0">SUM(C8:I8)</f>
        <v>2.4969130434782607</v>
      </c>
      <c r="K8" s="155">
        <v>-0.54800000000000004</v>
      </c>
      <c r="L8" s="155">
        <v>0</v>
      </c>
      <c r="M8" s="392"/>
      <c r="N8" s="392"/>
      <c r="O8" s="155">
        <v>0</v>
      </c>
      <c r="P8" s="155">
        <v>0</v>
      </c>
      <c r="Q8" s="155">
        <v>0</v>
      </c>
      <c r="R8" s="155">
        <v>0</v>
      </c>
      <c r="S8" s="155">
        <v>0</v>
      </c>
      <c r="T8" s="155">
        <v>-3.2000000000000001E-2</v>
      </c>
      <c r="U8" s="572">
        <v>0</v>
      </c>
      <c r="V8" s="49">
        <f t="shared" ref="V8:V44" si="1">SUM(K8:U8)</f>
        <v>-0.58000000000000007</v>
      </c>
      <c r="W8" s="49">
        <f t="shared" ref="W8:W44" si="2">J8+V8</f>
        <v>1.9169130434782606</v>
      </c>
      <c r="X8" s="49">
        <f t="shared" ref="X8:X44" si="3">AVERAGE(C8:D8,G8:I8,K8:L8,O8:U8)</f>
        <v>0.1369223602484472</v>
      </c>
      <c r="Y8" s="49">
        <f>X8*2</f>
        <v>0.2738447204968944</v>
      </c>
    </row>
    <row r="9" spans="1:25" x14ac:dyDescent="0.25">
      <c r="A9" s="6">
        <v>3</v>
      </c>
      <c r="B9" s="28" t="s">
        <v>141</v>
      </c>
      <c r="C9" s="94">
        <v>1</v>
      </c>
      <c r="D9" s="94">
        <f>12/34</f>
        <v>0.35294117647058826</v>
      </c>
      <c r="E9" s="308"/>
      <c r="F9" s="308"/>
      <c r="G9" s="568">
        <f>7/34</f>
        <v>0.20588235294117646</v>
      </c>
      <c r="H9" s="565">
        <v>1</v>
      </c>
      <c r="I9" s="94">
        <f>3/34</f>
        <v>8.8235294117647065E-2</v>
      </c>
      <c r="J9" s="391">
        <f t="shared" ref="J9" si="4">SUM(C9:I9)</f>
        <v>2.6470588235294117</v>
      </c>
      <c r="K9" s="155">
        <f>-9/34</f>
        <v>-0.26470588235294118</v>
      </c>
      <c r="L9" s="155">
        <v>0</v>
      </c>
      <c r="M9" s="392"/>
      <c r="N9" s="392"/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561">
        <f>-(1/16)</f>
        <v>-6.25E-2</v>
      </c>
      <c r="U9" s="572">
        <v>0</v>
      </c>
      <c r="V9" s="49">
        <f t="shared" si="1"/>
        <v>-0.32720588235294118</v>
      </c>
      <c r="W9" s="49">
        <f t="shared" si="2"/>
        <v>2.3198529411764706</v>
      </c>
      <c r="X9" s="49">
        <f t="shared" si="3"/>
        <v>0.16570378151260504</v>
      </c>
      <c r="Y9" s="49">
        <f t="shared" ref="Y9:Y44" si="5">W9*2</f>
        <v>4.6397058823529411</v>
      </c>
    </row>
    <row r="10" spans="1:25" x14ac:dyDescent="0.25">
      <c r="A10" s="6">
        <v>4</v>
      </c>
      <c r="B10" s="28" t="s">
        <v>142</v>
      </c>
      <c r="C10" s="94">
        <v>1</v>
      </c>
      <c r="D10" s="94">
        <v>0.57999999999999996</v>
      </c>
      <c r="E10" s="308"/>
      <c r="F10" s="308"/>
      <c r="G10" s="568">
        <f>2/11</f>
        <v>0.18181818181818182</v>
      </c>
      <c r="H10" s="565">
        <v>0</v>
      </c>
      <c r="I10" s="94">
        <v>0</v>
      </c>
      <c r="J10" s="391">
        <f t="shared" ref="J10" si="6">SUM(C10:I10)</f>
        <v>1.7618181818181819</v>
      </c>
      <c r="K10" s="155">
        <v>-0.5</v>
      </c>
      <c r="L10" s="155">
        <v>0</v>
      </c>
      <c r="M10" s="392"/>
      <c r="N10" s="392"/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572">
        <v>0</v>
      </c>
      <c r="V10" s="49">
        <f t="shared" si="1"/>
        <v>-0.5</v>
      </c>
      <c r="W10" s="49">
        <f t="shared" si="2"/>
        <v>1.2618181818181819</v>
      </c>
      <c r="X10" s="49">
        <f t="shared" si="3"/>
        <v>9.0129870129870143E-2</v>
      </c>
      <c r="Y10" s="49">
        <f t="shared" si="5"/>
        <v>2.5236363636363639</v>
      </c>
    </row>
    <row r="11" spans="1:25" x14ac:dyDescent="0.25">
      <c r="A11" s="6">
        <v>5</v>
      </c>
      <c r="B11" s="28" t="s">
        <v>143</v>
      </c>
      <c r="C11" s="94">
        <v>0.89</v>
      </c>
      <c r="D11" s="94">
        <v>0.111</v>
      </c>
      <c r="E11" s="308"/>
      <c r="F11" s="308"/>
      <c r="G11" s="568">
        <f>1/10</f>
        <v>0.1</v>
      </c>
      <c r="H11" s="565">
        <v>1</v>
      </c>
      <c r="I11" s="94">
        <v>0</v>
      </c>
      <c r="J11" s="391">
        <f t="shared" ref="J11" si="7">SUM(C11:I11)</f>
        <v>2.101</v>
      </c>
      <c r="K11" s="155">
        <v>0</v>
      </c>
      <c r="L11" s="155">
        <v>0</v>
      </c>
      <c r="M11" s="392"/>
      <c r="N11" s="392"/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572">
        <v>0</v>
      </c>
      <c r="V11" s="49">
        <f t="shared" si="1"/>
        <v>0</v>
      </c>
      <c r="W11" s="49">
        <f t="shared" si="2"/>
        <v>2.101</v>
      </c>
      <c r="X11" s="49">
        <f t="shared" si="3"/>
        <v>0.15007142857142858</v>
      </c>
      <c r="Y11" s="49">
        <f t="shared" si="5"/>
        <v>4.202</v>
      </c>
    </row>
    <row r="12" spans="1:25" ht="25.5" x14ac:dyDescent="0.25">
      <c r="A12" s="6">
        <v>6</v>
      </c>
      <c r="B12" s="28" t="s">
        <v>177</v>
      </c>
      <c r="C12" s="308">
        <v>0</v>
      </c>
      <c r="D12" s="308">
        <v>0</v>
      </c>
      <c r="E12" s="308"/>
      <c r="F12" s="308"/>
      <c r="G12" s="568">
        <f>6/44</f>
        <v>0.13636363636363635</v>
      </c>
      <c r="H12" s="565">
        <v>1</v>
      </c>
      <c r="I12" s="94">
        <v>0</v>
      </c>
      <c r="J12" s="391">
        <f t="shared" ref="J12" si="8">SUM(C12:I12)</f>
        <v>1.1363636363636362</v>
      </c>
      <c r="K12" s="155">
        <f>-21/44</f>
        <v>-0.47727272727272729</v>
      </c>
      <c r="L12" s="155">
        <f>-9/44</f>
        <v>-0.20454545454545456</v>
      </c>
      <c r="M12" s="392"/>
      <c r="N12" s="392"/>
      <c r="O12" s="155">
        <v>0</v>
      </c>
      <c r="P12" s="155">
        <v>0</v>
      </c>
      <c r="Q12" s="155">
        <v>0</v>
      </c>
      <c r="R12" s="155">
        <v>-9.4E-2</v>
      </c>
      <c r="S12" s="155">
        <v>0</v>
      </c>
      <c r="T12" s="155">
        <f>-(7/19)</f>
        <v>-0.36842105263157893</v>
      </c>
      <c r="U12" s="572">
        <v>0</v>
      </c>
      <c r="V12" s="49">
        <f t="shared" si="1"/>
        <v>-1.1442392344497607</v>
      </c>
      <c r="W12" s="49">
        <f t="shared" si="2"/>
        <v>-7.8755980861244801E-3</v>
      </c>
      <c r="X12" s="49">
        <f t="shared" si="3"/>
        <v>-5.6254272043746681E-4</v>
      </c>
      <c r="Y12" s="49">
        <f t="shared" si="5"/>
        <v>-1.575119617224896E-2</v>
      </c>
    </row>
    <row r="13" spans="1:25" x14ac:dyDescent="0.25">
      <c r="A13" s="6">
        <v>7</v>
      </c>
      <c r="B13" s="226" t="s">
        <v>144</v>
      </c>
      <c r="C13" s="94">
        <v>1</v>
      </c>
      <c r="D13" s="94">
        <v>0.45400000000000001</v>
      </c>
      <c r="E13" s="308"/>
      <c r="F13" s="308"/>
      <c r="G13" s="568">
        <v>0</v>
      </c>
      <c r="H13" s="565">
        <v>1</v>
      </c>
      <c r="I13" s="94">
        <v>0</v>
      </c>
      <c r="J13" s="391">
        <f t="shared" ref="J13:J43" si="9">SUM(C13:I13)</f>
        <v>2.4539999999999997</v>
      </c>
      <c r="K13" s="155">
        <v>-0.27300000000000002</v>
      </c>
      <c r="L13" s="155">
        <v>0</v>
      </c>
      <c r="M13" s="392"/>
      <c r="N13" s="392"/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f>-(7/19)</f>
        <v>-0.36842105263157893</v>
      </c>
      <c r="U13" s="572">
        <v>0</v>
      </c>
      <c r="V13" s="49">
        <f t="shared" si="1"/>
        <v>-0.64142105263157889</v>
      </c>
      <c r="W13" s="49">
        <f t="shared" si="2"/>
        <v>1.8125789473684208</v>
      </c>
      <c r="X13" s="49">
        <f t="shared" si="3"/>
        <v>0.12946992481203004</v>
      </c>
      <c r="Y13" s="49">
        <f t="shared" si="5"/>
        <v>3.6251578947368417</v>
      </c>
    </row>
    <row r="14" spans="1:25" x14ac:dyDescent="0.25">
      <c r="A14" s="6">
        <v>8</v>
      </c>
      <c r="B14" s="28" t="s">
        <v>145</v>
      </c>
      <c r="C14" s="94"/>
      <c r="D14" s="94"/>
      <c r="E14" s="308"/>
      <c r="F14" s="308"/>
      <c r="G14" s="565"/>
      <c r="H14" s="565"/>
      <c r="I14" s="94"/>
      <c r="J14" s="391">
        <f t="shared" si="9"/>
        <v>0</v>
      </c>
      <c r="K14" s="155"/>
      <c r="L14" s="155"/>
      <c r="M14" s="392"/>
      <c r="N14" s="392"/>
      <c r="O14" s="155"/>
      <c r="P14" s="155"/>
      <c r="Q14" s="155"/>
      <c r="R14" s="155"/>
      <c r="S14" s="155"/>
      <c r="T14" s="155"/>
      <c r="U14" s="572"/>
      <c r="V14" s="49"/>
      <c r="W14" s="49"/>
      <c r="X14" s="49"/>
      <c r="Y14" s="49"/>
    </row>
    <row r="15" spans="1:25" x14ac:dyDescent="0.25">
      <c r="A15" s="6">
        <v>9</v>
      </c>
      <c r="B15" s="28" t="s">
        <v>146</v>
      </c>
      <c r="C15" s="94"/>
      <c r="D15" s="94"/>
      <c r="E15" s="308"/>
      <c r="F15" s="308"/>
      <c r="G15" s="565"/>
      <c r="H15" s="565"/>
      <c r="I15" s="94"/>
      <c r="J15" s="391">
        <f t="shared" ref="J15" si="10">SUM(C15:I15)</f>
        <v>0</v>
      </c>
      <c r="K15" s="155"/>
      <c r="L15" s="155"/>
      <c r="M15" s="392"/>
      <c r="N15" s="392"/>
      <c r="O15" s="155"/>
      <c r="P15" s="155"/>
      <c r="Q15" s="155"/>
      <c r="R15" s="155"/>
      <c r="S15" s="155"/>
      <c r="T15" s="155"/>
      <c r="U15" s="572"/>
      <c r="V15" s="49"/>
      <c r="W15" s="49"/>
      <c r="X15" s="49"/>
      <c r="Y15" s="49"/>
    </row>
    <row r="16" spans="1:25" x14ac:dyDescent="0.25">
      <c r="A16" s="6">
        <v>10</v>
      </c>
      <c r="B16" s="28" t="s">
        <v>172</v>
      </c>
      <c r="C16" s="94"/>
      <c r="D16" s="94"/>
      <c r="E16" s="308"/>
      <c r="F16" s="308"/>
      <c r="G16" s="565"/>
      <c r="H16" s="565"/>
      <c r="I16" s="94"/>
      <c r="J16" s="391">
        <f t="shared" ref="J16" si="11">SUM(C16:I16)</f>
        <v>0</v>
      </c>
      <c r="K16" s="155"/>
      <c r="L16" s="155"/>
      <c r="M16" s="392"/>
      <c r="N16" s="392"/>
      <c r="O16" s="155"/>
      <c r="P16" s="155"/>
      <c r="Q16" s="155"/>
      <c r="R16" s="155"/>
      <c r="S16" s="155"/>
      <c r="T16" s="155"/>
      <c r="U16" s="572"/>
      <c r="V16" s="49"/>
      <c r="W16" s="49"/>
      <c r="X16" s="49"/>
      <c r="Y16" s="49"/>
    </row>
    <row r="17" spans="1:43" x14ac:dyDescent="0.25">
      <c r="A17" s="6">
        <v>11</v>
      </c>
      <c r="B17" s="28" t="s">
        <v>147</v>
      </c>
      <c r="C17" s="94">
        <v>0.93600000000000005</v>
      </c>
      <c r="D17" s="94">
        <v>0.1</v>
      </c>
      <c r="E17" s="308"/>
      <c r="F17" s="308"/>
      <c r="G17" s="568">
        <f>2/17</f>
        <v>0.11764705882352941</v>
      </c>
      <c r="H17" s="565">
        <v>1</v>
      </c>
      <c r="I17" s="94">
        <v>1</v>
      </c>
      <c r="J17" s="391">
        <f t="shared" si="9"/>
        <v>3.1536470588235295</v>
      </c>
      <c r="K17" s="155">
        <v>-0.8</v>
      </c>
      <c r="L17" s="155">
        <v>0</v>
      </c>
      <c r="M17" s="392"/>
      <c r="N17" s="392"/>
      <c r="O17" s="155"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f>-(2/8)</f>
        <v>-0.25</v>
      </c>
      <c r="U17" s="572">
        <v>0</v>
      </c>
      <c r="V17" s="49">
        <f t="shared" si="1"/>
        <v>-1.05</v>
      </c>
      <c r="W17" s="49">
        <f t="shared" si="2"/>
        <v>2.1036470588235296</v>
      </c>
      <c r="X17" s="49">
        <f t="shared" si="3"/>
        <v>0.15026050420168069</v>
      </c>
      <c r="Y17" s="49">
        <f t="shared" si="5"/>
        <v>4.2072941176470593</v>
      </c>
    </row>
    <row r="18" spans="1:43" ht="25.5" x14ac:dyDescent="0.25">
      <c r="A18" s="6">
        <v>12</v>
      </c>
      <c r="B18" s="28" t="s">
        <v>178</v>
      </c>
      <c r="C18" s="94">
        <v>0.16600000000000001</v>
      </c>
      <c r="D18" s="94">
        <v>0</v>
      </c>
      <c r="E18" s="308"/>
      <c r="F18" s="308"/>
      <c r="G18" s="566">
        <f>1/10</f>
        <v>0.1</v>
      </c>
      <c r="H18" s="565">
        <v>0</v>
      </c>
      <c r="I18" s="94">
        <v>0</v>
      </c>
      <c r="J18" s="391">
        <f t="shared" si="9"/>
        <v>0.26600000000000001</v>
      </c>
      <c r="K18" s="155">
        <v>0</v>
      </c>
      <c r="L18" s="155">
        <v>-0.4</v>
      </c>
      <c r="M18" s="392"/>
      <c r="N18" s="392"/>
      <c r="O18" s="155">
        <v>0</v>
      </c>
      <c r="P18" s="155">
        <v>0</v>
      </c>
      <c r="Q18" s="155">
        <v>0</v>
      </c>
      <c r="R18" s="561">
        <v>0</v>
      </c>
      <c r="S18" s="155">
        <v>0</v>
      </c>
      <c r="T18" s="155">
        <f>-(1/3)</f>
        <v>-0.33333333333333331</v>
      </c>
      <c r="U18" s="572">
        <v>0</v>
      </c>
      <c r="V18" s="49">
        <f t="shared" si="1"/>
        <v>-0.73333333333333339</v>
      </c>
      <c r="W18" s="49">
        <f t="shared" si="2"/>
        <v>-0.46733333333333338</v>
      </c>
      <c r="X18" s="49">
        <f t="shared" si="3"/>
        <v>-3.3380952380952379E-2</v>
      </c>
      <c r="Y18" s="49">
        <f t="shared" si="5"/>
        <v>-0.93466666666666676</v>
      </c>
    </row>
    <row r="19" spans="1:43" x14ac:dyDescent="0.25">
      <c r="A19" s="6">
        <v>13</v>
      </c>
      <c r="B19" s="28" t="s">
        <v>148</v>
      </c>
      <c r="C19" s="94">
        <v>1</v>
      </c>
      <c r="D19" s="94">
        <v>9.0999999999999998E-2</v>
      </c>
      <c r="E19" s="308"/>
      <c r="F19" s="308"/>
      <c r="G19" s="568">
        <v>0</v>
      </c>
      <c r="H19" s="565">
        <v>1</v>
      </c>
      <c r="I19" s="94">
        <v>0</v>
      </c>
      <c r="J19" s="393">
        <f t="shared" ref="J19" si="12">SUM(C19:I19)</f>
        <v>2.0910000000000002</v>
      </c>
      <c r="K19" s="118">
        <v>-0.81799999999999995</v>
      </c>
      <c r="L19" s="118">
        <v>0</v>
      </c>
      <c r="M19" s="394"/>
      <c r="N19" s="394"/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f>-(1/2)</f>
        <v>-0.5</v>
      </c>
      <c r="U19" s="573">
        <v>0</v>
      </c>
      <c r="V19" s="49">
        <f t="shared" si="1"/>
        <v>-1.3180000000000001</v>
      </c>
      <c r="W19" s="49">
        <f t="shared" si="2"/>
        <v>0.77300000000000013</v>
      </c>
      <c r="X19" s="49">
        <f t="shared" si="3"/>
        <v>5.5214285714285723E-2</v>
      </c>
      <c r="Y19" s="49">
        <f t="shared" si="5"/>
        <v>1.5460000000000003</v>
      </c>
    </row>
    <row r="20" spans="1:43" x14ac:dyDescent="0.25">
      <c r="A20" s="6">
        <v>14</v>
      </c>
      <c r="B20" s="28" t="s">
        <v>173</v>
      </c>
      <c r="C20" s="94"/>
      <c r="D20" s="94"/>
      <c r="E20" s="308"/>
      <c r="F20" s="308"/>
      <c r="G20" s="565"/>
      <c r="H20" s="565"/>
      <c r="I20" s="94"/>
      <c r="J20" s="391">
        <f t="shared" si="9"/>
        <v>0</v>
      </c>
      <c r="K20" s="155"/>
      <c r="L20" s="155"/>
      <c r="M20" s="392"/>
      <c r="N20" s="392"/>
      <c r="O20" s="155"/>
      <c r="P20" s="155"/>
      <c r="Q20" s="155"/>
      <c r="R20" s="155"/>
      <c r="S20" s="155"/>
      <c r="T20" s="155"/>
      <c r="U20" s="572"/>
      <c r="V20" s="49"/>
      <c r="W20" s="49"/>
      <c r="X20" s="49"/>
      <c r="Y20" s="49"/>
    </row>
    <row r="21" spans="1:43" x14ac:dyDescent="0.25">
      <c r="A21" s="6">
        <v>15</v>
      </c>
      <c r="B21" s="28" t="s">
        <v>149</v>
      </c>
      <c r="C21" s="94">
        <v>1</v>
      </c>
      <c r="D21" s="94">
        <f>1/7</f>
        <v>0.14285714285714285</v>
      </c>
      <c r="E21" s="308"/>
      <c r="F21" s="308"/>
      <c r="G21" s="568">
        <v>0.14299999999999999</v>
      </c>
      <c r="H21" s="565">
        <v>0</v>
      </c>
      <c r="I21" s="94">
        <v>0</v>
      </c>
      <c r="J21" s="391">
        <f t="shared" ref="J21" si="13">SUM(C21:I21)</f>
        <v>1.2858571428571428</v>
      </c>
      <c r="K21" s="155">
        <v>-0.71399999999999997</v>
      </c>
      <c r="L21" s="155">
        <v>0</v>
      </c>
      <c r="M21" s="392"/>
      <c r="N21" s="392"/>
      <c r="O21" s="155"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572">
        <v>0</v>
      </c>
      <c r="V21" s="49">
        <f t="shared" si="1"/>
        <v>-0.71399999999999997</v>
      </c>
      <c r="W21" s="49">
        <f t="shared" si="2"/>
        <v>0.57185714285714284</v>
      </c>
      <c r="X21" s="49">
        <f t="shared" si="3"/>
        <v>4.0846938775510204E-2</v>
      </c>
      <c r="Y21" s="49">
        <f t="shared" si="5"/>
        <v>1.1437142857142857</v>
      </c>
    </row>
    <row r="22" spans="1:43" x14ac:dyDescent="0.25">
      <c r="A22" s="6">
        <v>16</v>
      </c>
      <c r="B22" s="28" t="s">
        <v>150</v>
      </c>
      <c r="C22" s="94">
        <v>1</v>
      </c>
      <c r="D22" s="94">
        <v>5.2999999999999999E-2</v>
      </c>
      <c r="E22" s="308"/>
      <c r="F22" s="308"/>
      <c r="G22" s="568">
        <v>5.8999999999999997E-2</v>
      </c>
      <c r="H22" s="565">
        <v>0.11</v>
      </c>
      <c r="I22" s="94">
        <v>0</v>
      </c>
      <c r="J22" s="391">
        <f t="shared" si="9"/>
        <v>1.222</v>
      </c>
      <c r="K22" s="155">
        <v>-0.78</v>
      </c>
      <c r="L22" s="155">
        <v>-5.2999999999999999E-2</v>
      </c>
      <c r="M22" s="392"/>
      <c r="N22" s="392"/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572">
        <v>-0.5</v>
      </c>
      <c r="V22" s="49">
        <f t="shared" si="1"/>
        <v>-1.3330000000000002</v>
      </c>
      <c r="W22" s="49">
        <f t="shared" si="2"/>
        <v>-0.11100000000000021</v>
      </c>
      <c r="X22" s="49">
        <f t="shared" si="3"/>
        <v>-7.9285714285714324E-3</v>
      </c>
      <c r="Y22" s="49">
        <f t="shared" si="5"/>
        <v>-0.22200000000000042</v>
      </c>
    </row>
    <row r="23" spans="1:43" x14ac:dyDescent="0.25">
      <c r="A23" s="6">
        <v>17</v>
      </c>
      <c r="B23" s="28" t="s">
        <v>151</v>
      </c>
      <c r="C23" s="94">
        <v>1</v>
      </c>
      <c r="D23" s="94">
        <f>1/10</f>
        <v>0.1</v>
      </c>
      <c r="E23" s="308"/>
      <c r="F23" s="308"/>
      <c r="G23" s="566">
        <f>1/8</f>
        <v>0.125</v>
      </c>
      <c r="H23" s="565">
        <v>0.1</v>
      </c>
      <c r="I23" s="94">
        <v>0</v>
      </c>
      <c r="J23" s="391">
        <f t="shared" si="9"/>
        <v>1.3250000000000002</v>
      </c>
      <c r="K23" s="155">
        <v>-0.5</v>
      </c>
      <c r="L23" s="155">
        <v>0</v>
      </c>
      <c r="M23" s="392"/>
      <c r="N23" s="392"/>
      <c r="O23" s="155">
        <v>0</v>
      </c>
      <c r="P23" s="155">
        <v>0</v>
      </c>
      <c r="Q23" s="155">
        <v>0</v>
      </c>
      <c r="R23" s="155">
        <f>-(1/8)</f>
        <v>-0.125</v>
      </c>
      <c r="S23" s="155">
        <v>0</v>
      </c>
      <c r="T23" s="155">
        <v>0</v>
      </c>
      <c r="U23" s="572">
        <v>0</v>
      </c>
      <c r="V23" s="49">
        <f t="shared" si="1"/>
        <v>-0.625</v>
      </c>
      <c r="W23" s="49">
        <f t="shared" si="2"/>
        <v>0.70000000000000018</v>
      </c>
      <c r="X23" s="49">
        <f t="shared" si="3"/>
        <v>5.000000000000001E-2</v>
      </c>
      <c r="Y23" s="49">
        <f t="shared" si="5"/>
        <v>1.4000000000000004</v>
      </c>
    </row>
    <row r="24" spans="1:43" x14ac:dyDescent="0.25">
      <c r="A24" s="6">
        <v>18</v>
      </c>
      <c r="B24" s="28" t="s">
        <v>152</v>
      </c>
      <c r="C24" s="94">
        <v>1</v>
      </c>
      <c r="D24" s="94">
        <v>0.125</v>
      </c>
      <c r="E24" s="308"/>
      <c r="F24" s="308"/>
      <c r="G24" s="568">
        <f>3/16</f>
        <v>0.1875</v>
      </c>
      <c r="H24" s="565">
        <v>0</v>
      </c>
      <c r="I24" s="94">
        <v>0</v>
      </c>
      <c r="J24" s="391">
        <f t="shared" ref="J24" si="14">SUM(C24:I24)</f>
        <v>1.3125</v>
      </c>
      <c r="K24" s="155">
        <v>-0.187</v>
      </c>
      <c r="L24" s="155">
        <v>0</v>
      </c>
      <c r="M24" s="392"/>
      <c r="N24" s="392"/>
      <c r="O24" s="155">
        <v>0</v>
      </c>
      <c r="P24" s="155">
        <v>0</v>
      </c>
      <c r="Q24" s="155">
        <v>0</v>
      </c>
      <c r="R24" s="155">
        <v>0</v>
      </c>
      <c r="S24" s="155">
        <v>0</v>
      </c>
      <c r="T24" s="41">
        <v>0</v>
      </c>
      <c r="U24" s="572">
        <v>0</v>
      </c>
      <c r="V24" s="49">
        <f t="shared" si="1"/>
        <v>-0.187</v>
      </c>
      <c r="W24" s="49">
        <f t="shared" si="2"/>
        <v>1.1254999999999999</v>
      </c>
      <c r="X24" s="49">
        <f t="shared" si="3"/>
        <v>8.0392857142857141E-2</v>
      </c>
      <c r="Y24" s="49">
        <f t="shared" si="5"/>
        <v>2.2509999999999999</v>
      </c>
    </row>
    <row r="25" spans="1:43" x14ac:dyDescent="0.25">
      <c r="A25" s="6">
        <v>19</v>
      </c>
      <c r="B25" s="28" t="s">
        <v>153</v>
      </c>
      <c r="C25" s="94">
        <v>1</v>
      </c>
      <c r="D25" s="94">
        <v>6.7000000000000004E-2</v>
      </c>
      <c r="E25" s="308"/>
      <c r="F25" s="308"/>
      <c r="G25" s="568">
        <v>0</v>
      </c>
      <c r="H25" s="565">
        <v>0</v>
      </c>
      <c r="I25" s="94">
        <v>0</v>
      </c>
      <c r="J25" s="391">
        <f t="shared" ref="J25" si="15">SUM(C25:I25)</f>
        <v>1.0669999999999999</v>
      </c>
      <c r="K25" s="94">
        <v>-0.22700000000000001</v>
      </c>
      <c r="L25" s="155">
        <v>0</v>
      </c>
      <c r="M25" s="392"/>
      <c r="N25" s="392"/>
      <c r="O25" s="155">
        <v>0</v>
      </c>
      <c r="P25" s="155">
        <v>0</v>
      </c>
      <c r="Q25" s="155">
        <v>0</v>
      </c>
      <c r="R25" s="155">
        <v>0</v>
      </c>
      <c r="S25" s="155">
        <v>0</v>
      </c>
      <c r="T25" s="561">
        <f>-(2/3)</f>
        <v>-0.66666666666666663</v>
      </c>
      <c r="U25" s="572">
        <v>0</v>
      </c>
      <c r="V25" s="49">
        <f t="shared" si="1"/>
        <v>-0.89366666666666661</v>
      </c>
      <c r="W25" s="49">
        <f t="shared" si="2"/>
        <v>0.17333333333333334</v>
      </c>
      <c r="X25" s="49">
        <f t="shared" si="3"/>
        <v>1.2380952380952381E-2</v>
      </c>
      <c r="Y25" s="49">
        <f t="shared" si="5"/>
        <v>0.34666666666666668</v>
      </c>
    </row>
    <row r="26" spans="1:43" x14ac:dyDescent="0.25">
      <c r="A26" s="6">
        <v>20</v>
      </c>
      <c r="B26" s="28" t="s">
        <v>154</v>
      </c>
      <c r="C26" s="94">
        <v>1</v>
      </c>
      <c r="D26" s="94">
        <v>0.27800000000000002</v>
      </c>
      <c r="E26" s="308"/>
      <c r="F26" s="308"/>
      <c r="G26" s="568">
        <f>4/18</f>
        <v>0.22222222222222221</v>
      </c>
      <c r="H26" s="565">
        <v>0.111</v>
      </c>
      <c r="I26" s="94">
        <v>0.5</v>
      </c>
      <c r="J26" s="391">
        <f t="shared" si="9"/>
        <v>2.1112222222222226</v>
      </c>
      <c r="K26" s="155">
        <v>-0.44400000000000001</v>
      </c>
      <c r="L26" s="155">
        <v>0</v>
      </c>
      <c r="M26" s="392"/>
      <c r="N26" s="392"/>
      <c r="O26" s="155">
        <v>0</v>
      </c>
      <c r="P26" s="155">
        <v>0</v>
      </c>
      <c r="Q26" s="155">
        <v>0</v>
      </c>
      <c r="R26" s="155">
        <v>0</v>
      </c>
      <c r="S26" s="155">
        <v>0</v>
      </c>
      <c r="T26" s="561">
        <f>-(2/12)</f>
        <v>-0.16666666666666666</v>
      </c>
      <c r="U26" s="572">
        <v>0</v>
      </c>
      <c r="V26" s="49">
        <f t="shared" si="1"/>
        <v>-0.61066666666666669</v>
      </c>
      <c r="W26" s="49">
        <f t="shared" si="2"/>
        <v>1.5005555555555559</v>
      </c>
      <c r="X26" s="49">
        <f t="shared" si="3"/>
        <v>0.1071825396825397</v>
      </c>
      <c r="Y26" s="49">
        <f t="shared" si="5"/>
        <v>3.0011111111111117</v>
      </c>
    </row>
    <row r="27" spans="1:43" s="76" customFormat="1" x14ac:dyDescent="0.25">
      <c r="A27" s="6">
        <v>21</v>
      </c>
      <c r="B27" s="28" t="s">
        <v>155</v>
      </c>
      <c r="C27" s="94">
        <v>1</v>
      </c>
      <c r="D27" s="94">
        <v>0.18</v>
      </c>
      <c r="E27" s="308"/>
      <c r="F27" s="308"/>
      <c r="G27" s="568">
        <f>5/11</f>
        <v>0.45454545454545453</v>
      </c>
      <c r="H27" s="565">
        <v>1</v>
      </c>
      <c r="I27" s="94">
        <v>1</v>
      </c>
      <c r="J27" s="391">
        <f t="shared" si="9"/>
        <v>3.6345454545454547</v>
      </c>
      <c r="K27" s="155">
        <v>0</v>
      </c>
      <c r="L27" s="155">
        <v>0</v>
      </c>
      <c r="M27" s="392"/>
      <c r="N27" s="392"/>
      <c r="O27" s="155">
        <v>0</v>
      </c>
      <c r="P27" s="155">
        <v>0</v>
      </c>
      <c r="Q27" s="155">
        <v>0</v>
      </c>
      <c r="R27" s="155">
        <v>0</v>
      </c>
      <c r="S27" s="155">
        <v>0</v>
      </c>
      <c r="T27" s="155">
        <v>0</v>
      </c>
      <c r="U27" s="572">
        <v>0</v>
      </c>
      <c r="V27" s="49">
        <f t="shared" si="1"/>
        <v>0</v>
      </c>
      <c r="W27" s="49">
        <f t="shared" si="2"/>
        <v>3.6345454545454547</v>
      </c>
      <c r="X27" s="49">
        <f t="shared" si="3"/>
        <v>0.25961038961038962</v>
      </c>
      <c r="Y27" s="49">
        <f t="shared" si="5"/>
        <v>7.2690909090909095</v>
      </c>
    </row>
    <row r="28" spans="1:43" x14ac:dyDescent="0.25">
      <c r="A28" s="6">
        <v>22</v>
      </c>
      <c r="B28" s="28" t="s">
        <v>277</v>
      </c>
      <c r="C28" s="94">
        <f>14/16</f>
        <v>0.875</v>
      </c>
      <c r="D28" s="94">
        <f>2/16</f>
        <v>0.125</v>
      </c>
      <c r="E28" s="308"/>
      <c r="F28" s="308"/>
      <c r="G28" s="566">
        <f>1/10</f>
        <v>0.1</v>
      </c>
      <c r="H28" s="565">
        <v>1</v>
      </c>
      <c r="I28" s="94">
        <v>0</v>
      </c>
      <c r="J28" s="391">
        <f t="shared" si="9"/>
        <v>2.1</v>
      </c>
      <c r="K28" s="155">
        <f>-9/16</f>
        <v>-0.5625</v>
      </c>
      <c r="L28" s="155">
        <v>0</v>
      </c>
      <c r="M28" s="392"/>
      <c r="N28" s="392"/>
      <c r="O28" s="155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0</v>
      </c>
      <c r="U28" s="572">
        <v>0</v>
      </c>
      <c r="V28" s="49">
        <f t="shared" si="1"/>
        <v>-0.5625</v>
      </c>
      <c r="W28" s="49">
        <f t="shared" si="2"/>
        <v>1.5375000000000001</v>
      </c>
      <c r="X28" s="49">
        <f t="shared" si="3"/>
        <v>0.10982142857142858</v>
      </c>
      <c r="Y28" s="49">
        <f t="shared" si="5"/>
        <v>3.0750000000000002</v>
      </c>
    </row>
    <row r="29" spans="1:43" ht="20.25" customHeight="1" x14ac:dyDescent="0.25">
      <c r="A29" s="6">
        <v>23</v>
      </c>
      <c r="B29" s="28" t="s">
        <v>156</v>
      </c>
      <c r="C29" s="94">
        <f>10/11</f>
        <v>0.90909090909090906</v>
      </c>
      <c r="D29" s="94">
        <v>0</v>
      </c>
      <c r="E29" s="308"/>
      <c r="F29" s="308"/>
      <c r="G29" s="568">
        <v>0</v>
      </c>
      <c r="H29" s="565">
        <v>1</v>
      </c>
      <c r="I29" s="94">
        <v>1</v>
      </c>
      <c r="J29" s="391">
        <f t="shared" ref="J29" si="16">SUM(C29:I29)</f>
        <v>2.9090909090909092</v>
      </c>
      <c r="K29" s="155">
        <v>-0.45500000000000002</v>
      </c>
      <c r="L29" s="155">
        <v>0</v>
      </c>
      <c r="M29" s="392"/>
      <c r="N29" s="392"/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572">
        <v>0</v>
      </c>
      <c r="V29" s="49">
        <f t="shared" si="1"/>
        <v>-0.45500000000000002</v>
      </c>
      <c r="W29" s="49">
        <f t="shared" si="2"/>
        <v>2.4540909090909091</v>
      </c>
      <c r="X29" s="49">
        <f t="shared" si="3"/>
        <v>0.1752922077922078</v>
      </c>
      <c r="Y29" s="49">
        <f t="shared" si="5"/>
        <v>4.9081818181818182</v>
      </c>
    </row>
    <row r="30" spans="1:43" s="383" customFormat="1" x14ac:dyDescent="0.25">
      <c r="A30" s="6">
        <v>24</v>
      </c>
      <c r="B30" s="28" t="s">
        <v>157</v>
      </c>
      <c r="C30" s="94">
        <v>0.875</v>
      </c>
      <c r="D30" s="94">
        <v>5.8000000000000003E-2</v>
      </c>
      <c r="E30" s="308"/>
      <c r="F30" s="308"/>
      <c r="G30" s="568">
        <v>0</v>
      </c>
      <c r="H30" s="565">
        <v>0</v>
      </c>
      <c r="I30" s="94">
        <v>0</v>
      </c>
      <c r="J30" s="391">
        <f t="shared" si="9"/>
        <v>0.93300000000000005</v>
      </c>
      <c r="K30" s="155">
        <v>-0.88200000000000001</v>
      </c>
      <c r="L30" s="155">
        <v>0</v>
      </c>
      <c r="M30" s="392"/>
      <c r="N30" s="392"/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572">
        <v>0</v>
      </c>
      <c r="V30" s="49">
        <f t="shared" si="1"/>
        <v>-0.88200000000000001</v>
      </c>
      <c r="W30" s="49">
        <f t="shared" si="2"/>
        <v>5.1000000000000045E-2</v>
      </c>
      <c r="X30" s="49">
        <f t="shared" si="3"/>
        <v>3.642857142857146E-3</v>
      </c>
      <c r="Y30" s="49">
        <f t="shared" si="5"/>
        <v>0.10200000000000009</v>
      </c>
      <c r="Z30" s="8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</row>
    <row r="31" spans="1:43" s="76" customFormat="1" x14ac:dyDescent="0.25">
      <c r="A31" s="6">
        <v>25</v>
      </c>
      <c r="B31" s="28" t="s">
        <v>159</v>
      </c>
      <c r="C31" s="94">
        <v>1</v>
      </c>
      <c r="D31" s="94">
        <v>0</v>
      </c>
      <c r="E31" s="308"/>
      <c r="F31" s="308"/>
      <c r="G31" s="568">
        <v>0</v>
      </c>
      <c r="H31" s="565">
        <v>1</v>
      </c>
      <c r="I31" s="94">
        <v>0</v>
      </c>
      <c r="J31" s="391">
        <f t="shared" si="9"/>
        <v>2</v>
      </c>
      <c r="K31" s="155">
        <v>-0.85699999999999998</v>
      </c>
      <c r="L31" s="155">
        <v>0</v>
      </c>
      <c r="M31" s="392"/>
      <c r="N31" s="392"/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572">
        <v>0</v>
      </c>
      <c r="V31" s="49">
        <f t="shared" si="1"/>
        <v>-0.85699999999999998</v>
      </c>
      <c r="W31" s="49">
        <f t="shared" si="2"/>
        <v>1.143</v>
      </c>
      <c r="X31" s="49">
        <f t="shared" si="3"/>
        <v>8.1642857142857142E-2</v>
      </c>
      <c r="Y31" s="49">
        <f t="shared" si="5"/>
        <v>2.286</v>
      </c>
    </row>
    <row r="32" spans="1:43" x14ac:dyDescent="0.25">
      <c r="A32" s="6">
        <v>26</v>
      </c>
      <c r="B32" s="28" t="s">
        <v>160</v>
      </c>
      <c r="C32" s="94">
        <v>1</v>
      </c>
      <c r="D32" s="94">
        <f>7/27</f>
        <v>0.25925925925925924</v>
      </c>
      <c r="E32" s="308"/>
      <c r="F32" s="308"/>
      <c r="G32" s="568">
        <f>4/27</f>
        <v>0.14814814814814814</v>
      </c>
      <c r="H32" s="565">
        <v>1</v>
      </c>
      <c r="I32" s="94">
        <v>0</v>
      </c>
      <c r="J32" s="391">
        <f t="shared" si="9"/>
        <v>2.4074074074074074</v>
      </c>
      <c r="K32" s="118">
        <v>-0.53800000000000003</v>
      </c>
      <c r="L32" s="118">
        <v>0</v>
      </c>
      <c r="M32" s="394"/>
      <c r="N32" s="394"/>
      <c r="O32" s="118">
        <v>0</v>
      </c>
      <c r="P32" s="118">
        <v>0</v>
      </c>
      <c r="Q32" s="118">
        <v>0</v>
      </c>
      <c r="R32" s="562">
        <f>-(1/24)</f>
        <v>-4.1666666666666664E-2</v>
      </c>
      <c r="S32" s="118">
        <v>0</v>
      </c>
      <c r="T32" s="118">
        <v>0</v>
      </c>
      <c r="U32" s="573">
        <v>0</v>
      </c>
      <c r="V32" s="49">
        <f t="shared" si="1"/>
        <v>-0.57966666666666666</v>
      </c>
      <c r="W32" s="49">
        <f t="shared" si="2"/>
        <v>1.8277407407407407</v>
      </c>
      <c r="X32" s="49">
        <f t="shared" si="3"/>
        <v>0.13055291005291006</v>
      </c>
      <c r="Y32" s="49">
        <f t="shared" si="5"/>
        <v>3.6554814814814813</v>
      </c>
    </row>
    <row r="33" spans="1:25" x14ac:dyDescent="0.25">
      <c r="A33" s="6">
        <v>27</v>
      </c>
      <c r="B33" s="28" t="s">
        <v>158</v>
      </c>
      <c r="C33" s="94">
        <v>1</v>
      </c>
      <c r="D33" s="94">
        <v>0.71399999999999997</v>
      </c>
      <c r="E33" s="308"/>
      <c r="F33" s="308"/>
      <c r="G33" s="568">
        <f>2/7</f>
        <v>0.2857142857142857</v>
      </c>
      <c r="H33" s="565">
        <v>1</v>
      </c>
      <c r="I33" s="94">
        <v>0</v>
      </c>
      <c r="J33" s="391">
        <f t="shared" si="9"/>
        <v>2.9997142857142856</v>
      </c>
      <c r="K33" s="118">
        <v>0</v>
      </c>
      <c r="L33" s="118">
        <v>0</v>
      </c>
      <c r="M33" s="394"/>
      <c r="N33" s="394"/>
      <c r="O33" s="118">
        <v>0</v>
      </c>
      <c r="P33" s="118">
        <v>0</v>
      </c>
      <c r="Q33" s="118">
        <v>0</v>
      </c>
      <c r="R33" s="118">
        <v>0</v>
      </c>
      <c r="S33" s="118">
        <v>0</v>
      </c>
      <c r="T33" s="118">
        <v>0</v>
      </c>
      <c r="U33" s="573">
        <v>0</v>
      </c>
      <c r="V33" s="49">
        <f t="shared" si="1"/>
        <v>0</v>
      </c>
      <c r="W33" s="49">
        <f t="shared" si="2"/>
        <v>2.9997142857142856</v>
      </c>
      <c r="X33" s="49">
        <f t="shared" si="3"/>
        <v>0.21426530612244896</v>
      </c>
      <c r="Y33" s="49">
        <f t="shared" si="5"/>
        <v>5.9994285714285711</v>
      </c>
    </row>
    <row r="34" spans="1:25" x14ac:dyDescent="0.25">
      <c r="A34" s="6">
        <v>28</v>
      </c>
      <c r="B34" s="28" t="s">
        <v>161</v>
      </c>
      <c r="C34" s="94">
        <v>1</v>
      </c>
      <c r="D34" s="94">
        <v>0</v>
      </c>
      <c r="E34" s="308"/>
      <c r="F34" s="308"/>
      <c r="G34" s="568">
        <v>0</v>
      </c>
      <c r="H34" s="565"/>
      <c r="I34" s="94"/>
      <c r="J34" s="391">
        <f t="shared" si="9"/>
        <v>1</v>
      </c>
      <c r="K34" s="155"/>
      <c r="L34" s="155"/>
      <c r="M34" s="392"/>
      <c r="N34" s="392"/>
      <c r="O34" s="118"/>
      <c r="P34" s="118"/>
      <c r="Q34" s="118"/>
      <c r="R34" s="118"/>
      <c r="S34" s="118">
        <v>0</v>
      </c>
      <c r="T34" s="118">
        <v>0</v>
      </c>
      <c r="U34" s="573"/>
      <c r="V34" s="49">
        <f t="shared" si="1"/>
        <v>0</v>
      </c>
      <c r="W34" s="49">
        <f t="shared" si="2"/>
        <v>1</v>
      </c>
      <c r="X34" s="49">
        <f t="shared" si="3"/>
        <v>0.2</v>
      </c>
      <c r="Y34" s="49">
        <f t="shared" si="5"/>
        <v>2</v>
      </c>
    </row>
    <row r="35" spans="1:25" x14ac:dyDescent="0.25">
      <c r="A35" s="6">
        <v>29</v>
      </c>
      <c r="B35" s="28" t="s">
        <v>162</v>
      </c>
      <c r="C35" s="94">
        <v>1</v>
      </c>
      <c r="D35" s="94">
        <v>0.23100000000000001</v>
      </c>
      <c r="E35" s="308"/>
      <c r="F35" s="308"/>
      <c r="G35" s="568">
        <f>2/11</f>
        <v>0.18181818181818182</v>
      </c>
      <c r="H35" s="565">
        <v>0</v>
      </c>
      <c r="I35" s="94">
        <v>0</v>
      </c>
      <c r="J35" s="391">
        <f t="shared" si="9"/>
        <v>1.412818181818182</v>
      </c>
      <c r="K35" s="155">
        <v>0</v>
      </c>
      <c r="L35" s="155">
        <v>0</v>
      </c>
      <c r="M35" s="392"/>
      <c r="N35" s="392"/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561">
        <f>-(2/5)</f>
        <v>-0.4</v>
      </c>
      <c r="U35" s="572">
        <v>0</v>
      </c>
      <c r="V35" s="49">
        <f t="shared" si="1"/>
        <v>-0.4</v>
      </c>
      <c r="W35" s="49">
        <f t="shared" si="2"/>
        <v>1.0128181818181821</v>
      </c>
      <c r="X35" s="49">
        <f t="shared" si="3"/>
        <v>7.2344155844155864E-2</v>
      </c>
      <c r="Y35" s="49">
        <f t="shared" si="5"/>
        <v>2.0256363636363641</v>
      </c>
    </row>
    <row r="36" spans="1:25" x14ac:dyDescent="0.25">
      <c r="A36" s="6">
        <v>30</v>
      </c>
      <c r="B36" s="28" t="s">
        <v>163</v>
      </c>
      <c r="C36" s="94">
        <v>1</v>
      </c>
      <c r="D36" s="94">
        <f>1/11</f>
        <v>9.0909090909090912E-2</v>
      </c>
      <c r="E36" s="308"/>
      <c r="F36" s="308"/>
      <c r="G36" s="568">
        <f>2/11</f>
        <v>0.18181818181818182</v>
      </c>
      <c r="H36" s="565">
        <v>1</v>
      </c>
      <c r="I36" s="94">
        <v>0</v>
      </c>
      <c r="J36" s="391">
        <f t="shared" si="9"/>
        <v>2.2727272727272725</v>
      </c>
      <c r="K36" s="155">
        <f>-9/11</f>
        <v>-0.81818181818181823</v>
      </c>
      <c r="L36" s="155">
        <v>0</v>
      </c>
      <c r="M36" s="392"/>
      <c r="N36" s="392"/>
      <c r="O36" s="155">
        <f>-1/11</f>
        <v>-9.0909090909090912E-2</v>
      </c>
      <c r="P36" s="155">
        <f>-1/11</f>
        <v>-9.0909090909090912E-2</v>
      </c>
      <c r="Q36" s="155">
        <v>0</v>
      </c>
      <c r="R36" s="561">
        <v>0</v>
      </c>
      <c r="S36" s="155">
        <v>0</v>
      </c>
      <c r="T36" s="561">
        <f>-(1/5)</f>
        <v>-0.2</v>
      </c>
      <c r="U36" s="572">
        <v>0</v>
      </c>
      <c r="V36" s="49">
        <f t="shared" si="1"/>
        <v>-1.2</v>
      </c>
      <c r="W36" s="49">
        <f t="shared" si="2"/>
        <v>1.0727272727272725</v>
      </c>
      <c r="X36" s="49">
        <f t="shared" si="3"/>
        <v>7.6623376623376607E-2</v>
      </c>
      <c r="Y36" s="49">
        <f t="shared" si="5"/>
        <v>2.1454545454545451</v>
      </c>
    </row>
    <row r="37" spans="1:25" x14ac:dyDescent="0.25">
      <c r="A37" s="6">
        <v>31</v>
      </c>
      <c r="B37" s="28" t="s">
        <v>164</v>
      </c>
      <c r="C37" s="94">
        <v>1</v>
      </c>
      <c r="D37" s="94">
        <v>0</v>
      </c>
      <c r="E37" s="308"/>
      <c r="F37" s="308"/>
      <c r="G37" s="568">
        <v>0.25</v>
      </c>
      <c r="H37" s="565">
        <v>1</v>
      </c>
      <c r="I37" s="94">
        <v>0</v>
      </c>
      <c r="J37" s="391">
        <f t="shared" si="9"/>
        <v>2.25</v>
      </c>
      <c r="K37" s="155">
        <f>-4/6</f>
        <v>-0.66666666666666663</v>
      </c>
      <c r="L37" s="155">
        <f>-2/6</f>
        <v>-0.33333333333333331</v>
      </c>
      <c r="M37" s="392"/>
      <c r="N37" s="392"/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572">
        <v>0</v>
      </c>
      <c r="V37" s="49">
        <f t="shared" si="1"/>
        <v>-1</v>
      </c>
      <c r="W37" s="49">
        <f t="shared" si="2"/>
        <v>1.25</v>
      </c>
      <c r="X37" s="49">
        <f t="shared" si="3"/>
        <v>8.9285714285714302E-2</v>
      </c>
      <c r="Y37" s="49">
        <f t="shared" si="5"/>
        <v>2.5</v>
      </c>
    </row>
    <row r="38" spans="1:25" x14ac:dyDescent="0.25">
      <c r="A38" s="23">
        <v>32</v>
      </c>
      <c r="B38" s="26" t="s">
        <v>165</v>
      </c>
      <c r="C38" s="94"/>
      <c r="D38" s="94"/>
      <c r="E38" s="308"/>
      <c r="F38" s="308"/>
      <c r="G38" s="565"/>
      <c r="H38" s="565"/>
      <c r="I38" s="94"/>
      <c r="J38" s="391"/>
      <c r="K38" s="155"/>
      <c r="L38" s="155"/>
      <c r="M38" s="392"/>
      <c r="N38" s="392"/>
      <c r="O38" s="155"/>
      <c r="P38" s="155"/>
      <c r="Q38" s="155"/>
      <c r="R38" s="155"/>
      <c r="S38" s="155"/>
      <c r="T38" s="155"/>
      <c r="U38" s="572"/>
      <c r="V38" s="49"/>
      <c r="W38" s="49"/>
      <c r="X38" s="49"/>
      <c r="Y38" s="49"/>
    </row>
    <row r="39" spans="1:25" x14ac:dyDescent="0.25">
      <c r="A39" s="6">
        <v>33</v>
      </c>
      <c r="B39" s="28" t="s">
        <v>166</v>
      </c>
      <c r="C39" s="94">
        <v>1</v>
      </c>
      <c r="D39" s="94">
        <f>0/7</f>
        <v>0</v>
      </c>
      <c r="E39" s="308"/>
      <c r="F39" s="308"/>
      <c r="G39" s="568">
        <v>0</v>
      </c>
      <c r="H39" s="565">
        <v>0</v>
      </c>
      <c r="I39" s="94">
        <v>0</v>
      </c>
      <c r="J39" s="391">
        <f t="shared" si="9"/>
        <v>1</v>
      </c>
      <c r="K39" s="155">
        <v>0</v>
      </c>
      <c r="L39" s="155">
        <v>-0.4</v>
      </c>
      <c r="M39" s="392"/>
      <c r="N39" s="392"/>
      <c r="O39" s="155">
        <v>0</v>
      </c>
      <c r="P39" s="155">
        <v>0</v>
      </c>
      <c r="Q39" s="155">
        <v>0</v>
      </c>
      <c r="R39" s="155">
        <v>0</v>
      </c>
      <c r="S39" s="155">
        <v>0</v>
      </c>
      <c r="T39" s="561">
        <v>-1</v>
      </c>
      <c r="U39" s="572">
        <v>0</v>
      </c>
      <c r="V39" s="49">
        <f t="shared" si="1"/>
        <v>-1.4</v>
      </c>
      <c r="W39" s="49">
        <f t="shared" si="2"/>
        <v>-0.39999999999999991</v>
      </c>
      <c r="X39" s="49">
        <f t="shared" si="3"/>
        <v>-2.8571428571428574E-2</v>
      </c>
      <c r="Y39" s="49">
        <f t="shared" si="5"/>
        <v>-0.79999999999999982</v>
      </c>
    </row>
    <row r="40" spans="1:25" x14ac:dyDescent="0.25">
      <c r="A40" s="6">
        <v>34</v>
      </c>
      <c r="B40" s="28" t="s">
        <v>167</v>
      </c>
      <c r="C40" s="94">
        <v>1</v>
      </c>
      <c r="D40" s="94">
        <v>0.111</v>
      </c>
      <c r="E40" s="308"/>
      <c r="F40" s="308"/>
      <c r="G40" s="568">
        <v>0</v>
      </c>
      <c r="H40" s="565">
        <v>0.111</v>
      </c>
      <c r="I40" s="94">
        <v>0</v>
      </c>
      <c r="J40" s="391">
        <f t="shared" si="9"/>
        <v>1.222</v>
      </c>
      <c r="K40" s="155">
        <v>0</v>
      </c>
      <c r="L40" s="155">
        <v>-0.4</v>
      </c>
      <c r="M40" s="392"/>
      <c r="N40" s="392"/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0</v>
      </c>
      <c r="U40" s="572">
        <v>-1</v>
      </c>
      <c r="V40" s="49">
        <f t="shared" si="1"/>
        <v>-1.4</v>
      </c>
      <c r="W40" s="49">
        <f t="shared" si="2"/>
        <v>-0.17799999999999994</v>
      </c>
      <c r="X40" s="49">
        <f t="shared" si="3"/>
        <v>-1.2714285714285718E-2</v>
      </c>
      <c r="Y40" s="49">
        <f t="shared" si="5"/>
        <v>-0.35599999999999987</v>
      </c>
    </row>
    <row r="41" spans="1:25" x14ac:dyDescent="0.25">
      <c r="A41" s="6">
        <v>35</v>
      </c>
      <c r="B41" s="28" t="s">
        <v>168</v>
      </c>
      <c r="C41" s="94">
        <v>1</v>
      </c>
      <c r="D41" s="94">
        <v>0.14299999999999999</v>
      </c>
      <c r="E41" s="308"/>
      <c r="F41" s="308"/>
      <c r="G41" s="568">
        <v>0.14299999999999999</v>
      </c>
      <c r="H41" s="565">
        <v>0</v>
      </c>
      <c r="I41" s="94">
        <v>0</v>
      </c>
      <c r="J41" s="391">
        <f t="shared" si="9"/>
        <v>1.286</v>
      </c>
      <c r="K41" s="155">
        <v>-0.71399999999999997</v>
      </c>
      <c r="L41" s="155">
        <v>0</v>
      </c>
      <c r="M41" s="392"/>
      <c r="N41" s="392"/>
      <c r="O41" s="155"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0</v>
      </c>
      <c r="U41" s="572">
        <v>0</v>
      </c>
      <c r="V41" s="49">
        <f t="shared" si="1"/>
        <v>-0.71399999999999997</v>
      </c>
      <c r="W41" s="49">
        <f t="shared" si="2"/>
        <v>0.57200000000000006</v>
      </c>
      <c r="X41" s="49">
        <f t="shared" si="3"/>
        <v>4.0857142857142863E-2</v>
      </c>
      <c r="Y41" s="49">
        <f t="shared" si="5"/>
        <v>1.1440000000000001</v>
      </c>
    </row>
    <row r="42" spans="1:25" s="76" customFormat="1" x14ac:dyDescent="0.25">
      <c r="A42" s="6">
        <v>36</v>
      </c>
      <c r="B42" s="28" t="s">
        <v>169</v>
      </c>
      <c r="C42" s="94">
        <v>0.90900000000000003</v>
      </c>
      <c r="D42" s="94">
        <v>9.0999999999999998E-2</v>
      </c>
      <c r="E42" s="308"/>
      <c r="F42" s="308"/>
      <c r="G42" s="568">
        <v>0</v>
      </c>
      <c r="H42" s="565">
        <v>0</v>
      </c>
      <c r="I42" s="94">
        <v>0</v>
      </c>
      <c r="J42" s="391">
        <f t="shared" si="9"/>
        <v>1</v>
      </c>
      <c r="K42" s="155">
        <v>-0.81799999999999995</v>
      </c>
      <c r="L42" s="155">
        <v>0</v>
      </c>
      <c r="M42" s="392"/>
      <c r="N42" s="392"/>
      <c r="O42" s="155">
        <v>0</v>
      </c>
      <c r="P42" s="155">
        <v>0</v>
      </c>
      <c r="Q42" s="155">
        <v>0</v>
      </c>
      <c r="R42" s="155">
        <f>-(1/3)</f>
        <v>-0.33333333333333331</v>
      </c>
      <c r="S42" s="155">
        <v>0</v>
      </c>
      <c r="T42" s="561">
        <f>-(1/2)</f>
        <v>-0.5</v>
      </c>
      <c r="U42" s="572">
        <v>0</v>
      </c>
      <c r="V42" s="49">
        <f t="shared" si="1"/>
        <v>-1.6513333333333333</v>
      </c>
      <c r="W42" s="49">
        <f t="shared" si="2"/>
        <v>-0.65133333333333332</v>
      </c>
      <c r="X42" s="49">
        <f t="shared" si="3"/>
        <v>-4.6523809523809523E-2</v>
      </c>
      <c r="Y42" s="49">
        <f t="shared" si="5"/>
        <v>-1.3026666666666666</v>
      </c>
    </row>
    <row r="43" spans="1:25" x14ac:dyDescent="0.25">
      <c r="A43" s="6">
        <v>37</v>
      </c>
      <c r="B43" s="28" t="s">
        <v>170</v>
      </c>
      <c r="C43" s="94">
        <v>0.97399999999999998</v>
      </c>
      <c r="D43" s="94">
        <v>0.153</v>
      </c>
      <c r="E43" s="308"/>
      <c r="F43" s="308"/>
      <c r="G43" s="568">
        <f>3/38</f>
        <v>7.8947368421052627E-2</v>
      </c>
      <c r="H43" s="565">
        <v>1</v>
      </c>
      <c r="I43" s="94">
        <v>0</v>
      </c>
      <c r="J43" s="391">
        <f t="shared" si="9"/>
        <v>2.2059473684210529</v>
      </c>
      <c r="K43" s="155">
        <v>-0.69199999999999995</v>
      </c>
      <c r="L43" s="155">
        <v>0</v>
      </c>
      <c r="M43" s="392"/>
      <c r="N43" s="392"/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561">
        <f>-(1/15)</f>
        <v>-6.6666666666666666E-2</v>
      </c>
      <c r="U43" s="572">
        <v>-0.33300000000000002</v>
      </c>
      <c r="V43" s="49">
        <f t="shared" si="1"/>
        <v>-1.0916666666666666</v>
      </c>
      <c r="W43" s="49">
        <f t="shared" si="2"/>
        <v>1.1142807017543863</v>
      </c>
      <c r="X43" s="49">
        <f t="shared" si="3"/>
        <v>7.959147869674188E-2</v>
      </c>
      <c r="Y43" s="49">
        <f t="shared" si="5"/>
        <v>2.2285614035087726</v>
      </c>
    </row>
    <row r="44" spans="1:25" s="385" customFormat="1" x14ac:dyDescent="0.25">
      <c r="A44" s="6">
        <v>38</v>
      </c>
      <c r="B44" s="28" t="s">
        <v>171</v>
      </c>
      <c r="C44" s="386">
        <v>1</v>
      </c>
      <c r="D44" s="386">
        <v>0.375</v>
      </c>
      <c r="E44" s="384"/>
      <c r="F44" s="384"/>
      <c r="G44" s="567">
        <f>1/6</f>
        <v>0.16666666666666666</v>
      </c>
      <c r="H44" s="567">
        <v>1</v>
      </c>
      <c r="I44" s="386">
        <v>1</v>
      </c>
      <c r="J44" s="395">
        <f t="shared" ref="J44" si="17">SUM(C44:I44)</f>
        <v>3.541666666666667</v>
      </c>
      <c r="K44" s="396">
        <v>-0.625</v>
      </c>
      <c r="L44" s="396">
        <v>0</v>
      </c>
      <c r="M44" s="397"/>
      <c r="N44" s="397"/>
      <c r="O44" s="396">
        <v>0</v>
      </c>
      <c r="P44" s="396">
        <v>0</v>
      </c>
      <c r="Q44" s="396">
        <v>0</v>
      </c>
      <c r="R44" s="398">
        <v>0</v>
      </c>
      <c r="S44" s="396">
        <v>0</v>
      </c>
      <c r="T44" s="563">
        <f>-(1/3)</f>
        <v>-0.33333333333333331</v>
      </c>
      <c r="U44" s="574">
        <v>0</v>
      </c>
      <c r="V44" s="49">
        <f t="shared" si="1"/>
        <v>-0.95833333333333326</v>
      </c>
      <c r="W44" s="49">
        <f t="shared" si="2"/>
        <v>2.5833333333333339</v>
      </c>
      <c r="X44" s="49">
        <f t="shared" si="3"/>
        <v>0.18452380952380953</v>
      </c>
      <c r="Y44" s="49">
        <f t="shared" si="5"/>
        <v>5.1666666666666679</v>
      </c>
    </row>
    <row r="45" spans="1:25" x14ac:dyDescent="0.25">
      <c r="A45" s="719" t="s">
        <v>118</v>
      </c>
      <c r="B45" s="719"/>
      <c r="C45" s="405">
        <f>AVERAGE(C7:C44)</f>
        <v>0.92325528007346191</v>
      </c>
      <c r="D45" s="405">
        <f>AVERAGE(D7:D44)</f>
        <v>0.16087777786351759</v>
      </c>
      <c r="E45" s="308"/>
      <c r="F45" s="308"/>
      <c r="G45" s="405">
        <f>AVERAGE(G7:G44)</f>
        <v>0.1155888895214409</v>
      </c>
      <c r="H45" s="405">
        <f t="shared" ref="H45:X45" si="18">AVERAGE(H7:H44)</f>
        <v>0.54475000000000007</v>
      </c>
      <c r="I45" s="576">
        <f t="shared" si="18"/>
        <v>0.14338235294117646</v>
      </c>
      <c r="J45" s="405">
        <f t="shared" si="18"/>
        <v>1.6651637718985275</v>
      </c>
      <c r="K45" s="405">
        <f t="shared" si="18"/>
        <v>-0.44476022170231733</v>
      </c>
      <c r="L45" s="405">
        <f t="shared" si="18"/>
        <v>-6.4902462121212118E-2</v>
      </c>
      <c r="M45" s="405"/>
      <c r="N45" s="405"/>
      <c r="O45" s="405">
        <f t="shared" si="18"/>
        <v>-2.840909090909091E-3</v>
      </c>
      <c r="P45" s="405">
        <f t="shared" si="18"/>
        <v>-2.840909090909091E-3</v>
      </c>
      <c r="Q45" s="405">
        <f t="shared" si="18"/>
        <v>0</v>
      </c>
      <c r="R45" s="405">
        <f t="shared" si="18"/>
        <v>-1.8562499999999999E-2</v>
      </c>
      <c r="S45" s="405">
        <f t="shared" si="18"/>
        <v>0</v>
      </c>
      <c r="T45" s="405">
        <f t="shared" si="18"/>
        <v>-0.16336390217969163</v>
      </c>
      <c r="U45" s="570">
        <f t="shared" si="18"/>
        <v>-5.7281249999999999E-2</v>
      </c>
      <c r="V45" s="405">
        <f t="shared" si="18"/>
        <v>-0.73663735866972546</v>
      </c>
      <c r="W45" s="405">
        <f t="shared" si="18"/>
        <v>1.1303644461861997</v>
      </c>
      <c r="X45" s="405">
        <f t="shared" si="18"/>
        <v>8.4636421480832433E-2</v>
      </c>
      <c r="Y45" s="50">
        <f>AVERAGE(Y7:Y44)</f>
        <v>2.1244441550255497</v>
      </c>
    </row>
    <row r="48" spans="1:25" x14ac:dyDescent="0.25">
      <c r="A48" s="23">
        <v>1</v>
      </c>
      <c r="B48" s="26" t="s">
        <v>174</v>
      </c>
      <c r="C48" s="21"/>
      <c r="D48" s="21"/>
      <c r="E48" s="308"/>
      <c r="F48" s="308"/>
      <c r="G48" s="21"/>
      <c r="H48" s="21"/>
      <c r="I48" s="94"/>
      <c r="J48" s="66"/>
      <c r="K48" s="21"/>
      <c r="L48" s="21"/>
      <c r="M48" s="308"/>
      <c r="N48" s="308"/>
      <c r="O48" s="21"/>
      <c r="P48" s="21"/>
      <c r="Q48" s="21"/>
      <c r="R48" s="21"/>
      <c r="S48" s="21"/>
      <c r="T48" s="21"/>
      <c r="U48" s="569"/>
      <c r="V48" s="66"/>
      <c r="W48" s="49"/>
      <c r="X48" s="49"/>
      <c r="Y48" s="66"/>
    </row>
    <row r="49" spans="1:25" x14ac:dyDescent="0.25">
      <c r="A49" s="23">
        <v>2</v>
      </c>
      <c r="B49" s="26" t="s">
        <v>175</v>
      </c>
      <c r="C49" s="21"/>
      <c r="D49" s="21"/>
      <c r="E49" s="308"/>
      <c r="F49" s="308"/>
      <c r="G49" s="21"/>
      <c r="H49" s="21"/>
      <c r="I49" s="94"/>
      <c r="J49" s="66"/>
      <c r="K49" s="21"/>
      <c r="L49" s="21"/>
      <c r="M49" s="308"/>
      <c r="N49" s="308"/>
      <c r="O49" s="21"/>
      <c r="P49" s="21"/>
      <c r="Q49" s="21"/>
      <c r="R49" s="21"/>
      <c r="S49" s="21"/>
      <c r="T49" s="21"/>
      <c r="U49" s="569"/>
      <c r="V49" s="66"/>
      <c r="W49" s="49"/>
      <c r="X49" s="49"/>
      <c r="Y49" s="66"/>
    </row>
    <row r="50" spans="1:25" ht="25.5" x14ac:dyDescent="0.25">
      <c r="A50" s="23">
        <v>3</v>
      </c>
      <c r="B50" s="26" t="s">
        <v>176</v>
      </c>
      <c r="C50" s="94"/>
      <c r="D50" s="94"/>
      <c r="E50" s="308"/>
      <c r="F50" s="308"/>
      <c r="G50" s="94"/>
      <c r="H50" s="94"/>
      <c r="I50" s="94"/>
      <c r="J50" s="66"/>
      <c r="K50" s="94"/>
      <c r="L50" s="94"/>
      <c r="M50" s="308"/>
      <c r="N50" s="308"/>
      <c r="O50" s="94"/>
      <c r="P50" s="94"/>
      <c r="Q50" s="94"/>
      <c r="R50" s="94"/>
      <c r="S50" s="94"/>
      <c r="T50" s="94"/>
      <c r="U50" s="569"/>
      <c r="V50" s="66"/>
      <c r="W50" s="49"/>
      <c r="X50" s="49"/>
      <c r="Y50" s="66"/>
    </row>
    <row r="51" spans="1:25" x14ac:dyDescent="0.25">
      <c r="A51" s="717" t="s">
        <v>118</v>
      </c>
      <c r="B51" s="718"/>
      <c r="C51" s="11"/>
      <c r="D51" s="11"/>
      <c r="E51" s="11"/>
      <c r="F51" s="11"/>
      <c r="G51" s="11"/>
      <c r="H51" s="11"/>
      <c r="I51" s="94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569"/>
      <c r="V51" s="49"/>
      <c r="W51" s="49"/>
      <c r="X51" s="49"/>
      <c r="Y51" s="50"/>
    </row>
  </sheetData>
  <sheetProtection algorithmName="SHA-512" hashValue="dDi1hKBnnQ8CtgJV/Ij17cyzmfi0cgREqmDoetEExJHkrLZZlEUJWCHi66NX7YzdJwMFAp1g3yXjxl9PptoOOg==" saltValue="vJ2cNkRC9XNex9bdR2jwMw==" spinCount="100000" sheet="1" objects="1" selectLockedCells="1" selectUnlockedCells="1"/>
  <mergeCells count="14">
    <mergeCell ref="U4:U6"/>
    <mergeCell ref="Q5:R5"/>
    <mergeCell ref="S5:T5"/>
    <mergeCell ref="A4:A6"/>
    <mergeCell ref="B4:B6"/>
    <mergeCell ref="C4:D4"/>
    <mergeCell ref="G4:G6"/>
    <mergeCell ref="H4:H6"/>
    <mergeCell ref="I4:I6"/>
    <mergeCell ref="A51:B51"/>
    <mergeCell ref="A45:B45"/>
    <mergeCell ref="K4:L4"/>
    <mergeCell ref="O4:P4"/>
    <mergeCell ref="Q4:T4"/>
  </mergeCells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LK47"/>
  <sheetViews>
    <sheetView zoomScale="80" zoomScaleNormal="80" workbookViewId="0">
      <pane ySplit="6" topLeftCell="A18" activePane="bottomLeft" state="frozen"/>
      <selection activeCell="C44" sqref="C44"/>
      <selection pane="bottomLeft" activeCell="C44" sqref="C44"/>
    </sheetView>
  </sheetViews>
  <sheetFormatPr defaultRowHeight="15" x14ac:dyDescent="0.25"/>
  <cols>
    <col min="2" max="2" width="38.42578125" customWidth="1"/>
    <col min="18" max="229" width="9.140625" style="8"/>
    <col min="230" max="230" width="26" style="8" customWidth="1"/>
    <col min="231" max="231" width="21.140625" style="8" customWidth="1"/>
    <col min="232" max="232" width="11.140625" style="8" customWidth="1"/>
    <col min="233" max="233" width="11.28515625" style="8" customWidth="1"/>
    <col min="234" max="234" width="14.28515625" style="8" customWidth="1"/>
    <col min="235" max="235" width="16.28515625" style="8" customWidth="1"/>
    <col min="236" max="236" width="22.28515625" style="8" customWidth="1"/>
    <col min="237" max="237" width="17.42578125" style="8" customWidth="1"/>
    <col min="238" max="238" width="21.5703125" style="8" customWidth="1"/>
    <col min="239" max="239" width="14.28515625" style="8" customWidth="1"/>
    <col min="240" max="240" width="9.140625" style="8" customWidth="1"/>
    <col min="241" max="241" width="11.28515625" style="8" customWidth="1"/>
    <col min="242" max="485" width="9.140625" style="8"/>
    <col min="486" max="486" width="26" style="8" customWidth="1"/>
    <col min="487" max="487" width="21.140625" style="8" customWidth="1"/>
    <col min="488" max="488" width="11.140625" style="8" customWidth="1"/>
    <col min="489" max="489" width="11.28515625" style="8" customWidth="1"/>
    <col min="490" max="490" width="14.28515625" style="8" customWidth="1"/>
    <col min="491" max="491" width="16.28515625" style="8" customWidth="1"/>
    <col min="492" max="492" width="22.28515625" style="8" customWidth="1"/>
    <col min="493" max="493" width="17.42578125" style="8" customWidth="1"/>
    <col min="494" max="494" width="21.5703125" style="8" customWidth="1"/>
    <col min="495" max="495" width="14.28515625" style="8" customWidth="1"/>
    <col min="496" max="496" width="9.140625" style="8" customWidth="1"/>
    <col min="497" max="497" width="11.28515625" style="8" customWidth="1"/>
    <col min="498" max="741" width="9.140625" style="8"/>
    <col min="742" max="742" width="26" style="8" customWidth="1"/>
    <col min="743" max="743" width="21.140625" style="8" customWidth="1"/>
    <col min="744" max="744" width="11.140625" style="8" customWidth="1"/>
    <col min="745" max="745" width="11.28515625" style="8" customWidth="1"/>
    <col min="746" max="746" width="14.28515625" style="8" customWidth="1"/>
    <col min="747" max="747" width="16.28515625" style="8" customWidth="1"/>
    <col min="748" max="748" width="22.28515625" style="8" customWidth="1"/>
    <col min="749" max="749" width="17.42578125" style="8" customWidth="1"/>
    <col min="750" max="750" width="21.5703125" style="8" customWidth="1"/>
    <col min="751" max="751" width="14.28515625" style="8" customWidth="1"/>
    <col min="752" max="752" width="9.140625" style="8" customWidth="1"/>
    <col min="753" max="753" width="11.28515625" style="8" customWidth="1"/>
    <col min="754" max="997" width="9.140625" style="8"/>
    <col min="998" max="998" width="26" style="8" customWidth="1"/>
    <col min="999" max="999" width="21.140625" style="8" customWidth="1"/>
    <col min="1000" max="1000" width="11.140625" style="8" customWidth="1"/>
    <col min="1001" max="1001" width="11.28515625" style="8" customWidth="1"/>
    <col min="1002" max="1002" width="14.28515625" style="8" customWidth="1"/>
    <col min="1003" max="1003" width="16.28515625" style="8" customWidth="1"/>
    <col min="1004" max="1004" width="22.28515625" style="8" customWidth="1"/>
    <col min="1005" max="1005" width="17.42578125" style="8" customWidth="1"/>
    <col min="1006" max="1006" width="21.5703125" style="8" customWidth="1"/>
    <col min="1007" max="1007" width="14.28515625" style="8" customWidth="1"/>
    <col min="1008" max="1008" width="9.140625" style="8" customWidth="1"/>
    <col min="1009" max="1009" width="11.28515625" style="8" customWidth="1"/>
    <col min="1010" max="1253" width="9.140625" style="8"/>
    <col min="1254" max="1254" width="26" style="8" customWidth="1"/>
    <col min="1255" max="1255" width="21.140625" style="8" customWidth="1"/>
    <col min="1256" max="1256" width="11.140625" style="8" customWidth="1"/>
    <col min="1257" max="1257" width="11.28515625" style="8" customWidth="1"/>
    <col min="1258" max="1258" width="14.28515625" style="8" customWidth="1"/>
    <col min="1259" max="1259" width="16.28515625" style="8" customWidth="1"/>
    <col min="1260" max="1260" width="22.28515625" style="8" customWidth="1"/>
    <col min="1261" max="1261" width="17.42578125" style="8" customWidth="1"/>
    <col min="1262" max="1262" width="21.5703125" style="8" customWidth="1"/>
    <col min="1263" max="1263" width="14.28515625" style="8" customWidth="1"/>
    <col min="1264" max="1264" width="9.140625" style="8" customWidth="1"/>
    <col min="1265" max="1265" width="11.28515625" style="8" customWidth="1"/>
    <col min="1266" max="1509" width="9.140625" style="8"/>
    <col min="1510" max="1510" width="26" style="8" customWidth="1"/>
    <col min="1511" max="1511" width="21.140625" style="8" customWidth="1"/>
    <col min="1512" max="1512" width="11.140625" style="8" customWidth="1"/>
    <col min="1513" max="1513" width="11.28515625" style="8" customWidth="1"/>
    <col min="1514" max="1514" width="14.28515625" style="8" customWidth="1"/>
    <col min="1515" max="1515" width="16.28515625" style="8" customWidth="1"/>
    <col min="1516" max="1516" width="22.28515625" style="8" customWidth="1"/>
    <col min="1517" max="1517" width="17.42578125" style="8" customWidth="1"/>
    <col min="1518" max="1518" width="21.5703125" style="8" customWidth="1"/>
    <col min="1519" max="1519" width="14.28515625" style="8" customWidth="1"/>
    <col min="1520" max="1520" width="9.140625" style="8" customWidth="1"/>
    <col min="1521" max="1521" width="11.28515625" style="8" customWidth="1"/>
    <col min="1522" max="1765" width="9.140625" style="8"/>
    <col min="1766" max="1766" width="26" style="8" customWidth="1"/>
    <col min="1767" max="1767" width="21.140625" style="8" customWidth="1"/>
    <col min="1768" max="1768" width="11.140625" style="8" customWidth="1"/>
    <col min="1769" max="1769" width="11.28515625" style="8" customWidth="1"/>
    <col min="1770" max="1770" width="14.28515625" style="8" customWidth="1"/>
    <col min="1771" max="1771" width="16.28515625" style="8" customWidth="1"/>
    <col min="1772" max="1772" width="22.28515625" style="8" customWidth="1"/>
    <col min="1773" max="1773" width="17.42578125" style="8" customWidth="1"/>
    <col min="1774" max="1774" width="21.5703125" style="8" customWidth="1"/>
    <col min="1775" max="1775" width="14.28515625" style="8" customWidth="1"/>
    <col min="1776" max="1776" width="9.140625" style="8" customWidth="1"/>
    <col min="1777" max="1777" width="11.28515625" style="8" customWidth="1"/>
    <col min="1778" max="2021" width="9.140625" style="8"/>
    <col min="2022" max="2022" width="26" style="8" customWidth="1"/>
    <col min="2023" max="2023" width="21.140625" style="8" customWidth="1"/>
    <col min="2024" max="2024" width="11.140625" style="8" customWidth="1"/>
    <col min="2025" max="2025" width="11.28515625" style="8" customWidth="1"/>
    <col min="2026" max="2026" width="14.28515625" style="8" customWidth="1"/>
    <col min="2027" max="2027" width="16.28515625" style="8" customWidth="1"/>
    <col min="2028" max="2028" width="22.28515625" style="8" customWidth="1"/>
    <col min="2029" max="2029" width="17.42578125" style="8" customWidth="1"/>
    <col min="2030" max="2030" width="21.5703125" style="8" customWidth="1"/>
    <col min="2031" max="2031" width="14.28515625" style="8" customWidth="1"/>
    <col min="2032" max="2032" width="9.140625" style="8" customWidth="1"/>
    <col min="2033" max="2033" width="11.28515625" style="8" customWidth="1"/>
    <col min="2034" max="2277" width="9.140625" style="8"/>
    <col min="2278" max="2278" width="26" style="8" customWidth="1"/>
    <col min="2279" max="2279" width="21.140625" style="8" customWidth="1"/>
    <col min="2280" max="2280" width="11.140625" style="8" customWidth="1"/>
    <col min="2281" max="2281" width="11.28515625" style="8" customWidth="1"/>
    <col min="2282" max="2282" width="14.28515625" style="8" customWidth="1"/>
    <col min="2283" max="2283" width="16.28515625" style="8" customWidth="1"/>
    <col min="2284" max="2284" width="22.28515625" style="8" customWidth="1"/>
    <col min="2285" max="2285" width="17.42578125" style="8" customWidth="1"/>
    <col min="2286" max="2286" width="21.5703125" style="8" customWidth="1"/>
    <col min="2287" max="2287" width="14.28515625" style="8" customWidth="1"/>
    <col min="2288" max="2288" width="9.140625" style="8" customWidth="1"/>
    <col min="2289" max="2289" width="11.28515625" style="8" customWidth="1"/>
    <col min="2290" max="2533" width="9.140625" style="8"/>
    <col min="2534" max="2534" width="26" style="8" customWidth="1"/>
    <col min="2535" max="2535" width="21.140625" style="8" customWidth="1"/>
    <col min="2536" max="2536" width="11.140625" style="8" customWidth="1"/>
    <col min="2537" max="2537" width="11.28515625" style="8" customWidth="1"/>
    <col min="2538" max="2538" width="14.28515625" style="8" customWidth="1"/>
    <col min="2539" max="2539" width="16.28515625" style="8" customWidth="1"/>
    <col min="2540" max="2540" width="22.28515625" style="8" customWidth="1"/>
    <col min="2541" max="2541" width="17.42578125" style="8" customWidth="1"/>
    <col min="2542" max="2542" width="21.5703125" style="8" customWidth="1"/>
    <col min="2543" max="2543" width="14.28515625" style="8" customWidth="1"/>
    <col min="2544" max="2544" width="9.140625" style="8" customWidth="1"/>
    <col min="2545" max="2545" width="11.28515625" style="8" customWidth="1"/>
    <col min="2546" max="2789" width="9.140625" style="8"/>
    <col min="2790" max="2790" width="26" style="8" customWidth="1"/>
    <col min="2791" max="2791" width="21.140625" style="8" customWidth="1"/>
    <col min="2792" max="2792" width="11.140625" style="8" customWidth="1"/>
    <col min="2793" max="2793" width="11.28515625" style="8" customWidth="1"/>
    <col min="2794" max="2794" width="14.28515625" style="8" customWidth="1"/>
    <col min="2795" max="2795" width="16.28515625" style="8" customWidth="1"/>
    <col min="2796" max="2796" width="22.28515625" style="8" customWidth="1"/>
    <col min="2797" max="2797" width="17.42578125" style="8" customWidth="1"/>
    <col min="2798" max="2798" width="21.5703125" style="8" customWidth="1"/>
    <col min="2799" max="2799" width="14.28515625" style="8" customWidth="1"/>
    <col min="2800" max="2800" width="9.140625" style="8" customWidth="1"/>
    <col min="2801" max="2801" width="11.28515625" style="8" customWidth="1"/>
    <col min="2802" max="3045" width="9.140625" style="8"/>
    <col min="3046" max="3046" width="26" style="8" customWidth="1"/>
    <col min="3047" max="3047" width="21.140625" style="8" customWidth="1"/>
    <col min="3048" max="3048" width="11.140625" style="8" customWidth="1"/>
    <col min="3049" max="3049" width="11.28515625" style="8" customWidth="1"/>
    <col min="3050" max="3050" width="14.28515625" style="8" customWidth="1"/>
    <col min="3051" max="3051" width="16.28515625" style="8" customWidth="1"/>
    <col min="3052" max="3052" width="22.28515625" style="8" customWidth="1"/>
    <col min="3053" max="3053" width="17.42578125" style="8" customWidth="1"/>
    <col min="3054" max="3054" width="21.5703125" style="8" customWidth="1"/>
    <col min="3055" max="3055" width="14.28515625" style="8" customWidth="1"/>
    <col min="3056" max="3056" width="9.140625" style="8" customWidth="1"/>
    <col min="3057" max="3057" width="11.28515625" style="8" customWidth="1"/>
    <col min="3058" max="3301" width="9.140625" style="8"/>
    <col min="3302" max="3302" width="26" style="8" customWidth="1"/>
    <col min="3303" max="3303" width="21.140625" style="8" customWidth="1"/>
    <col min="3304" max="3304" width="11.140625" style="8" customWidth="1"/>
    <col min="3305" max="3305" width="11.28515625" style="8" customWidth="1"/>
    <col min="3306" max="3306" width="14.28515625" style="8" customWidth="1"/>
    <col min="3307" max="3307" width="16.28515625" style="8" customWidth="1"/>
    <col min="3308" max="3308" width="22.28515625" style="8" customWidth="1"/>
    <col min="3309" max="3309" width="17.42578125" style="8" customWidth="1"/>
    <col min="3310" max="3310" width="21.5703125" style="8" customWidth="1"/>
    <col min="3311" max="3311" width="14.28515625" style="8" customWidth="1"/>
    <col min="3312" max="3312" width="9.140625" style="8" customWidth="1"/>
    <col min="3313" max="3313" width="11.28515625" style="8" customWidth="1"/>
    <col min="3314" max="3557" width="9.140625" style="8"/>
    <col min="3558" max="3558" width="26" style="8" customWidth="1"/>
    <col min="3559" max="3559" width="21.140625" style="8" customWidth="1"/>
    <col min="3560" max="3560" width="11.140625" style="8" customWidth="1"/>
    <col min="3561" max="3561" width="11.28515625" style="8" customWidth="1"/>
    <col min="3562" max="3562" width="14.28515625" style="8" customWidth="1"/>
    <col min="3563" max="3563" width="16.28515625" style="8" customWidth="1"/>
    <col min="3564" max="3564" width="22.28515625" style="8" customWidth="1"/>
    <col min="3565" max="3565" width="17.42578125" style="8" customWidth="1"/>
    <col min="3566" max="3566" width="21.5703125" style="8" customWidth="1"/>
    <col min="3567" max="3567" width="14.28515625" style="8" customWidth="1"/>
    <col min="3568" max="3568" width="9.140625" style="8" customWidth="1"/>
    <col min="3569" max="3569" width="11.28515625" style="8" customWidth="1"/>
    <col min="3570" max="3813" width="9.140625" style="8"/>
    <col min="3814" max="3814" width="26" style="8" customWidth="1"/>
    <col min="3815" max="3815" width="21.140625" style="8" customWidth="1"/>
    <col min="3816" max="3816" width="11.140625" style="8" customWidth="1"/>
    <col min="3817" max="3817" width="11.28515625" style="8" customWidth="1"/>
    <col min="3818" max="3818" width="14.28515625" style="8" customWidth="1"/>
    <col min="3819" max="3819" width="16.28515625" style="8" customWidth="1"/>
    <col min="3820" max="3820" width="22.28515625" style="8" customWidth="1"/>
    <col min="3821" max="3821" width="17.42578125" style="8" customWidth="1"/>
    <col min="3822" max="3822" width="21.5703125" style="8" customWidth="1"/>
    <col min="3823" max="3823" width="14.28515625" style="8" customWidth="1"/>
    <col min="3824" max="3824" width="9.140625" style="8" customWidth="1"/>
    <col min="3825" max="3825" width="11.28515625" style="8" customWidth="1"/>
    <col min="3826" max="4069" width="9.140625" style="8"/>
    <col min="4070" max="4070" width="26" style="8" customWidth="1"/>
    <col min="4071" max="4071" width="21.140625" style="8" customWidth="1"/>
    <col min="4072" max="4072" width="11.140625" style="8" customWidth="1"/>
    <col min="4073" max="4073" width="11.28515625" style="8" customWidth="1"/>
    <col min="4074" max="4074" width="14.28515625" style="8" customWidth="1"/>
    <col min="4075" max="4075" width="16.28515625" style="8" customWidth="1"/>
    <col min="4076" max="4076" width="22.28515625" style="8" customWidth="1"/>
    <col min="4077" max="4077" width="17.42578125" style="8" customWidth="1"/>
    <col min="4078" max="4078" width="21.5703125" style="8" customWidth="1"/>
    <col min="4079" max="4079" width="14.28515625" style="8" customWidth="1"/>
    <col min="4080" max="4080" width="9.140625" style="8" customWidth="1"/>
    <col min="4081" max="4081" width="11.28515625" style="8" customWidth="1"/>
    <col min="4082" max="4325" width="9.140625" style="8"/>
    <col min="4326" max="4326" width="26" style="8" customWidth="1"/>
    <col min="4327" max="4327" width="21.140625" style="8" customWidth="1"/>
    <col min="4328" max="4328" width="11.140625" style="8" customWidth="1"/>
    <col min="4329" max="4329" width="11.28515625" style="8" customWidth="1"/>
    <col min="4330" max="4330" width="14.28515625" style="8" customWidth="1"/>
    <col min="4331" max="4331" width="16.28515625" style="8" customWidth="1"/>
    <col min="4332" max="4332" width="22.28515625" style="8" customWidth="1"/>
    <col min="4333" max="4333" width="17.42578125" style="8" customWidth="1"/>
    <col min="4334" max="4334" width="21.5703125" style="8" customWidth="1"/>
    <col min="4335" max="4335" width="14.28515625" style="8" customWidth="1"/>
    <col min="4336" max="4336" width="9.140625" style="8" customWidth="1"/>
    <col min="4337" max="4337" width="11.28515625" style="8" customWidth="1"/>
    <col min="4338" max="4581" width="9.140625" style="8"/>
    <col min="4582" max="4582" width="26" style="8" customWidth="1"/>
    <col min="4583" max="4583" width="21.140625" style="8" customWidth="1"/>
    <col min="4584" max="4584" width="11.140625" style="8" customWidth="1"/>
    <col min="4585" max="4585" width="11.28515625" style="8" customWidth="1"/>
    <col min="4586" max="4586" width="14.28515625" style="8" customWidth="1"/>
    <col min="4587" max="4587" width="16.28515625" style="8" customWidth="1"/>
    <col min="4588" max="4588" width="22.28515625" style="8" customWidth="1"/>
    <col min="4589" max="4589" width="17.42578125" style="8" customWidth="1"/>
    <col min="4590" max="4590" width="21.5703125" style="8" customWidth="1"/>
    <col min="4591" max="4591" width="14.28515625" style="8" customWidth="1"/>
    <col min="4592" max="4592" width="9.140625" style="8" customWidth="1"/>
    <col min="4593" max="4593" width="11.28515625" style="8" customWidth="1"/>
    <col min="4594" max="4837" width="9.140625" style="8"/>
    <col min="4838" max="4838" width="26" style="8" customWidth="1"/>
    <col min="4839" max="4839" width="21.140625" style="8" customWidth="1"/>
    <col min="4840" max="4840" width="11.140625" style="8" customWidth="1"/>
    <col min="4841" max="4841" width="11.28515625" style="8" customWidth="1"/>
    <col min="4842" max="4842" width="14.28515625" style="8" customWidth="1"/>
    <col min="4843" max="4843" width="16.28515625" style="8" customWidth="1"/>
    <col min="4844" max="4844" width="22.28515625" style="8" customWidth="1"/>
    <col min="4845" max="4845" width="17.42578125" style="8" customWidth="1"/>
    <col min="4846" max="4846" width="21.5703125" style="8" customWidth="1"/>
    <col min="4847" max="4847" width="14.28515625" style="8" customWidth="1"/>
    <col min="4848" max="4848" width="9.140625" style="8" customWidth="1"/>
    <col min="4849" max="4849" width="11.28515625" style="8" customWidth="1"/>
    <col min="4850" max="5093" width="9.140625" style="8"/>
    <col min="5094" max="5094" width="26" style="8" customWidth="1"/>
    <col min="5095" max="5095" width="21.140625" style="8" customWidth="1"/>
    <col min="5096" max="5096" width="11.140625" style="8" customWidth="1"/>
    <col min="5097" max="5097" width="11.28515625" style="8" customWidth="1"/>
    <col min="5098" max="5098" width="14.28515625" style="8" customWidth="1"/>
    <col min="5099" max="5099" width="16.28515625" style="8" customWidth="1"/>
    <col min="5100" max="5100" width="22.28515625" style="8" customWidth="1"/>
    <col min="5101" max="5101" width="17.42578125" style="8" customWidth="1"/>
    <col min="5102" max="5102" width="21.5703125" style="8" customWidth="1"/>
    <col min="5103" max="5103" width="14.28515625" style="8" customWidth="1"/>
    <col min="5104" max="5104" width="9.140625" style="8" customWidth="1"/>
    <col min="5105" max="5105" width="11.28515625" style="8" customWidth="1"/>
    <col min="5106" max="5349" width="9.140625" style="8"/>
    <col min="5350" max="5350" width="26" style="8" customWidth="1"/>
    <col min="5351" max="5351" width="21.140625" style="8" customWidth="1"/>
    <col min="5352" max="5352" width="11.140625" style="8" customWidth="1"/>
    <col min="5353" max="5353" width="11.28515625" style="8" customWidth="1"/>
    <col min="5354" max="5354" width="14.28515625" style="8" customWidth="1"/>
    <col min="5355" max="5355" width="16.28515625" style="8" customWidth="1"/>
    <col min="5356" max="5356" width="22.28515625" style="8" customWidth="1"/>
    <col min="5357" max="5357" width="17.42578125" style="8" customWidth="1"/>
    <col min="5358" max="5358" width="21.5703125" style="8" customWidth="1"/>
    <col min="5359" max="5359" width="14.28515625" style="8" customWidth="1"/>
    <col min="5360" max="5360" width="9.140625" style="8" customWidth="1"/>
    <col min="5361" max="5361" width="11.28515625" style="8" customWidth="1"/>
    <col min="5362" max="5605" width="9.140625" style="8"/>
    <col min="5606" max="5606" width="26" style="8" customWidth="1"/>
    <col min="5607" max="5607" width="21.140625" style="8" customWidth="1"/>
    <col min="5608" max="5608" width="11.140625" style="8" customWidth="1"/>
    <col min="5609" max="5609" width="11.28515625" style="8" customWidth="1"/>
    <col min="5610" max="5610" width="14.28515625" style="8" customWidth="1"/>
    <col min="5611" max="5611" width="16.28515625" style="8" customWidth="1"/>
    <col min="5612" max="5612" width="22.28515625" style="8" customWidth="1"/>
    <col min="5613" max="5613" width="17.42578125" style="8" customWidth="1"/>
    <col min="5614" max="5614" width="21.5703125" style="8" customWidth="1"/>
    <col min="5615" max="5615" width="14.28515625" style="8" customWidth="1"/>
    <col min="5616" max="5616" width="9.140625" style="8" customWidth="1"/>
    <col min="5617" max="5617" width="11.28515625" style="8" customWidth="1"/>
    <col min="5618" max="5861" width="9.140625" style="8"/>
    <col min="5862" max="5862" width="26" style="8" customWidth="1"/>
    <col min="5863" max="5863" width="21.140625" style="8" customWidth="1"/>
    <col min="5864" max="5864" width="11.140625" style="8" customWidth="1"/>
    <col min="5865" max="5865" width="11.28515625" style="8" customWidth="1"/>
    <col min="5866" max="5866" width="14.28515625" style="8" customWidth="1"/>
    <col min="5867" max="5867" width="16.28515625" style="8" customWidth="1"/>
    <col min="5868" max="5868" width="22.28515625" style="8" customWidth="1"/>
    <col min="5869" max="5869" width="17.42578125" style="8" customWidth="1"/>
    <col min="5870" max="5870" width="21.5703125" style="8" customWidth="1"/>
    <col min="5871" max="5871" width="14.28515625" style="8" customWidth="1"/>
    <col min="5872" max="5872" width="9.140625" style="8" customWidth="1"/>
    <col min="5873" max="5873" width="11.28515625" style="8" customWidth="1"/>
    <col min="5874" max="6117" width="9.140625" style="8"/>
    <col min="6118" max="6118" width="26" style="8" customWidth="1"/>
    <col min="6119" max="6119" width="21.140625" style="8" customWidth="1"/>
    <col min="6120" max="6120" width="11.140625" style="8" customWidth="1"/>
    <col min="6121" max="6121" width="11.28515625" style="8" customWidth="1"/>
    <col min="6122" max="6122" width="14.28515625" style="8" customWidth="1"/>
    <col min="6123" max="6123" width="16.28515625" style="8" customWidth="1"/>
    <col min="6124" max="6124" width="22.28515625" style="8" customWidth="1"/>
    <col min="6125" max="6125" width="17.42578125" style="8" customWidth="1"/>
    <col min="6126" max="6126" width="21.5703125" style="8" customWidth="1"/>
    <col min="6127" max="6127" width="14.28515625" style="8" customWidth="1"/>
    <col min="6128" max="6128" width="9.140625" style="8" customWidth="1"/>
    <col min="6129" max="6129" width="11.28515625" style="8" customWidth="1"/>
    <col min="6130" max="6373" width="9.140625" style="8"/>
    <col min="6374" max="6374" width="26" style="8" customWidth="1"/>
    <col min="6375" max="6375" width="21.140625" style="8" customWidth="1"/>
    <col min="6376" max="6376" width="11.140625" style="8" customWidth="1"/>
    <col min="6377" max="6377" width="11.28515625" style="8" customWidth="1"/>
    <col min="6378" max="6378" width="14.28515625" style="8" customWidth="1"/>
    <col min="6379" max="6379" width="16.28515625" style="8" customWidth="1"/>
    <col min="6380" max="6380" width="22.28515625" style="8" customWidth="1"/>
    <col min="6381" max="6381" width="17.42578125" style="8" customWidth="1"/>
    <col min="6382" max="6382" width="21.5703125" style="8" customWidth="1"/>
    <col min="6383" max="6383" width="14.28515625" style="8" customWidth="1"/>
    <col min="6384" max="6384" width="9.140625" style="8" customWidth="1"/>
    <col min="6385" max="6385" width="11.28515625" style="8" customWidth="1"/>
    <col min="6386" max="6629" width="9.140625" style="8"/>
    <col min="6630" max="6630" width="26" style="8" customWidth="1"/>
    <col min="6631" max="6631" width="21.140625" style="8" customWidth="1"/>
    <col min="6632" max="6632" width="11.140625" style="8" customWidth="1"/>
    <col min="6633" max="6633" width="11.28515625" style="8" customWidth="1"/>
    <col min="6634" max="6634" width="14.28515625" style="8" customWidth="1"/>
    <col min="6635" max="6635" width="16.28515625" style="8" customWidth="1"/>
    <col min="6636" max="6636" width="22.28515625" style="8" customWidth="1"/>
    <col min="6637" max="6637" width="17.42578125" style="8" customWidth="1"/>
    <col min="6638" max="6638" width="21.5703125" style="8" customWidth="1"/>
    <col min="6639" max="6639" width="14.28515625" style="8" customWidth="1"/>
    <col min="6640" max="6640" width="9.140625" style="8" customWidth="1"/>
    <col min="6641" max="6641" width="11.28515625" style="8" customWidth="1"/>
    <col min="6642" max="6885" width="9.140625" style="8"/>
    <col min="6886" max="6886" width="26" style="8" customWidth="1"/>
    <col min="6887" max="6887" width="21.140625" style="8" customWidth="1"/>
    <col min="6888" max="6888" width="11.140625" style="8" customWidth="1"/>
    <col min="6889" max="6889" width="11.28515625" style="8" customWidth="1"/>
    <col min="6890" max="6890" width="14.28515625" style="8" customWidth="1"/>
    <col min="6891" max="6891" width="16.28515625" style="8" customWidth="1"/>
    <col min="6892" max="6892" width="22.28515625" style="8" customWidth="1"/>
    <col min="6893" max="6893" width="17.42578125" style="8" customWidth="1"/>
    <col min="6894" max="6894" width="21.5703125" style="8" customWidth="1"/>
    <col min="6895" max="6895" width="14.28515625" style="8" customWidth="1"/>
    <col min="6896" max="6896" width="9.140625" style="8" customWidth="1"/>
    <col min="6897" max="6897" width="11.28515625" style="8" customWidth="1"/>
    <col min="6898" max="7141" width="9.140625" style="8"/>
    <col min="7142" max="7142" width="26" style="8" customWidth="1"/>
    <col min="7143" max="7143" width="21.140625" style="8" customWidth="1"/>
    <col min="7144" max="7144" width="11.140625" style="8" customWidth="1"/>
    <col min="7145" max="7145" width="11.28515625" style="8" customWidth="1"/>
    <col min="7146" max="7146" width="14.28515625" style="8" customWidth="1"/>
    <col min="7147" max="7147" width="16.28515625" style="8" customWidth="1"/>
    <col min="7148" max="7148" width="22.28515625" style="8" customWidth="1"/>
    <col min="7149" max="7149" width="17.42578125" style="8" customWidth="1"/>
    <col min="7150" max="7150" width="21.5703125" style="8" customWidth="1"/>
    <col min="7151" max="7151" width="14.28515625" style="8" customWidth="1"/>
    <col min="7152" max="7152" width="9.140625" style="8" customWidth="1"/>
    <col min="7153" max="7153" width="11.28515625" style="8" customWidth="1"/>
    <col min="7154" max="7397" width="9.140625" style="8"/>
    <col min="7398" max="7398" width="26" style="8" customWidth="1"/>
    <col min="7399" max="7399" width="21.140625" style="8" customWidth="1"/>
    <col min="7400" max="7400" width="11.140625" style="8" customWidth="1"/>
    <col min="7401" max="7401" width="11.28515625" style="8" customWidth="1"/>
    <col min="7402" max="7402" width="14.28515625" style="8" customWidth="1"/>
    <col min="7403" max="7403" width="16.28515625" style="8" customWidth="1"/>
    <col min="7404" max="7404" width="22.28515625" style="8" customWidth="1"/>
    <col min="7405" max="7405" width="17.42578125" style="8" customWidth="1"/>
    <col min="7406" max="7406" width="21.5703125" style="8" customWidth="1"/>
    <col min="7407" max="7407" width="14.28515625" style="8" customWidth="1"/>
    <col min="7408" max="7408" width="9.140625" style="8" customWidth="1"/>
    <col min="7409" max="7409" width="11.28515625" style="8" customWidth="1"/>
    <col min="7410" max="7653" width="9.140625" style="8"/>
    <col min="7654" max="7654" width="26" style="8" customWidth="1"/>
    <col min="7655" max="7655" width="21.140625" style="8" customWidth="1"/>
    <col min="7656" max="7656" width="11.140625" style="8" customWidth="1"/>
    <col min="7657" max="7657" width="11.28515625" style="8" customWidth="1"/>
    <col min="7658" max="7658" width="14.28515625" style="8" customWidth="1"/>
    <col min="7659" max="7659" width="16.28515625" style="8" customWidth="1"/>
    <col min="7660" max="7660" width="22.28515625" style="8" customWidth="1"/>
    <col min="7661" max="7661" width="17.42578125" style="8" customWidth="1"/>
    <col min="7662" max="7662" width="21.5703125" style="8" customWidth="1"/>
    <col min="7663" max="7663" width="14.28515625" style="8" customWidth="1"/>
    <col min="7664" max="7664" width="9.140625" style="8" customWidth="1"/>
    <col min="7665" max="7665" width="11.28515625" style="8" customWidth="1"/>
    <col min="7666" max="7909" width="9.140625" style="8"/>
    <col min="7910" max="7910" width="26" style="8" customWidth="1"/>
    <col min="7911" max="7911" width="21.140625" style="8" customWidth="1"/>
    <col min="7912" max="7912" width="11.140625" style="8" customWidth="1"/>
    <col min="7913" max="7913" width="11.28515625" style="8" customWidth="1"/>
    <col min="7914" max="7914" width="14.28515625" style="8" customWidth="1"/>
    <col min="7915" max="7915" width="16.28515625" style="8" customWidth="1"/>
    <col min="7916" max="7916" width="22.28515625" style="8" customWidth="1"/>
    <col min="7917" max="7917" width="17.42578125" style="8" customWidth="1"/>
    <col min="7918" max="7918" width="21.5703125" style="8" customWidth="1"/>
    <col min="7919" max="7919" width="14.28515625" style="8" customWidth="1"/>
    <col min="7920" max="7920" width="9.140625" style="8" customWidth="1"/>
    <col min="7921" max="7921" width="11.28515625" style="8" customWidth="1"/>
    <col min="7922" max="8165" width="9.140625" style="8"/>
    <col min="8166" max="8166" width="26" style="8" customWidth="1"/>
    <col min="8167" max="8167" width="21.140625" style="8" customWidth="1"/>
    <col min="8168" max="8168" width="11.140625" style="8" customWidth="1"/>
    <col min="8169" max="8169" width="11.28515625" style="8" customWidth="1"/>
    <col min="8170" max="8170" width="14.28515625" style="8" customWidth="1"/>
    <col min="8171" max="8171" width="16.28515625" style="8" customWidth="1"/>
    <col min="8172" max="8172" width="22.28515625" style="8" customWidth="1"/>
    <col min="8173" max="8173" width="17.42578125" style="8" customWidth="1"/>
    <col min="8174" max="8174" width="21.5703125" style="8" customWidth="1"/>
    <col min="8175" max="8175" width="14.28515625" style="8" customWidth="1"/>
    <col min="8176" max="8176" width="9.140625" style="8" customWidth="1"/>
    <col min="8177" max="8177" width="11.28515625" style="8" customWidth="1"/>
    <col min="8178" max="8421" width="9.140625" style="8"/>
    <col min="8422" max="8422" width="26" style="8" customWidth="1"/>
    <col min="8423" max="8423" width="21.140625" style="8" customWidth="1"/>
    <col min="8424" max="8424" width="11.140625" style="8" customWidth="1"/>
    <col min="8425" max="8425" width="11.28515625" style="8" customWidth="1"/>
    <col min="8426" max="8426" width="14.28515625" style="8" customWidth="1"/>
    <col min="8427" max="8427" width="16.28515625" style="8" customWidth="1"/>
    <col min="8428" max="8428" width="22.28515625" style="8" customWidth="1"/>
    <col min="8429" max="8429" width="17.42578125" style="8" customWidth="1"/>
    <col min="8430" max="8430" width="21.5703125" style="8" customWidth="1"/>
    <col min="8431" max="8431" width="14.28515625" style="8" customWidth="1"/>
    <col min="8432" max="8432" width="9.140625" style="8" customWidth="1"/>
    <col min="8433" max="8433" width="11.28515625" style="8" customWidth="1"/>
    <col min="8434" max="8677" width="9.140625" style="8"/>
    <col min="8678" max="8678" width="26" style="8" customWidth="1"/>
    <col min="8679" max="8679" width="21.140625" style="8" customWidth="1"/>
    <col min="8680" max="8680" width="11.140625" style="8" customWidth="1"/>
    <col min="8681" max="8681" width="11.28515625" style="8" customWidth="1"/>
    <col min="8682" max="8682" width="14.28515625" style="8" customWidth="1"/>
    <col min="8683" max="8683" width="16.28515625" style="8" customWidth="1"/>
    <col min="8684" max="8684" width="22.28515625" style="8" customWidth="1"/>
    <col min="8685" max="8685" width="17.42578125" style="8" customWidth="1"/>
    <col min="8686" max="8686" width="21.5703125" style="8" customWidth="1"/>
    <col min="8687" max="8687" width="14.28515625" style="8" customWidth="1"/>
    <col min="8688" max="8688" width="9.140625" style="8" customWidth="1"/>
    <col min="8689" max="8689" width="11.28515625" style="8" customWidth="1"/>
    <col min="8690" max="8933" width="9.140625" style="8"/>
    <col min="8934" max="8934" width="26" style="8" customWidth="1"/>
    <col min="8935" max="8935" width="21.140625" style="8" customWidth="1"/>
    <col min="8936" max="8936" width="11.140625" style="8" customWidth="1"/>
    <col min="8937" max="8937" width="11.28515625" style="8" customWidth="1"/>
    <col min="8938" max="8938" width="14.28515625" style="8" customWidth="1"/>
    <col min="8939" max="8939" width="16.28515625" style="8" customWidth="1"/>
    <col min="8940" max="8940" width="22.28515625" style="8" customWidth="1"/>
    <col min="8941" max="8941" width="17.42578125" style="8" customWidth="1"/>
    <col min="8942" max="8942" width="21.5703125" style="8" customWidth="1"/>
    <col min="8943" max="8943" width="14.28515625" style="8" customWidth="1"/>
    <col min="8944" max="8944" width="9.140625" style="8" customWidth="1"/>
    <col min="8945" max="8945" width="11.28515625" style="8" customWidth="1"/>
    <col min="8946" max="9189" width="9.140625" style="8"/>
    <col min="9190" max="9190" width="26" style="8" customWidth="1"/>
    <col min="9191" max="9191" width="21.140625" style="8" customWidth="1"/>
    <col min="9192" max="9192" width="11.140625" style="8" customWidth="1"/>
    <col min="9193" max="9193" width="11.28515625" style="8" customWidth="1"/>
    <col min="9194" max="9194" width="14.28515625" style="8" customWidth="1"/>
    <col min="9195" max="9195" width="16.28515625" style="8" customWidth="1"/>
    <col min="9196" max="9196" width="22.28515625" style="8" customWidth="1"/>
    <col min="9197" max="9197" width="17.42578125" style="8" customWidth="1"/>
    <col min="9198" max="9198" width="21.5703125" style="8" customWidth="1"/>
    <col min="9199" max="9199" width="14.28515625" style="8" customWidth="1"/>
    <col min="9200" max="9200" width="9.140625" style="8" customWidth="1"/>
    <col min="9201" max="9201" width="11.28515625" style="8" customWidth="1"/>
    <col min="9202" max="9445" width="9.140625" style="8"/>
    <col min="9446" max="9446" width="26" style="8" customWidth="1"/>
    <col min="9447" max="9447" width="21.140625" style="8" customWidth="1"/>
    <col min="9448" max="9448" width="11.140625" style="8" customWidth="1"/>
    <col min="9449" max="9449" width="11.28515625" style="8" customWidth="1"/>
    <col min="9450" max="9450" width="14.28515625" style="8" customWidth="1"/>
    <col min="9451" max="9451" width="16.28515625" style="8" customWidth="1"/>
    <col min="9452" max="9452" width="22.28515625" style="8" customWidth="1"/>
    <col min="9453" max="9453" width="17.42578125" style="8" customWidth="1"/>
    <col min="9454" max="9454" width="21.5703125" style="8" customWidth="1"/>
    <col min="9455" max="9455" width="14.28515625" style="8" customWidth="1"/>
    <col min="9456" max="9456" width="9.140625" style="8" customWidth="1"/>
    <col min="9457" max="9457" width="11.28515625" style="8" customWidth="1"/>
    <col min="9458" max="9701" width="9.140625" style="8"/>
    <col min="9702" max="9702" width="26" style="8" customWidth="1"/>
    <col min="9703" max="9703" width="21.140625" style="8" customWidth="1"/>
    <col min="9704" max="9704" width="11.140625" style="8" customWidth="1"/>
    <col min="9705" max="9705" width="11.28515625" style="8" customWidth="1"/>
    <col min="9706" max="9706" width="14.28515625" style="8" customWidth="1"/>
    <col min="9707" max="9707" width="16.28515625" style="8" customWidth="1"/>
    <col min="9708" max="9708" width="22.28515625" style="8" customWidth="1"/>
    <col min="9709" max="9709" width="17.42578125" style="8" customWidth="1"/>
    <col min="9710" max="9710" width="21.5703125" style="8" customWidth="1"/>
    <col min="9711" max="9711" width="14.28515625" style="8" customWidth="1"/>
    <col min="9712" max="9712" width="9.140625" style="8" customWidth="1"/>
    <col min="9713" max="9713" width="11.28515625" style="8" customWidth="1"/>
    <col min="9714" max="9957" width="9.140625" style="8"/>
    <col min="9958" max="9958" width="26" style="8" customWidth="1"/>
    <col min="9959" max="9959" width="21.140625" style="8" customWidth="1"/>
    <col min="9960" max="9960" width="11.140625" style="8" customWidth="1"/>
    <col min="9961" max="9961" width="11.28515625" style="8" customWidth="1"/>
    <col min="9962" max="9962" width="14.28515625" style="8" customWidth="1"/>
    <col min="9963" max="9963" width="16.28515625" style="8" customWidth="1"/>
    <col min="9964" max="9964" width="22.28515625" style="8" customWidth="1"/>
    <col min="9965" max="9965" width="17.42578125" style="8" customWidth="1"/>
    <col min="9966" max="9966" width="21.5703125" style="8" customWidth="1"/>
    <col min="9967" max="9967" width="14.28515625" style="8" customWidth="1"/>
    <col min="9968" max="9968" width="9.140625" style="8" customWidth="1"/>
    <col min="9969" max="9969" width="11.28515625" style="8" customWidth="1"/>
    <col min="9970" max="10213" width="9.140625" style="8"/>
    <col min="10214" max="10214" width="26" style="8" customWidth="1"/>
    <col min="10215" max="10215" width="21.140625" style="8" customWidth="1"/>
    <col min="10216" max="10216" width="11.140625" style="8" customWidth="1"/>
    <col min="10217" max="10217" width="11.28515625" style="8" customWidth="1"/>
    <col min="10218" max="10218" width="14.28515625" style="8" customWidth="1"/>
    <col min="10219" max="10219" width="16.28515625" style="8" customWidth="1"/>
    <col min="10220" max="10220" width="22.28515625" style="8" customWidth="1"/>
    <col min="10221" max="10221" width="17.42578125" style="8" customWidth="1"/>
    <col min="10222" max="10222" width="21.5703125" style="8" customWidth="1"/>
    <col min="10223" max="10223" width="14.28515625" style="8" customWidth="1"/>
    <col min="10224" max="10224" width="9.140625" style="8" customWidth="1"/>
    <col min="10225" max="10225" width="11.28515625" style="8" customWidth="1"/>
    <col min="10226" max="10469" width="9.140625" style="8"/>
    <col min="10470" max="10470" width="26" style="8" customWidth="1"/>
    <col min="10471" max="10471" width="21.140625" style="8" customWidth="1"/>
    <col min="10472" max="10472" width="11.140625" style="8" customWidth="1"/>
    <col min="10473" max="10473" width="11.28515625" style="8" customWidth="1"/>
    <col min="10474" max="10474" width="14.28515625" style="8" customWidth="1"/>
    <col min="10475" max="10475" width="16.28515625" style="8" customWidth="1"/>
    <col min="10476" max="10476" width="22.28515625" style="8" customWidth="1"/>
    <col min="10477" max="10477" width="17.42578125" style="8" customWidth="1"/>
    <col min="10478" max="10478" width="21.5703125" style="8" customWidth="1"/>
    <col min="10479" max="10479" width="14.28515625" style="8" customWidth="1"/>
    <col min="10480" max="10480" width="9.140625" style="8" customWidth="1"/>
    <col min="10481" max="10481" width="11.28515625" style="8" customWidth="1"/>
    <col min="10482" max="10725" width="9.140625" style="8"/>
    <col min="10726" max="10726" width="26" style="8" customWidth="1"/>
    <col min="10727" max="10727" width="21.140625" style="8" customWidth="1"/>
    <col min="10728" max="10728" width="11.140625" style="8" customWidth="1"/>
    <col min="10729" max="10729" width="11.28515625" style="8" customWidth="1"/>
    <col min="10730" max="10730" width="14.28515625" style="8" customWidth="1"/>
    <col min="10731" max="10731" width="16.28515625" style="8" customWidth="1"/>
    <col min="10732" max="10732" width="22.28515625" style="8" customWidth="1"/>
    <col min="10733" max="10733" width="17.42578125" style="8" customWidth="1"/>
    <col min="10734" max="10734" width="21.5703125" style="8" customWidth="1"/>
    <col min="10735" max="10735" width="14.28515625" style="8" customWidth="1"/>
    <col min="10736" max="10736" width="9.140625" style="8" customWidth="1"/>
    <col min="10737" max="10737" width="11.28515625" style="8" customWidth="1"/>
    <col min="10738" max="10981" width="9.140625" style="8"/>
    <col min="10982" max="10982" width="26" style="8" customWidth="1"/>
    <col min="10983" max="10983" width="21.140625" style="8" customWidth="1"/>
    <col min="10984" max="10984" width="11.140625" style="8" customWidth="1"/>
    <col min="10985" max="10985" width="11.28515625" style="8" customWidth="1"/>
    <col min="10986" max="10986" width="14.28515625" style="8" customWidth="1"/>
    <col min="10987" max="10987" width="16.28515625" style="8" customWidth="1"/>
    <col min="10988" max="10988" width="22.28515625" style="8" customWidth="1"/>
    <col min="10989" max="10989" width="17.42578125" style="8" customWidth="1"/>
    <col min="10990" max="10990" width="21.5703125" style="8" customWidth="1"/>
    <col min="10991" max="10991" width="14.28515625" style="8" customWidth="1"/>
    <col min="10992" max="10992" width="9.140625" style="8" customWidth="1"/>
    <col min="10993" max="10993" width="11.28515625" style="8" customWidth="1"/>
    <col min="10994" max="11237" width="9.140625" style="8"/>
    <col min="11238" max="11238" width="26" style="8" customWidth="1"/>
    <col min="11239" max="11239" width="21.140625" style="8" customWidth="1"/>
    <col min="11240" max="11240" width="11.140625" style="8" customWidth="1"/>
    <col min="11241" max="11241" width="11.28515625" style="8" customWidth="1"/>
    <col min="11242" max="11242" width="14.28515625" style="8" customWidth="1"/>
    <col min="11243" max="11243" width="16.28515625" style="8" customWidth="1"/>
    <col min="11244" max="11244" width="22.28515625" style="8" customWidth="1"/>
    <col min="11245" max="11245" width="17.42578125" style="8" customWidth="1"/>
    <col min="11246" max="11246" width="21.5703125" style="8" customWidth="1"/>
    <col min="11247" max="11247" width="14.28515625" style="8" customWidth="1"/>
    <col min="11248" max="11248" width="9.140625" style="8" customWidth="1"/>
    <col min="11249" max="11249" width="11.28515625" style="8" customWidth="1"/>
    <col min="11250" max="11493" width="9.140625" style="8"/>
    <col min="11494" max="11494" width="26" style="8" customWidth="1"/>
    <col min="11495" max="11495" width="21.140625" style="8" customWidth="1"/>
    <col min="11496" max="11496" width="11.140625" style="8" customWidth="1"/>
    <col min="11497" max="11497" width="11.28515625" style="8" customWidth="1"/>
    <col min="11498" max="11498" width="14.28515625" style="8" customWidth="1"/>
    <col min="11499" max="11499" width="16.28515625" style="8" customWidth="1"/>
    <col min="11500" max="11500" width="22.28515625" style="8" customWidth="1"/>
    <col min="11501" max="11501" width="17.42578125" style="8" customWidth="1"/>
    <col min="11502" max="11502" width="21.5703125" style="8" customWidth="1"/>
    <col min="11503" max="11503" width="14.28515625" style="8" customWidth="1"/>
    <col min="11504" max="11504" width="9.140625" style="8" customWidth="1"/>
    <col min="11505" max="11505" width="11.28515625" style="8" customWidth="1"/>
    <col min="11506" max="11749" width="9.140625" style="8"/>
    <col min="11750" max="11750" width="26" style="8" customWidth="1"/>
    <col min="11751" max="11751" width="21.140625" style="8" customWidth="1"/>
    <col min="11752" max="11752" width="11.140625" style="8" customWidth="1"/>
    <col min="11753" max="11753" width="11.28515625" style="8" customWidth="1"/>
    <col min="11754" max="11754" width="14.28515625" style="8" customWidth="1"/>
    <col min="11755" max="11755" width="16.28515625" style="8" customWidth="1"/>
    <col min="11756" max="11756" width="22.28515625" style="8" customWidth="1"/>
    <col min="11757" max="11757" width="17.42578125" style="8" customWidth="1"/>
    <col min="11758" max="11758" width="21.5703125" style="8" customWidth="1"/>
    <col min="11759" max="11759" width="14.28515625" style="8" customWidth="1"/>
    <col min="11760" max="11760" width="9.140625" style="8" customWidth="1"/>
    <col min="11761" max="11761" width="11.28515625" style="8" customWidth="1"/>
    <col min="11762" max="12005" width="9.140625" style="8"/>
    <col min="12006" max="12006" width="26" style="8" customWidth="1"/>
    <col min="12007" max="12007" width="21.140625" style="8" customWidth="1"/>
    <col min="12008" max="12008" width="11.140625" style="8" customWidth="1"/>
    <col min="12009" max="12009" width="11.28515625" style="8" customWidth="1"/>
    <col min="12010" max="12010" width="14.28515625" style="8" customWidth="1"/>
    <col min="12011" max="12011" width="16.28515625" style="8" customWidth="1"/>
    <col min="12012" max="12012" width="22.28515625" style="8" customWidth="1"/>
    <col min="12013" max="12013" width="17.42578125" style="8" customWidth="1"/>
    <col min="12014" max="12014" width="21.5703125" style="8" customWidth="1"/>
    <col min="12015" max="12015" width="14.28515625" style="8" customWidth="1"/>
    <col min="12016" max="12016" width="9.140625" style="8" customWidth="1"/>
    <col min="12017" max="12017" width="11.28515625" style="8" customWidth="1"/>
    <col min="12018" max="12261" width="9.140625" style="8"/>
    <col min="12262" max="12262" width="26" style="8" customWidth="1"/>
    <col min="12263" max="12263" width="21.140625" style="8" customWidth="1"/>
    <col min="12264" max="12264" width="11.140625" style="8" customWidth="1"/>
    <col min="12265" max="12265" width="11.28515625" style="8" customWidth="1"/>
    <col min="12266" max="12266" width="14.28515625" style="8" customWidth="1"/>
    <col min="12267" max="12267" width="16.28515625" style="8" customWidth="1"/>
    <col min="12268" max="12268" width="22.28515625" style="8" customWidth="1"/>
    <col min="12269" max="12269" width="17.42578125" style="8" customWidth="1"/>
    <col min="12270" max="12270" width="21.5703125" style="8" customWidth="1"/>
    <col min="12271" max="12271" width="14.28515625" style="8" customWidth="1"/>
    <col min="12272" max="12272" width="9.140625" style="8" customWidth="1"/>
    <col min="12273" max="12273" width="11.28515625" style="8" customWidth="1"/>
    <col min="12274" max="12517" width="9.140625" style="8"/>
    <col min="12518" max="12518" width="26" style="8" customWidth="1"/>
    <col min="12519" max="12519" width="21.140625" style="8" customWidth="1"/>
    <col min="12520" max="12520" width="11.140625" style="8" customWidth="1"/>
    <col min="12521" max="12521" width="11.28515625" style="8" customWidth="1"/>
    <col min="12522" max="12522" width="14.28515625" style="8" customWidth="1"/>
    <col min="12523" max="12523" width="16.28515625" style="8" customWidth="1"/>
    <col min="12524" max="12524" width="22.28515625" style="8" customWidth="1"/>
    <col min="12525" max="12525" width="17.42578125" style="8" customWidth="1"/>
    <col min="12526" max="12526" width="21.5703125" style="8" customWidth="1"/>
    <col min="12527" max="12527" width="14.28515625" style="8" customWidth="1"/>
    <col min="12528" max="12528" width="9.140625" style="8" customWidth="1"/>
    <col min="12529" max="12529" width="11.28515625" style="8" customWidth="1"/>
    <col min="12530" max="12773" width="9.140625" style="8"/>
    <col min="12774" max="12774" width="26" style="8" customWidth="1"/>
    <col min="12775" max="12775" width="21.140625" style="8" customWidth="1"/>
    <col min="12776" max="12776" width="11.140625" style="8" customWidth="1"/>
    <col min="12777" max="12777" width="11.28515625" style="8" customWidth="1"/>
    <col min="12778" max="12778" width="14.28515625" style="8" customWidth="1"/>
    <col min="12779" max="12779" width="16.28515625" style="8" customWidth="1"/>
    <col min="12780" max="12780" width="22.28515625" style="8" customWidth="1"/>
    <col min="12781" max="12781" width="17.42578125" style="8" customWidth="1"/>
    <col min="12782" max="12782" width="21.5703125" style="8" customWidth="1"/>
    <col min="12783" max="12783" width="14.28515625" style="8" customWidth="1"/>
    <col min="12784" max="12784" width="9.140625" style="8" customWidth="1"/>
    <col min="12785" max="12785" width="11.28515625" style="8" customWidth="1"/>
    <col min="12786" max="13029" width="9.140625" style="8"/>
    <col min="13030" max="13030" width="26" style="8" customWidth="1"/>
    <col min="13031" max="13031" width="21.140625" style="8" customWidth="1"/>
    <col min="13032" max="13032" width="11.140625" style="8" customWidth="1"/>
    <col min="13033" max="13033" width="11.28515625" style="8" customWidth="1"/>
    <col min="13034" max="13034" width="14.28515625" style="8" customWidth="1"/>
    <col min="13035" max="13035" width="16.28515625" style="8" customWidth="1"/>
    <col min="13036" max="13036" width="22.28515625" style="8" customWidth="1"/>
    <col min="13037" max="13037" width="17.42578125" style="8" customWidth="1"/>
    <col min="13038" max="13038" width="21.5703125" style="8" customWidth="1"/>
    <col min="13039" max="13039" width="14.28515625" style="8" customWidth="1"/>
    <col min="13040" max="13040" width="9.140625" style="8" customWidth="1"/>
    <col min="13041" max="13041" width="11.28515625" style="8" customWidth="1"/>
    <col min="13042" max="13285" width="9.140625" style="8"/>
    <col min="13286" max="13286" width="26" style="8" customWidth="1"/>
    <col min="13287" max="13287" width="21.140625" style="8" customWidth="1"/>
    <col min="13288" max="13288" width="11.140625" style="8" customWidth="1"/>
    <col min="13289" max="13289" width="11.28515625" style="8" customWidth="1"/>
    <col min="13290" max="13290" width="14.28515625" style="8" customWidth="1"/>
    <col min="13291" max="13291" width="16.28515625" style="8" customWidth="1"/>
    <col min="13292" max="13292" width="22.28515625" style="8" customWidth="1"/>
    <col min="13293" max="13293" width="17.42578125" style="8" customWidth="1"/>
    <col min="13294" max="13294" width="21.5703125" style="8" customWidth="1"/>
    <col min="13295" max="13295" width="14.28515625" style="8" customWidth="1"/>
    <col min="13296" max="13296" width="9.140625" style="8" customWidth="1"/>
    <col min="13297" max="13297" width="11.28515625" style="8" customWidth="1"/>
    <col min="13298" max="13541" width="9.140625" style="8"/>
    <col min="13542" max="13542" width="26" style="8" customWidth="1"/>
    <col min="13543" max="13543" width="21.140625" style="8" customWidth="1"/>
    <col min="13544" max="13544" width="11.140625" style="8" customWidth="1"/>
    <col min="13545" max="13545" width="11.28515625" style="8" customWidth="1"/>
    <col min="13546" max="13546" width="14.28515625" style="8" customWidth="1"/>
    <col min="13547" max="13547" width="16.28515625" style="8" customWidth="1"/>
    <col min="13548" max="13548" width="22.28515625" style="8" customWidth="1"/>
    <col min="13549" max="13549" width="17.42578125" style="8" customWidth="1"/>
    <col min="13550" max="13550" width="21.5703125" style="8" customWidth="1"/>
    <col min="13551" max="13551" width="14.28515625" style="8" customWidth="1"/>
    <col min="13552" max="13552" width="9.140625" style="8" customWidth="1"/>
    <col min="13553" max="13553" width="11.28515625" style="8" customWidth="1"/>
    <col min="13554" max="13797" width="9.140625" style="8"/>
    <col min="13798" max="13798" width="26" style="8" customWidth="1"/>
    <col min="13799" max="13799" width="21.140625" style="8" customWidth="1"/>
    <col min="13800" max="13800" width="11.140625" style="8" customWidth="1"/>
    <col min="13801" max="13801" width="11.28515625" style="8" customWidth="1"/>
    <col min="13802" max="13802" width="14.28515625" style="8" customWidth="1"/>
    <col min="13803" max="13803" width="16.28515625" style="8" customWidth="1"/>
    <col min="13804" max="13804" width="22.28515625" style="8" customWidth="1"/>
    <col min="13805" max="13805" width="17.42578125" style="8" customWidth="1"/>
    <col min="13806" max="13806" width="21.5703125" style="8" customWidth="1"/>
    <col min="13807" max="13807" width="14.28515625" style="8" customWidth="1"/>
    <col min="13808" max="13808" width="9.140625" style="8" customWidth="1"/>
    <col min="13809" max="13809" width="11.28515625" style="8" customWidth="1"/>
    <col min="13810" max="14053" width="9.140625" style="8"/>
    <col min="14054" max="14054" width="26" style="8" customWidth="1"/>
    <col min="14055" max="14055" width="21.140625" style="8" customWidth="1"/>
    <col min="14056" max="14056" width="11.140625" style="8" customWidth="1"/>
    <col min="14057" max="14057" width="11.28515625" style="8" customWidth="1"/>
    <col min="14058" max="14058" width="14.28515625" style="8" customWidth="1"/>
    <col min="14059" max="14059" width="16.28515625" style="8" customWidth="1"/>
    <col min="14060" max="14060" width="22.28515625" style="8" customWidth="1"/>
    <col min="14061" max="14061" width="17.42578125" style="8" customWidth="1"/>
    <col min="14062" max="14062" width="21.5703125" style="8" customWidth="1"/>
    <col min="14063" max="14063" width="14.28515625" style="8" customWidth="1"/>
    <col min="14064" max="14064" width="9.140625" style="8" customWidth="1"/>
    <col min="14065" max="14065" width="11.28515625" style="8" customWidth="1"/>
    <col min="14066" max="14309" width="9.140625" style="8"/>
    <col min="14310" max="14310" width="26" style="8" customWidth="1"/>
    <col min="14311" max="14311" width="21.140625" style="8" customWidth="1"/>
    <col min="14312" max="14312" width="11.140625" style="8" customWidth="1"/>
    <col min="14313" max="14313" width="11.28515625" style="8" customWidth="1"/>
    <col min="14314" max="14314" width="14.28515625" style="8" customWidth="1"/>
    <col min="14315" max="14315" width="16.28515625" style="8" customWidth="1"/>
    <col min="14316" max="14316" width="22.28515625" style="8" customWidth="1"/>
    <col min="14317" max="14317" width="17.42578125" style="8" customWidth="1"/>
    <col min="14318" max="14318" width="21.5703125" style="8" customWidth="1"/>
    <col min="14319" max="14319" width="14.28515625" style="8" customWidth="1"/>
    <col min="14320" max="14320" width="9.140625" style="8" customWidth="1"/>
    <col min="14321" max="14321" width="11.28515625" style="8" customWidth="1"/>
    <col min="14322" max="14565" width="9.140625" style="8"/>
    <col min="14566" max="14566" width="26" style="8" customWidth="1"/>
    <col min="14567" max="14567" width="21.140625" style="8" customWidth="1"/>
    <col min="14568" max="14568" width="11.140625" style="8" customWidth="1"/>
    <col min="14569" max="14569" width="11.28515625" style="8" customWidth="1"/>
    <col min="14570" max="14570" width="14.28515625" style="8" customWidth="1"/>
    <col min="14571" max="14571" width="16.28515625" style="8" customWidth="1"/>
    <col min="14572" max="14572" width="22.28515625" style="8" customWidth="1"/>
    <col min="14573" max="14573" width="17.42578125" style="8" customWidth="1"/>
    <col min="14574" max="14574" width="21.5703125" style="8" customWidth="1"/>
    <col min="14575" max="14575" width="14.28515625" style="8" customWidth="1"/>
    <col min="14576" max="14576" width="9.140625" style="8" customWidth="1"/>
    <col min="14577" max="14577" width="11.28515625" style="8" customWidth="1"/>
    <col min="14578" max="14821" width="9.140625" style="8"/>
    <col min="14822" max="14822" width="26" style="8" customWidth="1"/>
    <col min="14823" max="14823" width="21.140625" style="8" customWidth="1"/>
    <col min="14824" max="14824" width="11.140625" style="8" customWidth="1"/>
    <col min="14825" max="14825" width="11.28515625" style="8" customWidth="1"/>
    <col min="14826" max="14826" width="14.28515625" style="8" customWidth="1"/>
    <col min="14827" max="14827" width="16.28515625" style="8" customWidth="1"/>
    <col min="14828" max="14828" width="22.28515625" style="8" customWidth="1"/>
    <col min="14829" max="14829" width="17.42578125" style="8" customWidth="1"/>
    <col min="14830" max="14830" width="21.5703125" style="8" customWidth="1"/>
    <col min="14831" max="14831" width="14.28515625" style="8" customWidth="1"/>
    <col min="14832" max="14832" width="9.140625" style="8" customWidth="1"/>
    <col min="14833" max="14833" width="11.28515625" style="8" customWidth="1"/>
    <col min="14834" max="15077" width="9.140625" style="8"/>
    <col min="15078" max="15078" width="26" style="8" customWidth="1"/>
    <col min="15079" max="15079" width="21.140625" style="8" customWidth="1"/>
    <col min="15080" max="15080" width="11.140625" style="8" customWidth="1"/>
    <col min="15081" max="15081" width="11.28515625" style="8" customWidth="1"/>
    <col min="15082" max="15082" width="14.28515625" style="8" customWidth="1"/>
    <col min="15083" max="15083" width="16.28515625" style="8" customWidth="1"/>
    <col min="15084" max="15084" width="22.28515625" style="8" customWidth="1"/>
    <col min="15085" max="15085" width="17.42578125" style="8" customWidth="1"/>
    <col min="15086" max="15086" width="21.5703125" style="8" customWidth="1"/>
    <col min="15087" max="15087" width="14.28515625" style="8" customWidth="1"/>
    <col min="15088" max="15088" width="9.140625" style="8" customWidth="1"/>
    <col min="15089" max="15089" width="11.28515625" style="8" customWidth="1"/>
    <col min="15090" max="15333" width="9.140625" style="8"/>
    <col min="15334" max="15334" width="26" style="8" customWidth="1"/>
    <col min="15335" max="15335" width="21.140625" style="8" customWidth="1"/>
    <col min="15336" max="15336" width="11.140625" style="8" customWidth="1"/>
    <col min="15337" max="15337" width="11.28515625" style="8" customWidth="1"/>
    <col min="15338" max="15338" width="14.28515625" style="8" customWidth="1"/>
    <col min="15339" max="15339" width="16.28515625" style="8" customWidth="1"/>
    <col min="15340" max="15340" width="22.28515625" style="8" customWidth="1"/>
    <col min="15341" max="15341" width="17.42578125" style="8" customWidth="1"/>
    <col min="15342" max="15342" width="21.5703125" style="8" customWidth="1"/>
    <col min="15343" max="15343" width="14.28515625" style="8" customWidth="1"/>
    <col min="15344" max="15344" width="9.140625" style="8" customWidth="1"/>
    <col min="15345" max="15345" width="11.28515625" style="8" customWidth="1"/>
    <col min="15346" max="15589" width="9.140625" style="8"/>
    <col min="15590" max="15590" width="26" style="8" customWidth="1"/>
    <col min="15591" max="15591" width="21.140625" style="8" customWidth="1"/>
    <col min="15592" max="15592" width="11.140625" style="8" customWidth="1"/>
    <col min="15593" max="15593" width="11.28515625" style="8" customWidth="1"/>
    <col min="15594" max="15594" width="14.28515625" style="8" customWidth="1"/>
    <col min="15595" max="15595" width="16.28515625" style="8" customWidth="1"/>
    <col min="15596" max="15596" width="22.28515625" style="8" customWidth="1"/>
    <col min="15597" max="15597" width="17.42578125" style="8" customWidth="1"/>
    <col min="15598" max="15598" width="21.5703125" style="8" customWidth="1"/>
    <col min="15599" max="15599" width="14.28515625" style="8" customWidth="1"/>
    <col min="15600" max="15600" width="9.140625" style="8" customWidth="1"/>
    <col min="15601" max="15601" width="11.28515625" style="8" customWidth="1"/>
    <col min="15602" max="15845" width="9.140625" style="8"/>
    <col min="15846" max="15846" width="26" style="8" customWidth="1"/>
    <col min="15847" max="15847" width="21.140625" style="8" customWidth="1"/>
    <col min="15848" max="15848" width="11.140625" style="8" customWidth="1"/>
    <col min="15849" max="15849" width="11.28515625" style="8" customWidth="1"/>
    <col min="15850" max="15850" width="14.28515625" style="8" customWidth="1"/>
    <col min="15851" max="15851" width="16.28515625" style="8" customWidth="1"/>
    <col min="15852" max="15852" width="22.28515625" style="8" customWidth="1"/>
    <col min="15853" max="15853" width="17.42578125" style="8" customWidth="1"/>
    <col min="15854" max="15854" width="21.5703125" style="8" customWidth="1"/>
    <col min="15855" max="15855" width="14.28515625" style="8" customWidth="1"/>
    <col min="15856" max="15856" width="9.140625" style="8" customWidth="1"/>
    <col min="15857" max="15857" width="11.28515625" style="8" customWidth="1"/>
    <col min="15858" max="16101" width="9.140625" style="8"/>
    <col min="16102" max="16102" width="26" style="8" customWidth="1"/>
    <col min="16103" max="16103" width="21.140625" style="8" customWidth="1"/>
    <col min="16104" max="16104" width="11.140625" style="8" customWidth="1"/>
    <col min="16105" max="16105" width="11.28515625" style="8" customWidth="1"/>
    <col min="16106" max="16106" width="14.28515625" style="8" customWidth="1"/>
    <col min="16107" max="16107" width="16.28515625" style="8" customWidth="1"/>
    <col min="16108" max="16108" width="22.28515625" style="8" customWidth="1"/>
    <col min="16109" max="16109" width="17.42578125" style="8" customWidth="1"/>
    <col min="16110" max="16110" width="21.5703125" style="8" customWidth="1"/>
    <col min="16111" max="16111" width="14.28515625" style="8" customWidth="1"/>
    <col min="16112" max="16112" width="9.140625" style="8" customWidth="1"/>
    <col min="16113" max="16113" width="11.28515625" style="8" customWidth="1"/>
    <col min="16114" max="16384" width="9.140625" style="8"/>
  </cols>
  <sheetData>
    <row r="1" spans="1:17" ht="15" customHeight="1" x14ac:dyDescent="0.25">
      <c r="A1" s="730" t="s">
        <v>3</v>
      </c>
      <c r="B1" s="732" t="s">
        <v>4</v>
      </c>
      <c r="C1" s="733" t="s">
        <v>344</v>
      </c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4"/>
    </row>
    <row r="2" spans="1:17" ht="15" customHeight="1" x14ac:dyDescent="0.25">
      <c r="A2" s="731"/>
      <c r="B2" s="724"/>
      <c r="C2" s="724" t="s">
        <v>345</v>
      </c>
      <c r="D2" s="724"/>
      <c r="E2" s="724" t="s">
        <v>346</v>
      </c>
      <c r="F2" s="724"/>
      <c r="G2" s="724" t="s">
        <v>347</v>
      </c>
      <c r="H2" s="724"/>
      <c r="I2" s="724" t="s">
        <v>348</v>
      </c>
      <c r="J2" s="724"/>
      <c r="K2" s="724" t="s">
        <v>349</v>
      </c>
      <c r="L2" s="724"/>
      <c r="M2" s="724" t="s">
        <v>350</v>
      </c>
      <c r="N2" s="724"/>
      <c r="O2" s="728" t="s">
        <v>246</v>
      </c>
      <c r="P2" s="728"/>
      <c r="Q2" s="729"/>
    </row>
    <row r="3" spans="1:17" x14ac:dyDescent="0.25">
      <c r="A3" s="731"/>
      <c r="B3" s="724"/>
      <c r="C3" s="361" t="s">
        <v>351</v>
      </c>
      <c r="D3" s="361" t="s">
        <v>352</v>
      </c>
      <c r="E3" s="361" t="s">
        <v>351</v>
      </c>
      <c r="F3" s="361" t="s">
        <v>352</v>
      </c>
      <c r="G3" s="407" t="s">
        <v>351</v>
      </c>
      <c r="H3" s="407" t="s">
        <v>352</v>
      </c>
      <c r="I3" s="407" t="s">
        <v>351</v>
      </c>
      <c r="J3" s="407" t="s">
        <v>352</v>
      </c>
      <c r="K3" s="407" t="s">
        <v>351</v>
      </c>
      <c r="L3" s="407" t="s">
        <v>352</v>
      </c>
      <c r="M3" s="407" t="s">
        <v>351</v>
      </c>
      <c r="N3" s="407" t="s">
        <v>352</v>
      </c>
      <c r="O3" s="728"/>
      <c r="P3" s="728"/>
      <c r="Q3" s="729"/>
    </row>
    <row r="4" spans="1:17" x14ac:dyDescent="0.25">
      <c r="A4" s="23">
        <v>1</v>
      </c>
      <c r="B4" s="26" t="s">
        <v>139</v>
      </c>
      <c r="C4" s="362">
        <v>2</v>
      </c>
      <c r="D4" s="362">
        <v>2</v>
      </c>
      <c r="E4" s="362">
        <v>21</v>
      </c>
      <c r="F4" s="362">
        <v>16</v>
      </c>
      <c r="G4" s="363">
        <v>14</v>
      </c>
      <c r="H4" s="363">
        <v>12</v>
      </c>
      <c r="I4" s="363">
        <v>23</v>
      </c>
      <c r="J4" s="363">
        <v>16</v>
      </c>
      <c r="K4" s="363">
        <v>22</v>
      </c>
      <c r="L4" s="363">
        <v>14</v>
      </c>
      <c r="M4" s="363">
        <v>3</v>
      </c>
      <c r="N4" s="363">
        <v>3</v>
      </c>
      <c r="O4" s="364">
        <f>C4+E4+G4+I4+K4+M4</f>
        <v>85</v>
      </c>
      <c r="P4" s="364">
        <f>D4+F4+H4+J4+L4+N4</f>
        <v>63</v>
      </c>
      <c r="Q4" s="484">
        <f>P4/O4</f>
        <v>0.74117647058823533</v>
      </c>
    </row>
    <row r="5" spans="1:17" ht="20.45" customHeight="1" x14ac:dyDescent="0.25">
      <c r="A5" s="23">
        <v>2</v>
      </c>
      <c r="B5" s="26" t="s">
        <v>140</v>
      </c>
      <c r="C5" s="362">
        <v>2</v>
      </c>
      <c r="D5" s="362">
        <v>2</v>
      </c>
      <c r="E5" s="362">
        <v>21</v>
      </c>
      <c r="F5" s="362">
        <v>17</v>
      </c>
      <c r="G5" s="363">
        <v>13</v>
      </c>
      <c r="H5" s="363">
        <v>11</v>
      </c>
      <c r="I5" s="363">
        <v>23</v>
      </c>
      <c r="J5" s="363">
        <v>19</v>
      </c>
      <c r="K5" s="363">
        <v>22</v>
      </c>
      <c r="L5" s="363">
        <v>18</v>
      </c>
      <c r="M5" s="363">
        <v>3</v>
      </c>
      <c r="N5" s="363">
        <v>2</v>
      </c>
      <c r="O5" s="364">
        <f t="shared" ref="O5:P46" si="0">C5+E5+G5+I5+K5+M5</f>
        <v>84</v>
      </c>
      <c r="P5" s="364">
        <f t="shared" si="0"/>
        <v>69</v>
      </c>
      <c r="Q5" s="484">
        <f t="shared" ref="Q5:Q46" si="1">P5/O5</f>
        <v>0.8214285714285714</v>
      </c>
    </row>
    <row r="6" spans="1:17" x14ac:dyDescent="0.25">
      <c r="A6" s="23">
        <v>3</v>
      </c>
      <c r="B6" s="26" t="s">
        <v>141</v>
      </c>
      <c r="C6" s="362">
        <v>2</v>
      </c>
      <c r="D6" s="362">
        <v>2</v>
      </c>
      <c r="E6" s="362">
        <v>21</v>
      </c>
      <c r="F6" s="362">
        <v>18</v>
      </c>
      <c r="G6" s="363">
        <v>13</v>
      </c>
      <c r="H6" s="363">
        <v>7</v>
      </c>
      <c r="I6" s="363">
        <v>23</v>
      </c>
      <c r="J6" s="363">
        <v>16</v>
      </c>
      <c r="K6" s="363">
        <v>22</v>
      </c>
      <c r="L6" s="363">
        <v>21</v>
      </c>
      <c r="M6" s="363">
        <v>3</v>
      </c>
      <c r="N6" s="363">
        <v>3</v>
      </c>
      <c r="O6" s="364">
        <f t="shared" si="0"/>
        <v>84</v>
      </c>
      <c r="P6" s="364">
        <f t="shared" si="0"/>
        <v>67</v>
      </c>
      <c r="Q6" s="484">
        <f t="shared" si="1"/>
        <v>0.79761904761904767</v>
      </c>
    </row>
    <row r="7" spans="1:17" x14ac:dyDescent="0.25">
      <c r="A7" s="23">
        <v>4</v>
      </c>
      <c r="B7" s="26" t="s">
        <v>142</v>
      </c>
      <c r="C7" s="362">
        <v>2</v>
      </c>
      <c r="D7" s="362">
        <v>2</v>
      </c>
      <c r="E7" s="362">
        <v>21</v>
      </c>
      <c r="F7" s="362">
        <v>18</v>
      </c>
      <c r="G7" s="363">
        <v>13</v>
      </c>
      <c r="H7" s="363">
        <v>9</v>
      </c>
      <c r="I7" s="363">
        <v>22</v>
      </c>
      <c r="J7" s="363">
        <v>18</v>
      </c>
      <c r="K7" s="363">
        <v>22</v>
      </c>
      <c r="L7" s="363">
        <v>18</v>
      </c>
      <c r="M7" s="363">
        <v>3</v>
      </c>
      <c r="N7" s="363">
        <v>3</v>
      </c>
      <c r="O7" s="364">
        <f t="shared" si="0"/>
        <v>83</v>
      </c>
      <c r="P7" s="364">
        <f t="shared" si="0"/>
        <v>68</v>
      </c>
      <c r="Q7" s="484">
        <f t="shared" si="1"/>
        <v>0.81927710843373491</v>
      </c>
    </row>
    <row r="8" spans="1:17" x14ac:dyDescent="0.25">
      <c r="A8" s="23">
        <v>5</v>
      </c>
      <c r="B8" s="26" t="s">
        <v>143</v>
      </c>
      <c r="C8" s="362">
        <v>2</v>
      </c>
      <c r="D8" s="362">
        <v>2</v>
      </c>
      <c r="E8" s="362">
        <v>21</v>
      </c>
      <c r="F8" s="362">
        <v>18</v>
      </c>
      <c r="G8" s="363">
        <v>13</v>
      </c>
      <c r="H8" s="363">
        <v>9</v>
      </c>
      <c r="I8" s="363">
        <v>23</v>
      </c>
      <c r="J8" s="363">
        <v>18</v>
      </c>
      <c r="K8" s="363">
        <v>22</v>
      </c>
      <c r="L8" s="363">
        <v>16</v>
      </c>
      <c r="M8" s="363">
        <v>3</v>
      </c>
      <c r="N8" s="363">
        <v>2</v>
      </c>
      <c r="O8" s="364">
        <f t="shared" si="0"/>
        <v>84</v>
      </c>
      <c r="P8" s="364">
        <f t="shared" si="0"/>
        <v>65</v>
      </c>
      <c r="Q8" s="484">
        <f t="shared" si="1"/>
        <v>0.77380952380952384</v>
      </c>
    </row>
    <row r="9" spans="1:17" ht="25.5" x14ac:dyDescent="0.25">
      <c r="A9" s="23">
        <v>6</v>
      </c>
      <c r="B9" s="26" t="s">
        <v>177</v>
      </c>
      <c r="C9" s="362">
        <v>2</v>
      </c>
      <c r="D9" s="362">
        <v>2</v>
      </c>
      <c r="E9" s="362">
        <v>21</v>
      </c>
      <c r="F9" s="362">
        <v>18</v>
      </c>
      <c r="G9" s="363">
        <v>13</v>
      </c>
      <c r="H9" s="363">
        <v>9</v>
      </c>
      <c r="I9" s="363">
        <v>23</v>
      </c>
      <c r="J9" s="363">
        <v>17</v>
      </c>
      <c r="K9" s="363">
        <v>22</v>
      </c>
      <c r="L9" s="363">
        <v>17</v>
      </c>
      <c r="M9" s="363">
        <v>3</v>
      </c>
      <c r="N9" s="363">
        <v>3</v>
      </c>
      <c r="O9" s="364">
        <f t="shared" si="0"/>
        <v>84</v>
      </c>
      <c r="P9" s="364">
        <f t="shared" si="0"/>
        <v>66</v>
      </c>
      <c r="Q9" s="484">
        <f t="shared" si="1"/>
        <v>0.7857142857142857</v>
      </c>
    </row>
    <row r="10" spans="1:17" x14ac:dyDescent="0.25">
      <c r="A10" s="23">
        <v>7</v>
      </c>
      <c r="B10" s="27" t="s">
        <v>144</v>
      </c>
      <c r="C10" s="362">
        <v>2</v>
      </c>
      <c r="D10" s="362">
        <v>2</v>
      </c>
      <c r="E10" s="362">
        <v>20</v>
      </c>
      <c r="F10" s="362">
        <v>12</v>
      </c>
      <c r="G10" s="363">
        <v>14</v>
      </c>
      <c r="H10" s="363">
        <v>9</v>
      </c>
      <c r="I10" s="363">
        <v>22</v>
      </c>
      <c r="J10" s="363">
        <v>15</v>
      </c>
      <c r="K10" s="363">
        <v>21</v>
      </c>
      <c r="L10" s="363">
        <v>17</v>
      </c>
      <c r="M10" s="363">
        <v>3</v>
      </c>
      <c r="N10" s="363">
        <v>2</v>
      </c>
      <c r="O10" s="364">
        <f t="shared" si="0"/>
        <v>82</v>
      </c>
      <c r="P10" s="364">
        <f t="shared" si="0"/>
        <v>57</v>
      </c>
      <c r="Q10" s="484">
        <f t="shared" si="1"/>
        <v>0.69512195121951215</v>
      </c>
    </row>
    <row r="11" spans="1:17" s="76" customFormat="1" x14ac:dyDescent="0.25">
      <c r="A11" s="23">
        <v>8</v>
      </c>
      <c r="B11" s="26" t="s">
        <v>145</v>
      </c>
      <c r="C11" s="362">
        <v>2</v>
      </c>
      <c r="D11" s="362">
        <v>2</v>
      </c>
      <c r="E11" s="362">
        <v>21</v>
      </c>
      <c r="F11" s="362">
        <v>14</v>
      </c>
      <c r="G11" s="363">
        <v>13</v>
      </c>
      <c r="H11" s="363">
        <v>9</v>
      </c>
      <c r="I11" s="363">
        <v>23</v>
      </c>
      <c r="J11" s="363">
        <v>20</v>
      </c>
      <c r="K11" s="363">
        <v>22</v>
      </c>
      <c r="L11" s="363">
        <v>21</v>
      </c>
      <c r="M11" s="363">
        <v>3</v>
      </c>
      <c r="N11" s="363">
        <v>1</v>
      </c>
      <c r="O11" s="364">
        <f t="shared" si="0"/>
        <v>84</v>
      </c>
      <c r="P11" s="364">
        <f t="shared" si="0"/>
        <v>67</v>
      </c>
      <c r="Q11" s="484">
        <f t="shared" si="1"/>
        <v>0.79761904761904767</v>
      </c>
    </row>
    <row r="12" spans="1:17" x14ac:dyDescent="0.25">
      <c r="A12" s="23">
        <v>9</v>
      </c>
      <c r="B12" s="26" t="s">
        <v>146</v>
      </c>
      <c r="C12" s="362">
        <v>2</v>
      </c>
      <c r="D12" s="362">
        <v>2</v>
      </c>
      <c r="E12" s="362">
        <v>20</v>
      </c>
      <c r="F12" s="362">
        <v>16</v>
      </c>
      <c r="G12" s="363">
        <v>15</v>
      </c>
      <c r="H12" s="363">
        <v>10</v>
      </c>
      <c r="I12" s="363">
        <v>23</v>
      </c>
      <c r="J12" s="363">
        <v>17</v>
      </c>
      <c r="K12" s="363">
        <v>22</v>
      </c>
      <c r="L12" s="363">
        <v>14</v>
      </c>
      <c r="M12" s="363">
        <v>3</v>
      </c>
      <c r="N12" s="363">
        <v>3</v>
      </c>
      <c r="O12" s="364">
        <f t="shared" si="0"/>
        <v>85</v>
      </c>
      <c r="P12" s="364">
        <f t="shared" si="0"/>
        <v>62</v>
      </c>
      <c r="Q12" s="484">
        <f t="shared" si="1"/>
        <v>0.72941176470588232</v>
      </c>
    </row>
    <row r="13" spans="1:17" x14ac:dyDescent="0.25">
      <c r="A13" s="23">
        <v>10</v>
      </c>
      <c r="B13" s="26" t="s">
        <v>172</v>
      </c>
      <c r="C13" s="362">
        <v>2</v>
      </c>
      <c r="D13" s="362">
        <v>2</v>
      </c>
      <c r="E13" s="362">
        <v>20</v>
      </c>
      <c r="F13" s="362">
        <v>14</v>
      </c>
      <c r="G13" s="363">
        <v>14</v>
      </c>
      <c r="H13" s="363">
        <v>9</v>
      </c>
      <c r="I13" s="363">
        <v>23</v>
      </c>
      <c r="J13" s="363">
        <v>15</v>
      </c>
      <c r="K13" s="363">
        <v>22</v>
      </c>
      <c r="L13" s="363">
        <v>17</v>
      </c>
      <c r="M13" s="363">
        <v>2</v>
      </c>
      <c r="N13" s="363">
        <v>1</v>
      </c>
      <c r="O13" s="364">
        <f t="shared" si="0"/>
        <v>83</v>
      </c>
      <c r="P13" s="364">
        <f t="shared" si="0"/>
        <v>58</v>
      </c>
      <c r="Q13" s="484">
        <f t="shared" si="1"/>
        <v>0.6987951807228916</v>
      </c>
    </row>
    <row r="14" spans="1:17" x14ac:dyDescent="0.25">
      <c r="A14" s="23">
        <v>11</v>
      </c>
      <c r="B14" s="26" t="s">
        <v>147</v>
      </c>
      <c r="C14" s="362">
        <v>2</v>
      </c>
      <c r="D14" s="362">
        <v>2</v>
      </c>
      <c r="E14" s="362">
        <v>21</v>
      </c>
      <c r="F14" s="362">
        <v>16</v>
      </c>
      <c r="G14" s="363">
        <v>14</v>
      </c>
      <c r="H14" s="363">
        <v>12</v>
      </c>
      <c r="I14" s="363">
        <v>23</v>
      </c>
      <c r="J14" s="363">
        <v>20</v>
      </c>
      <c r="K14" s="363">
        <v>22</v>
      </c>
      <c r="L14" s="363">
        <v>21</v>
      </c>
      <c r="M14" s="363">
        <v>3</v>
      </c>
      <c r="N14" s="363">
        <v>3</v>
      </c>
      <c r="O14" s="364">
        <f t="shared" si="0"/>
        <v>85</v>
      </c>
      <c r="P14" s="364">
        <f t="shared" si="0"/>
        <v>74</v>
      </c>
      <c r="Q14" s="484">
        <f t="shared" si="1"/>
        <v>0.87058823529411766</v>
      </c>
    </row>
    <row r="15" spans="1:17" ht="25.5" x14ac:dyDescent="0.25">
      <c r="A15" s="23">
        <v>12</v>
      </c>
      <c r="B15" s="26" t="s">
        <v>178</v>
      </c>
      <c r="C15" s="362">
        <v>2</v>
      </c>
      <c r="D15" s="362">
        <v>2</v>
      </c>
      <c r="E15" s="362">
        <v>21</v>
      </c>
      <c r="F15" s="362">
        <v>14</v>
      </c>
      <c r="G15" s="363">
        <v>15</v>
      </c>
      <c r="H15" s="363">
        <v>11</v>
      </c>
      <c r="I15" s="363">
        <v>23</v>
      </c>
      <c r="J15" s="363">
        <v>17</v>
      </c>
      <c r="K15" s="363">
        <v>22</v>
      </c>
      <c r="L15" s="363">
        <v>18</v>
      </c>
      <c r="M15" s="363">
        <v>3</v>
      </c>
      <c r="N15" s="363">
        <v>1</v>
      </c>
      <c r="O15" s="364">
        <f t="shared" si="0"/>
        <v>86</v>
      </c>
      <c r="P15" s="364">
        <f t="shared" si="0"/>
        <v>63</v>
      </c>
      <c r="Q15" s="484">
        <f t="shared" si="1"/>
        <v>0.73255813953488369</v>
      </c>
    </row>
    <row r="16" spans="1:17" x14ac:dyDescent="0.25">
      <c r="A16" s="23">
        <v>13</v>
      </c>
      <c r="B16" s="26" t="s">
        <v>148</v>
      </c>
      <c r="C16" s="362">
        <v>2</v>
      </c>
      <c r="D16" s="362">
        <v>2</v>
      </c>
      <c r="E16" s="362">
        <v>21</v>
      </c>
      <c r="F16" s="362">
        <v>20</v>
      </c>
      <c r="G16" s="363">
        <v>14</v>
      </c>
      <c r="H16" s="363">
        <v>11</v>
      </c>
      <c r="I16" s="363">
        <v>23</v>
      </c>
      <c r="J16" s="363">
        <v>20</v>
      </c>
      <c r="K16" s="363">
        <v>22</v>
      </c>
      <c r="L16" s="363">
        <v>20</v>
      </c>
      <c r="M16" s="363">
        <v>3</v>
      </c>
      <c r="N16" s="363">
        <v>2</v>
      </c>
      <c r="O16" s="364">
        <f t="shared" si="0"/>
        <v>85</v>
      </c>
      <c r="P16" s="364">
        <f t="shared" si="0"/>
        <v>75</v>
      </c>
      <c r="Q16" s="484">
        <f t="shared" si="1"/>
        <v>0.88235294117647056</v>
      </c>
    </row>
    <row r="17" spans="1:17" x14ac:dyDescent="0.25">
      <c r="A17" s="23">
        <v>14</v>
      </c>
      <c r="B17" s="26" t="s">
        <v>173</v>
      </c>
      <c r="C17" s="362">
        <v>2</v>
      </c>
      <c r="D17" s="362">
        <v>2</v>
      </c>
      <c r="E17" s="362">
        <v>21</v>
      </c>
      <c r="F17" s="362">
        <v>13</v>
      </c>
      <c r="G17" s="363">
        <v>14</v>
      </c>
      <c r="H17" s="363">
        <v>6</v>
      </c>
      <c r="I17" s="363">
        <v>23</v>
      </c>
      <c r="J17" s="363">
        <v>13</v>
      </c>
      <c r="K17" s="363">
        <v>22</v>
      </c>
      <c r="L17" s="363">
        <v>11</v>
      </c>
      <c r="M17" s="363">
        <v>2</v>
      </c>
      <c r="N17" s="363">
        <v>1</v>
      </c>
      <c r="O17" s="364">
        <f t="shared" si="0"/>
        <v>84</v>
      </c>
      <c r="P17" s="364">
        <f t="shared" si="0"/>
        <v>46</v>
      </c>
      <c r="Q17" s="484">
        <f t="shared" si="1"/>
        <v>0.54761904761904767</v>
      </c>
    </row>
    <row r="18" spans="1:17" x14ac:dyDescent="0.25">
      <c r="A18" s="23">
        <v>15</v>
      </c>
      <c r="B18" s="26" t="s">
        <v>149</v>
      </c>
      <c r="C18" s="362">
        <v>2</v>
      </c>
      <c r="D18" s="362">
        <v>2</v>
      </c>
      <c r="E18" s="362">
        <v>20</v>
      </c>
      <c r="F18" s="362">
        <v>18</v>
      </c>
      <c r="G18" s="363">
        <v>13</v>
      </c>
      <c r="H18" s="363">
        <v>11</v>
      </c>
      <c r="I18" s="363">
        <v>23</v>
      </c>
      <c r="J18" s="363">
        <v>16</v>
      </c>
      <c r="K18" s="363">
        <v>22</v>
      </c>
      <c r="L18" s="363">
        <v>22</v>
      </c>
      <c r="M18" s="363">
        <v>3</v>
      </c>
      <c r="N18" s="363">
        <v>3</v>
      </c>
      <c r="O18" s="364">
        <f t="shared" si="0"/>
        <v>83</v>
      </c>
      <c r="P18" s="364">
        <f t="shared" si="0"/>
        <v>72</v>
      </c>
      <c r="Q18" s="484">
        <f t="shared" si="1"/>
        <v>0.86746987951807231</v>
      </c>
    </row>
    <row r="19" spans="1:17" x14ac:dyDescent="0.25">
      <c r="A19" s="23">
        <v>16</v>
      </c>
      <c r="B19" s="26" t="s">
        <v>150</v>
      </c>
      <c r="C19" s="362">
        <v>2</v>
      </c>
      <c r="D19" s="362">
        <v>2</v>
      </c>
      <c r="E19" s="362">
        <v>20</v>
      </c>
      <c r="F19" s="362">
        <v>15</v>
      </c>
      <c r="G19" s="363">
        <v>14</v>
      </c>
      <c r="H19" s="363">
        <v>13</v>
      </c>
      <c r="I19" s="363">
        <v>23</v>
      </c>
      <c r="J19" s="363">
        <v>17</v>
      </c>
      <c r="K19" s="363">
        <v>22</v>
      </c>
      <c r="L19" s="363">
        <v>15</v>
      </c>
      <c r="M19" s="363">
        <v>3</v>
      </c>
      <c r="N19" s="363">
        <v>1</v>
      </c>
      <c r="O19" s="364">
        <f t="shared" si="0"/>
        <v>84</v>
      </c>
      <c r="P19" s="364">
        <f t="shared" si="0"/>
        <v>63</v>
      </c>
      <c r="Q19" s="484">
        <f t="shared" si="1"/>
        <v>0.75</v>
      </c>
    </row>
    <row r="20" spans="1:17" x14ac:dyDescent="0.25">
      <c r="A20" s="23">
        <v>17</v>
      </c>
      <c r="B20" s="26" t="s">
        <v>151</v>
      </c>
      <c r="C20" s="362">
        <v>2</v>
      </c>
      <c r="D20" s="362">
        <v>2</v>
      </c>
      <c r="E20" s="362">
        <v>20</v>
      </c>
      <c r="F20" s="362">
        <v>15</v>
      </c>
      <c r="G20" s="363">
        <v>13</v>
      </c>
      <c r="H20" s="363">
        <v>6</v>
      </c>
      <c r="I20" s="363">
        <v>23</v>
      </c>
      <c r="J20" s="363">
        <v>17</v>
      </c>
      <c r="K20" s="363">
        <v>22</v>
      </c>
      <c r="L20" s="363">
        <v>17</v>
      </c>
      <c r="M20" s="363">
        <v>3</v>
      </c>
      <c r="N20" s="363">
        <v>3</v>
      </c>
      <c r="O20" s="364">
        <f t="shared" si="0"/>
        <v>83</v>
      </c>
      <c r="P20" s="364">
        <f t="shared" si="0"/>
        <v>60</v>
      </c>
      <c r="Q20" s="484">
        <f t="shared" si="1"/>
        <v>0.72289156626506024</v>
      </c>
    </row>
    <row r="21" spans="1:17" x14ac:dyDescent="0.25">
      <c r="A21" s="23">
        <v>18</v>
      </c>
      <c r="B21" s="26" t="s">
        <v>152</v>
      </c>
      <c r="C21" s="362">
        <v>2</v>
      </c>
      <c r="D21" s="362">
        <v>2</v>
      </c>
      <c r="E21" s="362">
        <v>20</v>
      </c>
      <c r="F21" s="362">
        <v>10</v>
      </c>
      <c r="G21" s="363">
        <v>14</v>
      </c>
      <c r="H21" s="363">
        <v>13</v>
      </c>
      <c r="I21" s="363">
        <v>23</v>
      </c>
      <c r="J21" s="363">
        <v>17</v>
      </c>
      <c r="K21" s="363">
        <v>22</v>
      </c>
      <c r="L21" s="363">
        <v>21</v>
      </c>
      <c r="M21" s="363">
        <v>3</v>
      </c>
      <c r="N21" s="363">
        <v>1</v>
      </c>
      <c r="O21" s="364">
        <f t="shared" si="0"/>
        <v>84</v>
      </c>
      <c r="P21" s="364">
        <f t="shared" si="0"/>
        <v>64</v>
      </c>
      <c r="Q21" s="484">
        <f t="shared" si="1"/>
        <v>0.76190476190476186</v>
      </c>
    </row>
    <row r="22" spans="1:17" x14ac:dyDescent="0.25">
      <c r="A22" s="23">
        <v>19</v>
      </c>
      <c r="B22" s="26" t="s">
        <v>153</v>
      </c>
      <c r="C22" s="362">
        <v>2</v>
      </c>
      <c r="D22" s="362">
        <v>2</v>
      </c>
      <c r="E22" s="362">
        <v>21</v>
      </c>
      <c r="F22" s="362">
        <v>16</v>
      </c>
      <c r="G22" s="363">
        <v>15</v>
      </c>
      <c r="H22" s="363">
        <v>10</v>
      </c>
      <c r="I22" s="363">
        <v>23</v>
      </c>
      <c r="J22" s="363">
        <v>19</v>
      </c>
      <c r="K22" s="363">
        <v>22</v>
      </c>
      <c r="L22" s="363">
        <v>19</v>
      </c>
      <c r="M22" s="363">
        <v>3</v>
      </c>
      <c r="N22" s="363">
        <v>2</v>
      </c>
      <c r="O22" s="364">
        <f t="shared" si="0"/>
        <v>86</v>
      </c>
      <c r="P22" s="364">
        <f t="shared" si="0"/>
        <v>68</v>
      </c>
      <c r="Q22" s="484">
        <f t="shared" si="1"/>
        <v>0.79069767441860461</v>
      </c>
    </row>
    <row r="23" spans="1:17" x14ac:dyDescent="0.25">
      <c r="A23" s="23">
        <v>20</v>
      </c>
      <c r="B23" s="26" t="s">
        <v>154</v>
      </c>
      <c r="C23" s="362">
        <v>2</v>
      </c>
      <c r="D23" s="362">
        <v>2</v>
      </c>
      <c r="E23" s="362">
        <v>21</v>
      </c>
      <c r="F23" s="362">
        <v>9</v>
      </c>
      <c r="G23" s="363">
        <v>13</v>
      </c>
      <c r="H23" s="363">
        <v>3</v>
      </c>
      <c r="I23" s="363">
        <v>23</v>
      </c>
      <c r="J23" s="363">
        <v>15</v>
      </c>
      <c r="K23" s="363">
        <v>21</v>
      </c>
      <c r="L23" s="363">
        <v>13</v>
      </c>
      <c r="M23" s="363">
        <v>3</v>
      </c>
      <c r="N23" s="363">
        <v>1</v>
      </c>
      <c r="O23" s="364">
        <f t="shared" si="0"/>
        <v>83</v>
      </c>
      <c r="P23" s="364">
        <f t="shared" si="0"/>
        <v>43</v>
      </c>
      <c r="Q23" s="484">
        <f t="shared" si="1"/>
        <v>0.51807228915662651</v>
      </c>
    </row>
    <row r="24" spans="1:17" x14ac:dyDescent="0.25">
      <c r="A24" s="23">
        <v>21</v>
      </c>
      <c r="B24" s="26" t="s">
        <v>155</v>
      </c>
      <c r="C24" s="362">
        <v>2</v>
      </c>
      <c r="D24" s="362">
        <v>2</v>
      </c>
      <c r="E24" s="362">
        <v>21</v>
      </c>
      <c r="F24" s="362">
        <v>17</v>
      </c>
      <c r="G24" s="363">
        <v>14</v>
      </c>
      <c r="H24" s="363">
        <v>10</v>
      </c>
      <c r="I24" s="363">
        <v>23</v>
      </c>
      <c r="J24" s="363">
        <v>15</v>
      </c>
      <c r="K24" s="363">
        <v>22</v>
      </c>
      <c r="L24" s="363">
        <v>20</v>
      </c>
      <c r="M24" s="363">
        <v>3</v>
      </c>
      <c r="N24" s="363">
        <v>2</v>
      </c>
      <c r="O24" s="364">
        <f t="shared" si="0"/>
        <v>85</v>
      </c>
      <c r="P24" s="364">
        <f t="shared" si="0"/>
        <v>66</v>
      </c>
      <c r="Q24" s="484">
        <f t="shared" si="1"/>
        <v>0.77647058823529413</v>
      </c>
    </row>
    <row r="25" spans="1:17" x14ac:dyDescent="0.25">
      <c r="A25" s="23">
        <v>22</v>
      </c>
      <c r="B25" s="26" t="s">
        <v>277</v>
      </c>
      <c r="C25" s="362">
        <v>2</v>
      </c>
      <c r="D25" s="362">
        <v>2</v>
      </c>
      <c r="E25" s="362">
        <v>21</v>
      </c>
      <c r="F25" s="362">
        <v>17</v>
      </c>
      <c r="G25" s="363">
        <v>14</v>
      </c>
      <c r="H25" s="363">
        <v>9</v>
      </c>
      <c r="I25" s="363">
        <v>23</v>
      </c>
      <c r="J25" s="363">
        <v>17</v>
      </c>
      <c r="K25" s="363">
        <v>22</v>
      </c>
      <c r="L25" s="363">
        <v>13</v>
      </c>
      <c r="M25" s="363">
        <v>3</v>
      </c>
      <c r="N25" s="363">
        <v>2</v>
      </c>
      <c r="O25" s="364">
        <f t="shared" si="0"/>
        <v>85</v>
      </c>
      <c r="P25" s="364">
        <f t="shared" si="0"/>
        <v>60</v>
      </c>
      <c r="Q25" s="484">
        <f t="shared" si="1"/>
        <v>0.70588235294117652</v>
      </c>
    </row>
    <row r="26" spans="1:17" ht="15" customHeight="1" x14ac:dyDescent="0.25">
      <c r="A26" s="23">
        <v>23</v>
      </c>
      <c r="B26" s="26" t="s">
        <v>156</v>
      </c>
      <c r="C26" s="362">
        <v>2</v>
      </c>
      <c r="D26" s="362">
        <v>2</v>
      </c>
      <c r="E26" s="362">
        <v>21</v>
      </c>
      <c r="F26" s="362">
        <v>15</v>
      </c>
      <c r="G26" s="363">
        <v>14</v>
      </c>
      <c r="H26" s="363">
        <v>11</v>
      </c>
      <c r="I26" s="363">
        <v>23</v>
      </c>
      <c r="J26" s="363">
        <v>19</v>
      </c>
      <c r="K26" s="363">
        <v>22</v>
      </c>
      <c r="L26" s="363">
        <v>20</v>
      </c>
      <c r="M26" s="363">
        <v>3</v>
      </c>
      <c r="N26" s="363">
        <v>2</v>
      </c>
      <c r="O26" s="364">
        <f t="shared" si="0"/>
        <v>85</v>
      </c>
      <c r="P26" s="364">
        <f t="shared" si="0"/>
        <v>69</v>
      </c>
      <c r="Q26" s="484">
        <f t="shared" si="1"/>
        <v>0.81176470588235294</v>
      </c>
    </row>
    <row r="27" spans="1:17" x14ac:dyDescent="0.25">
      <c r="A27" s="23">
        <v>24</v>
      </c>
      <c r="B27" s="26" t="s">
        <v>157</v>
      </c>
      <c r="C27" s="362">
        <v>2</v>
      </c>
      <c r="D27" s="362">
        <v>2</v>
      </c>
      <c r="E27" s="362">
        <v>21</v>
      </c>
      <c r="F27" s="362">
        <v>13</v>
      </c>
      <c r="G27" s="363">
        <v>14</v>
      </c>
      <c r="H27" s="363">
        <v>10</v>
      </c>
      <c r="I27" s="363">
        <v>23</v>
      </c>
      <c r="J27" s="363">
        <v>18</v>
      </c>
      <c r="K27" s="363">
        <v>21</v>
      </c>
      <c r="L27" s="363">
        <v>14</v>
      </c>
      <c r="M27" s="363">
        <v>3</v>
      </c>
      <c r="N27" s="363">
        <v>2</v>
      </c>
      <c r="O27" s="364">
        <f t="shared" si="0"/>
        <v>84</v>
      </c>
      <c r="P27" s="364">
        <f t="shared" si="0"/>
        <v>59</v>
      </c>
      <c r="Q27" s="484">
        <f t="shared" si="1"/>
        <v>0.70238095238095233</v>
      </c>
    </row>
    <row r="28" spans="1:17" x14ac:dyDescent="0.25">
      <c r="A28" s="23">
        <v>25</v>
      </c>
      <c r="B28" s="26" t="s">
        <v>159</v>
      </c>
      <c r="C28" s="362">
        <v>2</v>
      </c>
      <c r="D28" s="362">
        <v>2</v>
      </c>
      <c r="E28" s="362">
        <v>21</v>
      </c>
      <c r="F28" s="362">
        <v>18</v>
      </c>
      <c r="G28" s="363">
        <v>13</v>
      </c>
      <c r="H28" s="363">
        <v>9</v>
      </c>
      <c r="I28" s="363">
        <v>23</v>
      </c>
      <c r="J28" s="363">
        <v>19</v>
      </c>
      <c r="K28" s="363">
        <v>22</v>
      </c>
      <c r="L28" s="363">
        <v>15</v>
      </c>
      <c r="M28" s="363">
        <v>3</v>
      </c>
      <c r="N28" s="363">
        <v>3</v>
      </c>
      <c r="O28" s="364">
        <f t="shared" si="0"/>
        <v>84</v>
      </c>
      <c r="P28" s="364">
        <f t="shared" si="0"/>
        <v>66</v>
      </c>
      <c r="Q28" s="484">
        <f t="shared" si="1"/>
        <v>0.7857142857142857</v>
      </c>
    </row>
    <row r="29" spans="1:17" x14ac:dyDescent="0.25">
      <c r="A29" s="23">
        <v>26</v>
      </c>
      <c r="B29" s="26" t="s">
        <v>160</v>
      </c>
      <c r="C29" s="362">
        <v>2</v>
      </c>
      <c r="D29" s="362">
        <v>2</v>
      </c>
      <c r="E29" s="362">
        <v>21</v>
      </c>
      <c r="F29" s="362">
        <v>12</v>
      </c>
      <c r="G29" s="363">
        <v>14</v>
      </c>
      <c r="H29" s="363">
        <v>9</v>
      </c>
      <c r="I29" s="363">
        <v>23</v>
      </c>
      <c r="J29" s="363">
        <v>18</v>
      </c>
      <c r="K29" s="363">
        <v>22</v>
      </c>
      <c r="L29" s="363">
        <v>22</v>
      </c>
      <c r="M29" s="363">
        <v>3</v>
      </c>
      <c r="N29" s="363">
        <v>2</v>
      </c>
      <c r="O29" s="364">
        <f t="shared" si="0"/>
        <v>85</v>
      </c>
      <c r="P29" s="364">
        <f t="shared" si="0"/>
        <v>65</v>
      </c>
      <c r="Q29" s="484">
        <f t="shared" si="1"/>
        <v>0.76470588235294112</v>
      </c>
    </row>
    <row r="30" spans="1:17" x14ac:dyDescent="0.25">
      <c r="A30" s="23">
        <v>27</v>
      </c>
      <c r="B30" s="26" t="s">
        <v>158</v>
      </c>
      <c r="C30" s="362">
        <v>2</v>
      </c>
      <c r="D30" s="362">
        <v>1</v>
      </c>
      <c r="E30" s="362">
        <v>21</v>
      </c>
      <c r="F30" s="362">
        <v>13</v>
      </c>
      <c r="G30" s="363">
        <v>14</v>
      </c>
      <c r="H30" s="363">
        <v>6</v>
      </c>
      <c r="I30" s="363">
        <v>23</v>
      </c>
      <c r="J30" s="363">
        <v>17</v>
      </c>
      <c r="K30" s="363">
        <v>22</v>
      </c>
      <c r="L30" s="363">
        <v>15</v>
      </c>
      <c r="M30" s="363">
        <v>3</v>
      </c>
      <c r="N30" s="363">
        <v>1</v>
      </c>
      <c r="O30" s="364">
        <f t="shared" si="0"/>
        <v>85</v>
      </c>
      <c r="P30" s="364">
        <f t="shared" si="0"/>
        <v>53</v>
      </c>
      <c r="Q30" s="484">
        <f t="shared" si="1"/>
        <v>0.62352941176470589</v>
      </c>
    </row>
    <row r="31" spans="1:17" x14ac:dyDescent="0.25">
      <c r="A31" s="23">
        <v>28</v>
      </c>
      <c r="B31" s="26" t="s">
        <v>161</v>
      </c>
      <c r="C31" s="362">
        <v>2</v>
      </c>
      <c r="D31" s="362">
        <v>2</v>
      </c>
      <c r="E31" s="362">
        <v>21</v>
      </c>
      <c r="F31" s="362">
        <v>15</v>
      </c>
      <c r="G31" s="363">
        <v>14</v>
      </c>
      <c r="H31" s="363">
        <v>10</v>
      </c>
      <c r="I31" s="363">
        <v>23</v>
      </c>
      <c r="J31" s="363">
        <v>18</v>
      </c>
      <c r="K31" s="363">
        <v>21</v>
      </c>
      <c r="L31" s="363">
        <v>13</v>
      </c>
      <c r="M31" s="363">
        <v>3</v>
      </c>
      <c r="N31" s="363">
        <v>2</v>
      </c>
      <c r="O31" s="364">
        <f t="shared" si="0"/>
        <v>84</v>
      </c>
      <c r="P31" s="364">
        <f t="shared" si="0"/>
        <v>60</v>
      </c>
      <c r="Q31" s="484">
        <f t="shared" si="1"/>
        <v>0.7142857142857143</v>
      </c>
    </row>
    <row r="32" spans="1:17" x14ac:dyDescent="0.25">
      <c r="A32" s="23">
        <v>29</v>
      </c>
      <c r="B32" s="26" t="s">
        <v>162</v>
      </c>
      <c r="C32" s="362">
        <v>2</v>
      </c>
      <c r="D32" s="362">
        <v>2</v>
      </c>
      <c r="E32" s="362">
        <v>21</v>
      </c>
      <c r="F32" s="362">
        <v>17</v>
      </c>
      <c r="G32" s="363">
        <v>13</v>
      </c>
      <c r="H32" s="363">
        <v>9</v>
      </c>
      <c r="I32" s="363">
        <v>23</v>
      </c>
      <c r="J32" s="363">
        <v>21</v>
      </c>
      <c r="K32" s="363">
        <v>22</v>
      </c>
      <c r="L32" s="363">
        <v>22</v>
      </c>
      <c r="M32" s="363">
        <v>3</v>
      </c>
      <c r="N32" s="363">
        <v>2</v>
      </c>
      <c r="O32" s="364">
        <f t="shared" si="0"/>
        <v>84</v>
      </c>
      <c r="P32" s="364">
        <f t="shared" si="0"/>
        <v>73</v>
      </c>
      <c r="Q32" s="484">
        <f t="shared" si="1"/>
        <v>0.86904761904761907</v>
      </c>
    </row>
    <row r="33" spans="1:999" x14ac:dyDescent="0.25">
      <c r="A33" s="23">
        <v>30</v>
      </c>
      <c r="B33" s="26" t="s">
        <v>163</v>
      </c>
      <c r="C33" s="362">
        <v>2</v>
      </c>
      <c r="D33" s="362">
        <v>2</v>
      </c>
      <c r="E33" s="362">
        <v>21</v>
      </c>
      <c r="F33" s="362">
        <v>18</v>
      </c>
      <c r="G33" s="363">
        <v>14</v>
      </c>
      <c r="H33" s="363">
        <v>9</v>
      </c>
      <c r="I33" s="363">
        <v>23</v>
      </c>
      <c r="J33" s="363">
        <v>19</v>
      </c>
      <c r="K33" s="363">
        <v>22</v>
      </c>
      <c r="L33" s="363">
        <v>17</v>
      </c>
      <c r="M33" s="363">
        <v>3</v>
      </c>
      <c r="N33" s="363">
        <v>3</v>
      </c>
      <c r="O33" s="364">
        <f t="shared" si="0"/>
        <v>85</v>
      </c>
      <c r="P33" s="364">
        <f t="shared" si="0"/>
        <v>68</v>
      </c>
      <c r="Q33" s="484">
        <f t="shared" si="1"/>
        <v>0.8</v>
      </c>
    </row>
    <row r="34" spans="1:999" x14ac:dyDescent="0.25">
      <c r="A34" s="23">
        <v>31</v>
      </c>
      <c r="B34" s="26" t="s">
        <v>164</v>
      </c>
      <c r="C34" s="362">
        <v>2</v>
      </c>
      <c r="D34" s="362">
        <v>1</v>
      </c>
      <c r="E34" s="362">
        <v>21</v>
      </c>
      <c r="F34" s="362">
        <v>12</v>
      </c>
      <c r="G34" s="363">
        <v>14</v>
      </c>
      <c r="H34" s="363">
        <v>8</v>
      </c>
      <c r="I34" s="363">
        <v>23</v>
      </c>
      <c r="J34" s="363">
        <v>17</v>
      </c>
      <c r="K34" s="363">
        <v>21</v>
      </c>
      <c r="L34" s="363">
        <v>12</v>
      </c>
      <c r="M34" s="363">
        <v>3</v>
      </c>
      <c r="N34" s="363">
        <v>2</v>
      </c>
      <c r="O34" s="364">
        <f t="shared" si="0"/>
        <v>84</v>
      </c>
      <c r="P34" s="364">
        <f t="shared" si="0"/>
        <v>52</v>
      </c>
      <c r="Q34" s="484">
        <f t="shared" si="1"/>
        <v>0.61904761904761907</v>
      </c>
    </row>
    <row r="35" spans="1:999" x14ac:dyDescent="0.25">
      <c r="A35" s="23">
        <v>32</v>
      </c>
      <c r="B35" s="26" t="s">
        <v>165</v>
      </c>
      <c r="C35" s="362">
        <v>2</v>
      </c>
      <c r="D35" s="362">
        <v>2</v>
      </c>
      <c r="E35" s="362">
        <v>21</v>
      </c>
      <c r="F35" s="362">
        <v>18</v>
      </c>
      <c r="G35" s="363">
        <v>14</v>
      </c>
      <c r="H35" s="363">
        <v>11</v>
      </c>
      <c r="I35" s="363">
        <v>23</v>
      </c>
      <c r="J35" s="363">
        <v>16</v>
      </c>
      <c r="K35" s="363">
        <v>22</v>
      </c>
      <c r="L35" s="363">
        <v>21</v>
      </c>
      <c r="M35" s="363">
        <v>3</v>
      </c>
      <c r="N35" s="363">
        <v>3</v>
      </c>
      <c r="O35" s="364">
        <f t="shared" si="0"/>
        <v>85</v>
      </c>
      <c r="P35" s="364">
        <f t="shared" si="0"/>
        <v>71</v>
      </c>
      <c r="Q35" s="484">
        <f t="shared" si="1"/>
        <v>0.83529411764705885</v>
      </c>
    </row>
    <row r="36" spans="1:999" x14ac:dyDescent="0.25">
      <c r="A36" s="23">
        <v>33</v>
      </c>
      <c r="B36" s="26" t="s">
        <v>166</v>
      </c>
      <c r="C36" s="362">
        <v>2</v>
      </c>
      <c r="D36" s="362">
        <v>2</v>
      </c>
      <c r="E36" s="362">
        <v>21</v>
      </c>
      <c r="F36" s="362">
        <v>17</v>
      </c>
      <c r="G36" s="363">
        <v>14</v>
      </c>
      <c r="H36" s="363">
        <v>9</v>
      </c>
      <c r="I36" s="363">
        <v>23</v>
      </c>
      <c r="J36" s="363">
        <v>15</v>
      </c>
      <c r="K36" s="363">
        <v>21</v>
      </c>
      <c r="L36" s="363">
        <v>12</v>
      </c>
      <c r="M36" s="363">
        <v>3</v>
      </c>
      <c r="N36" s="363">
        <v>2</v>
      </c>
      <c r="O36" s="364">
        <f t="shared" si="0"/>
        <v>84</v>
      </c>
      <c r="P36" s="364">
        <f t="shared" si="0"/>
        <v>57</v>
      </c>
      <c r="Q36" s="484">
        <f t="shared" si="1"/>
        <v>0.6785714285714286</v>
      </c>
    </row>
    <row r="37" spans="1:999" x14ac:dyDescent="0.25">
      <c r="A37" s="23">
        <v>34</v>
      </c>
      <c r="B37" s="26" t="s">
        <v>167</v>
      </c>
      <c r="C37" s="362">
        <v>2</v>
      </c>
      <c r="D37" s="362">
        <v>2</v>
      </c>
      <c r="E37" s="362">
        <v>21</v>
      </c>
      <c r="F37" s="362">
        <v>13</v>
      </c>
      <c r="G37" s="363">
        <v>13</v>
      </c>
      <c r="H37" s="363">
        <v>5</v>
      </c>
      <c r="I37" s="363">
        <v>23</v>
      </c>
      <c r="J37" s="363">
        <v>14</v>
      </c>
      <c r="K37" s="363">
        <v>21</v>
      </c>
      <c r="L37" s="363">
        <v>11</v>
      </c>
      <c r="M37" s="363">
        <v>3</v>
      </c>
      <c r="N37" s="363">
        <v>3</v>
      </c>
      <c r="O37" s="364">
        <f t="shared" si="0"/>
        <v>83</v>
      </c>
      <c r="P37" s="364">
        <f t="shared" si="0"/>
        <v>48</v>
      </c>
      <c r="Q37" s="484">
        <f t="shared" si="1"/>
        <v>0.57831325301204817</v>
      </c>
    </row>
    <row r="38" spans="1:999" x14ac:dyDescent="0.25">
      <c r="A38" s="23">
        <v>35</v>
      </c>
      <c r="B38" s="26" t="s">
        <v>168</v>
      </c>
      <c r="C38" s="362">
        <v>2</v>
      </c>
      <c r="D38" s="362">
        <v>2</v>
      </c>
      <c r="E38" s="362">
        <v>21</v>
      </c>
      <c r="F38" s="362">
        <v>18</v>
      </c>
      <c r="G38" s="363">
        <v>13</v>
      </c>
      <c r="H38" s="363">
        <v>10</v>
      </c>
      <c r="I38" s="363">
        <v>23</v>
      </c>
      <c r="J38" s="363">
        <v>17</v>
      </c>
      <c r="K38" s="363">
        <v>22</v>
      </c>
      <c r="L38" s="363">
        <v>17</v>
      </c>
      <c r="M38" s="363">
        <v>3</v>
      </c>
      <c r="N38" s="363">
        <v>3</v>
      </c>
      <c r="O38" s="364">
        <f t="shared" si="0"/>
        <v>84</v>
      </c>
      <c r="P38" s="364">
        <f t="shared" si="0"/>
        <v>67</v>
      </c>
      <c r="Q38" s="484">
        <f t="shared" si="1"/>
        <v>0.79761904761904767</v>
      </c>
    </row>
    <row r="39" spans="1:999" x14ac:dyDescent="0.25">
      <c r="A39" s="23">
        <v>36</v>
      </c>
      <c r="B39" s="26" t="s">
        <v>169</v>
      </c>
      <c r="C39" s="362">
        <v>2</v>
      </c>
      <c r="D39" s="362">
        <v>2</v>
      </c>
      <c r="E39" s="362">
        <v>21</v>
      </c>
      <c r="F39" s="362">
        <v>17</v>
      </c>
      <c r="G39" s="363">
        <v>14</v>
      </c>
      <c r="H39" s="363">
        <v>7</v>
      </c>
      <c r="I39" s="363">
        <v>23</v>
      </c>
      <c r="J39" s="363">
        <v>18</v>
      </c>
      <c r="K39" s="363">
        <v>22</v>
      </c>
      <c r="L39" s="363">
        <v>15</v>
      </c>
      <c r="M39" s="363">
        <v>3</v>
      </c>
      <c r="N39" s="363">
        <v>3</v>
      </c>
      <c r="O39" s="364">
        <f t="shared" si="0"/>
        <v>85</v>
      </c>
      <c r="P39" s="364">
        <f t="shared" si="0"/>
        <v>62</v>
      </c>
      <c r="Q39" s="484">
        <f t="shared" si="1"/>
        <v>0.72941176470588232</v>
      </c>
    </row>
    <row r="40" spans="1:999" x14ac:dyDescent="0.25">
      <c r="A40" s="23">
        <v>37</v>
      </c>
      <c r="B40" s="26" t="s">
        <v>170</v>
      </c>
      <c r="C40" s="362">
        <v>2</v>
      </c>
      <c r="D40" s="362">
        <v>2</v>
      </c>
      <c r="E40" s="362">
        <v>20</v>
      </c>
      <c r="F40" s="362">
        <v>20</v>
      </c>
      <c r="G40" s="363">
        <v>14</v>
      </c>
      <c r="H40" s="363">
        <v>9</v>
      </c>
      <c r="I40" s="363">
        <v>23</v>
      </c>
      <c r="J40" s="363">
        <v>19</v>
      </c>
      <c r="K40" s="363">
        <v>21</v>
      </c>
      <c r="L40" s="363">
        <v>17</v>
      </c>
      <c r="M40" s="363">
        <v>3</v>
      </c>
      <c r="N40" s="363">
        <v>3</v>
      </c>
      <c r="O40" s="364">
        <f t="shared" si="0"/>
        <v>83</v>
      </c>
      <c r="P40" s="364">
        <f t="shared" si="0"/>
        <v>70</v>
      </c>
      <c r="Q40" s="484">
        <f t="shared" si="1"/>
        <v>0.84337349397590367</v>
      </c>
    </row>
    <row r="41" spans="1:999" x14ac:dyDescent="0.25">
      <c r="A41" s="365">
        <v>38</v>
      </c>
      <c r="B41" s="366" t="s">
        <v>171</v>
      </c>
      <c r="C41" s="367">
        <v>2</v>
      </c>
      <c r="D41" s="367">
        <v>1</v>
      </c>
      <c r="E41" s="367">
        <v>21</v>
      </c>
      <c r="F41" s="367">
        <v>14</v>
      </c>
      <c r="G41" s="368">
        <v>13</v>
      </c>
      <c r="H41" s="368">
        <v>11</v>
      </c>
      <c r="I41" s="368">
        <v>23</v>
      </c>
      <c r="J41" s="368">
        <v>20</v>
      </c>
      <c r="K41" s="368">
        <v>21</v>
      </c>
      <c r="L41" s="368">
        <v>18</v>
      </c>
      <c r="M41" s="368">
        <v>3</v>
      </c>
      <c r="N41" s="368">
        <v>3</v>
      </c>
      <c r="O41" s="369">
        <f t="shared" si="0"/>
        <v>83</v>
      </c>
      <c r="P41" s="369">
        <f t="shared" si="0"/>
        <v>67</v>
      </c>
      <c r="Q41" s="489">
        <f t="shared" si="1"/>
        <v>0.80722891566265065</v>
      </c>
    </row>
    <row r="42" spans="1:999" s="83" customFormat="1" x14ac:dyDescent="0.25">
      <c r="A42" s="727" t="s">
        <v>118</v>
      </c>
      <c r="B42" s="727"/>
      <c r="C42" s="493">
        <f>SUM(C4:C41)</f>
        <v>76</v>
      </c>
      <c r="D42" s="493">
        <f t="shared" ref="D42:P42" si="2">SUM(D4:D41)</f>
        <v>73</v>
      </c>
      <c r="E42" s="493">
        <f t="shared" si="2"/>
        <v>790</v>
      </c>
      <c r="F42" s="493">
        <f t="shared" si="2"/>
        <v>591</v>
      </c>
      <c r="G42" s="493">
        <f t="shared" si="2"/>
        <v>521</v>
      </c>
      <c r="H42" s="493">
        <f t="shared" si="2"/>
        <v>352</v>
      </c>
      <c r="I42" s="493">
        <f t="shared" si="2"/>
        <v>872</v>
      </c>
      <c r="J42" s="493">
        <f t="shared" si="2"/>
        <v>659</v>
      </c>
      <c r="K42" s="493">
        <f t="shared" si="2"/>
        <v>827</v>
      </c>
      <c r="L42" s="493">
        <f t="shared" si="2"/>
        <v>644</v>
      </c>
      <c r="M42" s="493">
        <f t="shared" si="2"/>
        <v>112</v>
      </c>
      <c r="N42" s="493">
        <f t="shared" si="2"/>
        <v>84</v>
      </c>
      <c r="O42" s="493">
        <f t="shared" si="2"/>
        <v>3198</v>
      </c>
      <c r="P42" s="493">
        <f t="shared" si="2"/>
        <v>2403</v>
      </c>
      <c r="Q42" s="492">
        <f>AVERAGE(Q4:Q41)</f>
        <v>0.75123075367355441</v>
      </c>
      <c r="R42" s="490"/>
      <c r="S42" s="490"/>
      <c r="T42" s="490"/>
      <c r="U42" s="490"/>
      <c r="V42" s="490"/>
      <c r="W42" s="490"/>
      <c r="X42" s="490"/>
      <c r="Y42" s="491"/>
    </row>
    <row r="43" spans="1:999" ht="15.75" thickBot="1" x14ac:dyDescent="0.3">
      <c r="A43" s="370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  <c r="P43" s="371"/>
      <c r="Q43" s="372"/>
    </row>
    <row r="44" spans="1:999" customFormat="1" ht="25.5" x14ac:dyDescent="0.25">
      <c r="A44" s="196">
        <v>1</v>
      </c>
      <c r="B44" s="197" t="s">
        <v>353</v>
      </c>
      <c r="C44" s="480">
        <v>1</v>
      </c>
      <c r="D44" s="480">
        <v>1</v>
      </c>
      <c r="E44" s="480">
        <v>16</v>
      </c>
      <c r="F44" s="480">
        <v>13</v>
      </c>
      <c r="G44" s="481">
        <v>6</v>
      </c>
      <c r="H44" s="481">
        <v>2</v>
      </c>
      <c r="I44" s="481">
        <v>7</v>
      </c>
      <c r="J44" s="481">
        <v>4</v>
      </c>
      <c r="K44" s="481">
        <v>6</v>
      </c>
      <c r="L44" s="481">
        <v>4</v>
      </c>
      <c r="M44" s="481">
        <v>2</v>
      </c>
      <c r="N44" s="481">
        <v>1</v>
      </c>
      <c r="O44" s="482">
        <f t="shared" si="0"/>
        <v>38</v>
      </c>
      <c r="P44" s="482">
        <f t="shared" si="0"/>
        <v>25</v>
      </c>
      <c r="Q44" s="483">
        <f t="shared" si="1"/>
        <v>0.65789473684210531</v>
      </c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</row>
    <row r="45" spans="1:999" ht="25.5" x14ac:dyDescent="0.25">
      <c r="A45" s="23">
        <v>2</v>
      </c>
      <c r="B45" s="26" t="s">
        <v>174</v>
      </c>
      <c r="C45" s="362">
        <v>1</v>
      </c>
      <c r="D45" s="362">
        <v>1</v>
      </c>
      <c r="E45" s="362">
        <v>16</v>
      </c>
      <c r="F45" s="362">
        <v>6</v>
      </c>
      <c r="G45" s="363">
        <v>6</v>
      </c>
      <c r="H45" s="363">
        <v>2</v>
      </c>
      <c r="I45" s="363">
        <v>7</v>
      </c>
      <c r="J45" s="363">
        <v>5</v>
      </c>
      <c r="K45" s="363">
        <v>5</v>
      </c>
      <c r="L45" s="363">
        <v>2</v>
      </c>
      <c r="M45" s="363">
        <v>2</v>
      </c>
      <c r="N45" s="363">
        <v>0</v>
      </c>
      <c r="O45" s="364">
        <f t="shared" si="0"/>
        <v>37</v>
      </c>
      <c r="P45" s="364">
        <f t="shared" si="0"/>
        <v>16</v>
      </c>
      <c r="Q45" s="484">
        <f t="shared" si="1"/>
        <v>0.43243243243243246</v>
      </c>
    </row>
    <row r="46" spans="1:999" ht="15.75" thickBot="1" x14ac:dyDescent="0.3">
      <c r="A46" s="235">
        <v>3</v>
      </c>
      <c r="B46" s="236" t="s">
        <v>175</v>
      </c>
      <c r="C46" s="485">
        <v>1</v>
      </c>
      <c r="D46" s="485">
        <v>1</v>
      </c>
      <c r="E46" s="485">
        <v>16</v>
      </c>
      <c r="F46" s="485">
        <v>14</v>
      </c>
      <c r="G46" s="486">
        <v>6</v>
      </c>
      <c r="H46" s="486">
        <v>3</v>
      </c>
      <c r="I46" s="486">
        <v>7</v>
      </c>
      <c r="J46" s="486">
        <v>4</v>
      </c>
      <c r="K46" s="486">
        <v>8</v>
      </c>
      <c r="L46" s="486">
        <v>6</v>
      </c>
      <c r="M46" s="486">
        <v>2</v>
      </c>
      <c r="N46" s="486">
        <v>1</v>
      </c>
      <c r="O46" s="487">
        <f t="shared" si="0"/>
        <v>40</v>
      </c>
      <c r="P46" s="487">
        <f t="shared" si="0"/>
        <v>29</v>
      </c>
      <c r="Q46" s="488">
        <f t="shared" si="1"/>
        <v>0.72499999999999998</v>
      </c>
    </row>
    <row r="47" spans="1:999" s="83" customFormat="1" x14ac:dyDescent="0.25">
      <c r="A47" s="727" t="s">
        <v>118</v>
      </c>
      <c r="B47" s="727"/>
      <c r="C47" s="493">
        <f>SUM(C44:C46)</f>
        <v>3</v>
      </c>
      <c r="D47" s="493">
        <f t="shared" ref="D47:P47" si="3">SUM(D44:D46)</f>
        <v>3</v>
      </c>
      <c r="E47" s="493">
        <f t="shared" si="3"/>
        <v>48</v>
      </c>
      <c r="F47" s="493">
        <f t="shared" si="3"/>
        <v>33</v>
      </c>
      <c r="G47" s="493">
        <f t="shared" si="3"/>
        <v>18</v>
      </c>
      <c r="H47" s="493">
        <f t="shared" si="3"/>
        <v>7</v>
      </c>
      <c r="I47" s="493">
        <f t="shared" si="3"/>
        <v>21</v>
      </c>
      <c r="J47" s="493">
        <f t="shared" si="3"/>
        <v>13</v>
      </c>
      <c r="K47" s="493">
        <f t="shared" si="3"/>
        <v>19</v>
      </c>
      <c r="L47" s="493">
        <f t="shared" si="3"/>
        <v>12</v>
      </c>
      <c r="M47" s="493">
        <f t="shared" si="3"/>
        <v>6</v>
      </c>
      <c r="N47" s="493">
        <f t="shared" si="3"/>
        <v>2</v>
      </c>
      <c r="O47" s="493">
        <f t="shared" si="3"/>
        <v>115</v>
      </c>
      <c r="P47" s="493">
        <f t="shared" si="3"/>
        <v>70</v>
      </c>
      <c r="Q47" s="492">
        <f>AVERAGE(Q44:Q46)</f>
        <v>0.60510905642484591</v>
      </c>
      <c r="R47" s="490"/>
      <c r="S47" s="490"/>
      <c r="T47" s="490"/>
      <c r="U47" s="490"/>
      <c r="V47" s="490"/>
      <c r="W47" s="490"/>
      <c r="X47" s="490"/>
      <c r="Y47" s="491"/>
    </row>
  </sheetData>
  <sheetProtection algorithmName="SHA-512" hashValue="8pIwcvG6l6HVyDNm/u7X229n9gkkLnD7ZBaz16kNPOmt8V9kwbtB9TJcmX8SIPp/uf4XuLLHA8MMtLeG05aPqw==" saltValue="rQ7PQts2olah+YoWEpgHXw==" spinCount="100000" sheet="1" objects="1" selectLockedCells="1" selectUnlockedCells="1"/>
  <mergeCells count="12">
    <mergeCell ref="A42:B42"/>
    <mergeCell ref="A47:B47"/>
    <mergeCell ref="K2:L2"/>
    <mergeCell ref="M2:N2"/>
    <mergeCell ref="O2:Q3"/>
    <mergeCell ref="A1:A3"/>
    <mergeCell ref="B1:B3"/>
    <mergeCell ref="C1:Q1"/>
    <mergeCell ref="C2:D2"/>
    <mergeCell ref="E2:F2"/>
    <mergeCell ref="G2:H2"/>
    <mergeCell ref="I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L51"/>
  <sheetViews>
    <sheetView zoomScale="80" zoomScaleNormal="80" workbookViewId="0">
      <pane ySplit="6" topLeftCell="A32" activePane="bottomLeft" state="frozen"/>
      <selection activeCell="C44" sqref="C44"/>
      <selection pane="bottomLeft" activeCell="C44" sqref="C44"/>
    </sheetView>
  </sheetViews>
  <sheetFormatPr defaultRowHeight="15" x14ac:dyDescent="0.25"/>
  <cols>
    <col min="1" max="1" width="9.140625" style="8"/>
    <col min="2" max="2" width="42.140625" style="8" customWidth="1"/>
    <col min="3" max="3" width="21.85546875" style="8" customWidth="1"/>
    <col min="4" max="4" width="11.28515625" style="8" customWidth="1"/>
    <col min="5" max="5" width="15.28515625" style="8" customWidth="1"/>
    <col min="6" max="6" width="17.42578125" style="8" customWidth="1"/>
    <col min="7" max="7" width="31.140625" style="8" customWidth="1"/>
    <col min="8" max="8" width="21.5703125" style="8" customWidth="1"/>
    <col min="9" max="10" width="19.7109375" style="8" customWidth="1"/>
    <col min="11" max="11" width="9.140625" style="8" customWidth="1"/>
    <col min="12" max="12" width="11.28515625" style="8" customWidth="1"/>
    <col min="13" max="256" width="8.85546875" style="8"/>
    <col min="257" max="257" width="26" style="8" customWidth="1"/>
    <col min="258" max="258" width="21.140625" style="8" customWidth="1"/>
    <col min="259" max="259" width="11.140625" style="8" customWidth="1"/>
    <col min="260" max="260" width="11.28515625" style="8" customWidth="1"/>
    <col min="261" max="261" width="14.28515625" style="8" customWidth="1"/>
    <col min="262" max="262" width="16.28515625" style="8" customWidth="1"/>
    <col min="263" max="263" width="22.28515625" style="8" customWidth="1"/>
    <col min="264" max="264" width="17.42578125" style="8" customWidth="1"/>
    <col min="265" max="265" width="21.5703125" style="8" customWidth="1"/>
    <col min="266" max="266" width="14.28515625" style="8" customWidth="1"/>
    <col min="267" max="267" width="9.140625" style="8" customWidth="1"/>
    <col min="268" max="268" width="11.28515625" style="8" customWidth="1"/>
    <col min="269" max="512" width="8.85546875" style="8"/>
    <col min="513" max="513" width="26" style="8" customWidth="1"/>
    <col min="514" max="514" width="21.140625" style="8" customWidth="1"/>
    <col min="515" max="515" width="11.140625" style="8" customWidth="1"/>
    <col min="516" max="516" width="11.28515625" style="8" customWidth="1"/>
    <col min="517" max="517" width="14.28515625" style="8" customWidth="1"/>
    <col min="518" max="518" width="16.28515625" style="8" customWidth="1"/>
    <col min="519" max="519" width="22.28515625" style="8" customWidth="1"/>
    <col min="520" max="520" width="17.42578125" style="8" customWidth="1"/>
    <col min="521" max="521" width="21.5703125" style="8" customWidth="1"/>
    <col min="522" max="522" width="14.28515625" style="8" customWidth="1"/>
    <col min="523" max="523" width="9.140625" style="8" customWidth="1"/>
    <col min="524" max="524" width="11.28515625" style="8" customWidth="1"/>
    <col min="525" max="768" width="8.85546875" style="8"/>
    <col min="769" max="769" width="26" style="8" customWidth="1"/>
    <col min="770" max="770" width="21.140625" style="8" customWidth="1"/>
    <col min="771" max="771" width="11.140625" style="8" customWidth="1"/>
    <col min="772" max="772" width="11.28515625" style="8" customWidth="1"/>
    <col min="773" max="773" width="14.28515625" style="8" customWidth="1"/>
    <col min="774" max="774" width="16.28515625" style="8" customWidth="1"/>
    <col min="775" max="775" width="22.28515625" style="8" customWidth="1"/>
    <col min="776" max="776" width="17.42578125" style="8" customWidth="1"/>
    <col min="777" max="777" width="21.5703125" style="8" customWidth="1"/>
    <col min="778" max="778" width="14.28515625" style="8" customWidth="1"/>
    <col min="779" max="779" width="9.140625" style="8" customWidth="1"/>
    <col min="780" max="780" width="11.28515625" style="8" customWidth="1"/>
    <col min="781" max="1024" width="8.85546875" style="8"/>
    <col min="1025" max="1025" width="26" style="8" customWidth="1"/>
    <col min="1026" max="1026" width="21.140625" style="8" customWidth="1"/>
    <col min="1027" max="1027" width="11.140625" style="8" customWidth="1"/>
    <col min="1028" max="1028" width="11.28515625" style="8" customWidth="1"/>
    <col min="1029" max="1029" width="14.28515625" style="8" customWidth="1"/>
    <col min="1030" max="1030" width="16.28515625" style="8" customWidth="1"/>
    <col min="1031" max="1031" width="22.28515625" style="8" customWidth="1"/>
    <col min="1032" max="1032" width="17.42578125" style="8" customWidth="1"/>
    <col min="1033" max="1033" width="21.5703125" style="8" customWidth="1"/>
    <col min="1034" max="1034" width="14.28515625" style="8" customWidth="1"/>
    <col min="1035" max="1035" width="9.140625" style="8" customWidth="1"/>
    <col min="1036" max="1036" width="11.28515625" style="8" customWidth="1"/>
    <col min="1037" max="1280" width="8.85546875" style="8"/>
    <col min="1281" max="1281" width="26" style="8" customWidth="1"/>
    <col min="1282" max="1282" width="21.140625" style="8" customWidth="1"/>
    <col min="1283" max="1283" width="11.140625" style="8" customWidth="1"/>
    <col min="1284" max="1284" width="11.28515625" style="8" customWidth="1"/>
    <col min="1285" max="1285" width="14.28515625" style="8" customWidth="1"/>
    <col min="1286" max="1286" width="16.28515625" style="8" customWidth="1"/>
    <col min="1287" max="1287" width="22.28515625" style="8" customWidth="1"/>
    <col min="1288" max="1288" width="17.42578125" style="8" customWidth="1"/>
    <col min="1289" max="1289" width="21.5703125" style="8" customWidth="1"/>
    <col min="1290" max="1290" width="14.28515625" style="8" customWidth="1"/>
    <col min="1291" max="1291" width="9.140625" style="8" customWidth="1"/>
    <col min="1292" max="1292" width="11.28515625" style="8" customWidth="1"/>
    <col min="1293" max="1536" width="8.85546875" style="8"/>
    <col min="1537" max="1537" width="26" style="8" customWidth="1"/>
    <col min="1538" max="1538" width="21.140625" style="8" customWidth="1"/>
    <col min="1539" max="1539" width="11.140625" style="8" customWidth="1"/>
    <col min="1540" max="1540" width="11.28515625" style="8" customWidth="1"/>
    <col min="1541" max="1541" width="14.28515625" style="8" customWidth="1"/>
    <col min="1542" max="1542" width="16.28515625" style="8" customWidth="1"/>
    <col min="1543" max="1543" width="22.28515625" style="8" customWidth="1"/>
    <col min="1544" max="1544" width="17.42578125" style="8" customWidth="1"/>
    <col min="1545" max="1545" width="21.5703125" style="8" customWidth="1"/>
    <col min="1546" max="1546" width="14.28515625" style="8" customWidth="1"/>
    <col min="1547" max="1547" width="9.140625" style="8" customWidth="1"/>
    <col min="1548" max="1548" width="11.28515625" style="8" customWidth="1"/>
    <col min="1549" max="1792" width="8.85546875" style="8"/>
    <col min="1793" max="1793" width="26" style="8" customWidth="1"/>
    <col min="1794" max="1794" width="21.140625" style="8" customWidth="1"/>
    <col min="1795" max="1795" width="11.140625" style="8" customWidth="1"/>
    <col min="1796" max="1796" width="11.28515625" style="8" customWidth="1"/>
    <col min="1797" max="1797" width="14.28515625" style="8" customWidth="1"/>
    <col min="1798" max="1798" width="16.28515625" style="8" customWidth="1"/>
    <col min="1799" max="1799" width="22.28515625" style="8" customWidth="1"/>
    <col min="1800" max="1800" width="17.42578125" style="8" customWidth="1"/>
    <col min="1801" max="1801" width="21.5703125" style="8" customWidth="1"/>
    <col min="1802" max="1802" width="14.28515625" style="8" customWidth="1"/>
    <col min="1803" max="1803" width="9.140625" style="8" customWidth="1"/>
    <col min="1804" max="1804" width="11.28515625" style="8" customWidth="1"/>
    <col min="1805" max="2048" width="8.85546875" style="8"/>
    <col min="2049" max="2049" width="26" style="8" customWidth="1"/>
    <col min="2050" max="2050" width="21.140625" style="8" customWidth="1"/>
    <col min="2051" max="2051" width="11.140625" style="8" customWidth="1"/>
    <col min="2052" max="2052" width="11.28515625" style="8" customWidth="1"/>
    <col min="2053" max="2053" width="14.28515625" style="8" customWidth="1"/>
    <col min="2054" max="2054" width="16.28515625" style="8" customWidth="1"/>
    <col min="2055" max="2055" width="22.28515625" style="8" customWidth="1"/>
    <col min="2056" max="2056" width="17.42578125" style="8" customWidth="1"/>
    <col min="2057" max="2057" width="21.5703125" style="8" customWidth="1"/>
    <col min="2058" max="2058" width="14.28515625" style="8" customWidth="1"/>
    <col min="2059" max="2059" width="9.140625" style="8" customWidth="1"/>
    <col min="2060" max="2060" width="11.28515625" style="8" customWidth="1"/>
    <col min="2061" max="2304" width="8.85546875" style="8"/>
    <col min="2305" max="2305" width="26" style="8" customWidth="1"/>
    <col min="2306" max="2306" width="21.140625" style="8" customWidth="1"/>
    <col min="2307" max="2307" width="11.140625" style="8" customWidth="1"/>
    <col min="2308" max="2308" width="11.28515625" style="8" customWidth="1"/>
    <col min="2309" max="2309" width="14.28515625" style="8" customWidth="1"/>
    <col min="2310" max="2310" width="16.28515625" style="8" customWidth="1"/>
    <col min="2311" max="2311" width="22.28515625" style="8" customWidth="1"/>
    <col min="2312" max="2312" width="17.42578125" style="8" customWidth="1"/>
    <col min="2313" max="2313" width="21.5703125" style="8" customWidth="1"/>
    <col min="2314" max="2314" width="14.28515625" style="8" customWidth="1"/>
    <col min="2315" max="2315" width="9.140625" style="8" customWidth="1"/>
    <col min="2316" max="2316" width="11.28515625" style="8" customWidth="1"/>
    <col min="2317" max="2560" width="8.85546875" style="8"/>
    <col min="2561" max="2561" width="26" style="8" customWidth="1"/>
    <col min="2562" max="2562" width="21.140625" style="8" customWidth="1"/>
    <col min="2563" max="2563" width="11.140625" style="8" customWidth="1"/>
    <col min="2564" max="2564" width="11.28515625" style="8" customWidth="1"/>
    <col min="2565" max="2565" width="14.28515625" style="8" customWidth="1"/>
    <col min="2566" max="2566" width="16.28515625" style="8" customWidth="1"/>
    <col min="2567" max="2567" width="22.28515625" style="8" customWidth="1"/>
    <col min="2568" max="2568" width="17.42578125" style="8" customWidth="1"/>
    <col min="2569" max="2569" width="21.5703125" style="8" customWidth="1"/>
    <col min="2570" max="2570" width="14.28515625" style="8" customWidth="1"/>
    <col min="2571" max="2571" width="9.140625" style="8" customWidth="1"/>
    <col min="2572" max="2572" width="11.28515625" style="8" customWidth="1"/>
    <col min="2573" max="2816" width="8.85546875" style="8"/>
    <col min="2817" max="2817" width="26" style="8" customWidth="1"/>
    <col min="2818" max="2818" width="21.140625" style="8" customWidth="1"/>
    <col min="2819" max="2819" width="11.140625" style="8" customWidth="1"/>
    <col min="2820" max="2820" width="11.28515625" style="8" customWidth="1"/>
    <col min="2821" max="2821" width="14.28515625" style="8" customWidth="1"/>
    <col min="2822" max="2822" width="16.28515625" style="8" customWidth="1"/>
    <col min="2823" max="2823" width="22.28515625" style="8" customWidth="1"/>
    <col min="2824" max="2824" width="17.42578125" style="8" customWidth="1"/>
    <col min="2825" max="2825" width="21.5703125" style="8" customWidth="1"/>
    <col min="2826" max="2826" width="14.28515625" style="8" customWidth="1"/>
    <col min="2827" max="2827" width="9.140625" style="8" customWidth="1"/>
    <col min="2828" max="2828" width="11.28515625" style="8" customWidth="1"/>
    <col min="2829" max="3072" width="8.85546875" style="8"/>
    <col min="3073" max="3073" width="26" style="8" customWidth="1"/>
    <col min="3074" max="3074" width="21.140625" style="8" customWidth="1"/>
    <col min="3075" max="3075" width="11.140625" style="8" customWidth="1"/>
    <col min="3076" max="3076" width="11.28515625" style="8" customWidth="1"/>
    <col min="3077" max="3077" width="14.28515625" style="8" customWidth="1"/>
    <col min="3078" max="3078" width="16.28515625" style="8" customWidth="1"/>
    <col min="3079" max="3079" width="22.28515625" style="8" customWidth="1"/>
    <col min="3080" max="3080" width="17.42578125" style="8" customWidth="1"/>
    <col min="3081" max="3081" width="21.5703125" style="8" customWidth="1"/>
    <col min="3082" max="3082" width="14.28515625" style="8" customWidth="1"/>
    <col min="3083" max="3083" width="9.140625" style="8" customWidth="1"/>
    <col min="3084" max="3084" width="11.28515625" style="8" customWidth="1"/>
    <col min="3085" max="3328" width="8.85546875" style="8"/>
    <col min="3329" max="3329" width="26" style="8" customWidth="1"/>
    <col min="3330" max="3330" width="21.140625" style="8" customWidth="1"/>
    <col min="3331" max="3331" width="11.140625" style="8" customWidth="1"/>
    <col min="3332" max="3332" width="11.28515625" style="8" customWidth="1"/>
    <col min="3333" max="3333" width="14.28515625" style="8" customWidth="1"/>
    <col min="3334" max="3334" width="16.28515625" style="8" customWidth="1"/>
    <col min="3335" max="3335" width="22.28515625" style="8" customWidth="1"/>
    <col min="3336" max="3336" width="17.42578125" style="8" customWidth="1"/>
    <col min="3337" max="3337" width="21.5703125" style="8" customWidth="1"/>
    <col min="3338" max="3338" width="14.28515625" style="8" customWidth="1"/>
    <col min="3339" max="3339" width="9.140625" style="8" customWidth="1"/>
    <col min="3340" max="3340" width="11.28515625" style="8" customWidth="1"/>
    <col min="3341" max="3584" width="8.85546875" style="8"/>
    <col min="3585" max="3585" width="26" style="8" customWidth="1"/>
    <col min="3586" max="3586" width="21.140625" style="8" customWidth="1"/>
    <col min="3587" max="3587" width="11.140625" style="8" customWidth="1"/>
    <col min="3588" max="3588" width="11.28515625" style="8" customWidth="1"/>
    <col min="3589" max="3589" width="14.28515625" style="8" customWidth="1"/>
    <col min="3590" max="3590" width="16.28515625" style="8" customWidth="1"/>
    <col min="3591" max="3591" width="22.28515625" style="8" customWidth="1"/>
    <col min="3592" max="3592" width="17.42578125" style="8" customWidth="1"/>
    <col min="3593" max="3593" width="21.5703125" style="8" customWidth="1"/>
    <col min="3594" max="3594" width="14.28515625" style="8" customWidth="1"/>
    <col min="3595" max="3595" width="9.140625" style="8" customWidth="1"/>
    <col min="3596" max="3596" width="11.28515625" style="8" customWidth="1"/>
    <col min="3597" max="3840" width="8.85546875" style="8"/>
    <col min="3841" max="3841" width="26" style="8" customWidth="1"/>
    <col min="3842" max="3842" width="21.140625" style="8" customWidth="1"/>
    <col min="3843" max="3843" width="11.140625" style="8" customWidth="1"/>
    <col min="3844" max="3844" width="11.28515625" style="8" customWidth="1"/>
    <col min="3845" max="3845" width="14.28515625" style="8" customWidth="1"/>
    <col min="3846" max="3846" width="16.28515625" style="8" customWidth="1"/>
    <col min="3847" max="3847" width="22.28515625" style="8" customWidth="1"/>
    <col min="3848" max="3848" width="17.42578125" style="8" customWidth="1"/>
    <col min="3849" max="3849" width="21.5703125" style="8" customWidth="1"/>
    <col min="3850" max="3850" width="14.28515625" style="8" customWidth="1"/>
    <col min="3851" max="3851" width="9.140625" style="8" customWidth="1"/>
    <col min="3852" max="3852" width="11.28515625" style="8" customWidth="1"/>
    <col min="3853" max="4096" width="8.85546875" style="8"/>
    <col min="4097" max="4097" width="26" style="8" customWidth="1"/>
    <col min="4098" max="4098" width="21.140625" style="8" customWidth="1"/>
    <col min="4099" max="4099" width="11.140625" style="8" customWidth="1"/>
    <col min="4100" max="4100" width="11.28515625" style="8" customWidth="1"/>
    <col min="4101" max="4101" width="14.28515625" style="8" customWidth="1"/>
    <col min="4102" max="4102" width="16.28515625" style="8" customWidth="1"/>
    <col min="4103" max="4103" width="22.28515625" style="8" customWidth="1"/>
    <col min="4104" max="4104" width="17.42578125" style="8" customWidth="1"/>
    <col min="4105" max="4105" width="21.5703125" style="8" customWidth="1"/>
    <col min="4106" max="4106" width="14.28515625" style="8" customWidth="1"/>
    <col min="4107" max="4107" width="9.140625" style="8" customWidth="1"/>
    <col min="4108" max="4108" width="11.28515625" style="8" customWidth="1"/>
    <col min="4109" max="4352" width="8.85546875" style="8"/>
    <col min="4353" max="4353" width="26" style="8" customWidth="1"/>
    <col min="4354" max="4354" width="21.140625" style="8" customWidth="1"/>
    <col min="4355" max="4355" width="11.140625" style="8" customWidth="1"/>
    <col min="4356" max="4356" width="11.28515625" style="8" customWidth="1"/>
    <col min="4357" max="4357" width="14.28515625" style="8" customWidth="1"/>
    <col min="4358" max="4358" width="16.28515625" style="8" customWidth="1"/>
    <col min="4359" max="4359" width="22.28515625" style="8" customWidth="1"/>
    <col min="4360" max="4360" width="17.42578125" style="8" customWidth="1"/>
    <col min="4361" max="4361" width="21.5703125" style="8" customWidth="1"/>
    <col min="4362" max="4362" width="14.28515625" style="8" customWidth="1"/>
    <col min="4363" max="4363" width="9.140625" style="8" customWidth="1"/>
    <col min="4364" max="4364" width="11.28515625" style="8" customWidth="1"/>
    <col min="4365" max="4608" width="8.85546875" style="8"/>
    <col min="4609" max="4609" width="26" style="8" customWidth="1"/>
    <col min="4610" max="4610" width="21.140625" style="8" customWidth="1"/>
    <col min="4611" max="4611" width="11.140625" style="8" customWidth="1"/>
    <col min="4612" max="4612" width="11.28515625" style="8" customWidth="1"/>
    <col min="4613" max="4613" width="14.28515625" style="8" customWidth="1"/>
    <col min="4614" max="4614" width="16.28515625" style="8" customWidth="1"/>
    <col min="4615" max="4615" width="22.28515625" style="8" customWidth="1"/>
    <col min="4616" max="4616" width="17.42578125" style="8" customWidth="1"/>
    <col min="4617" max="4617" width="21.5703125" style="8" customWidth="1"/>
    <col min="4618" max="4618" width="14.28515625" style="8" customWidth="1"/>
    <col min="4619" max="4619" width="9.140625" style="8" customWidth="1"/>
    <col min="4620" max="4620" width="11.28515625" style="8" customWidth="1"/>
    <col min="4621" max="4864" width="8.85546875" style="8"/>
    <col min="4865" max="4865" width="26" style="8" customWidth="1"/>
    <col min="4866" max="4866" width="21.140625" style="8" customWidth="1"/>
    <col min="4867" max="4867" width="11.140625" style="8" customWidth="1"/>
    <col min="4868" max="4868" width="11.28515625" style="8" customWidth="1"/>
    <col min="4869" max="4869" width="14.28515625" style="8" customWidth="1"/>
    <col min="4870" max="4870" width="16.28515625" style="8" customWidth="1"/>
    <col min="4871" max="4871" width="22.28515625" style="8" customWidth="1"/>
    <col min="4872" max="4872" width="17.42578125" style="8" customWidth="1"/>
    <col min="4873" max="4873" width="21.5703125" style="8" customWidth="1"/>
    <col min="4874" max="4874" width="14.28515625" style="8" customWidth="1"/>
    <col min="4875" max="4875" width="9.140625" style="8" customWidth="1"/>
    <col min="4876" max="4876" width="11.28515625" style="8" customWidth="1"/>
    <col min="4877" max="5120" width="8.85546875" style="8"/>
    <col min="5121" max="5121" width="26" style="8" customWidth="1"/>
    <col min="5122" max="5122" width="21.140625" style="8" customWidth="1"/>
    <col min="5123" max="5123" width="11.140625" style="8" customWidth="1"/>
    <col min="5124" max="5124" width="11.28515625" style="8" customWidth="1"/>
    <col min="5125" max="5125" width="14.28515625" style="8" customWidth="1"/>
    <col min="5126" max="5126" width="16.28515625" style="8" customWidth="1"/>
    <col min="5127" max="5127" width="22.28515625" style="8" customWidth="1"/>
    <col min="5128" max="5128" width="17.42578125" style="8" customWidth="1"/>
    <col min="5129" max="5129" width="21.5703125" style="8" customWidth="1"/>
    <col min="5130" max="5130" width="14.28515625" style="8" customWidth="1"/>
    <col min="5131" max="5131" width="9.140625" style="8" customWidth="1"/>
    <col min="5132" max="5132" width="11.28515625" style="8" customWidth="1"/>
    <col min="5133" max="5376" width="8.85546875" style="8"/>
    <col min="5377" max="5377" width="26" style="8" customWidth="1"/>
    <col min="5378" max="5378" width="21.140625" style="8" customWidth="1"/>
    <col min="5379" max="5379" width="11.140625" style="8" customWidth="1"/>
    <col min="5380" max="5380" width="11.28515625" style="8" customWidth="1"/>
    <col min="5381" max="5381" width="14.28515625" style="8" customWidth="1"/>
    <col min="5382" max="5382" width="16.28515625" style="8" customWidth="1"/>
    <col min="5383" max="5383" width="22.28515625" style="8" customWidth="1"/>
    <col min="5384" max="5384" width="17.42578125" style="8" customWidth="1"/>
    <col min="5385" max="5385" width="21.5703125" style="8" customWidth="1"/>
    <col min="5386" max="5386" width="14.28515625" style="8" customWidth="1"/>
    <col min="5387" max="5387" width="9.140625" style="8" customWidth="1"/>
    <col min="5388" max="5388" width="11.28515625" style="8" customWidth="1"/>
    <col min="5389" max="5632" width="8.85546875" style="8"/>
    <col min="5633" max="5633" width="26" style="8" customWidth="1"/>
    <col min="5634" max="5634" width="21.140625" style="8" customWidth="1"/>
    <col min="5635" max="5635" width="11.140625" style="8" customWidth="1"/>
    <col min="5636" max="5636" width="11.28515625" style="8" customWidth="1"/>
    <col min="5637" max="5637" width="14.28515625" style="8" customWidth="1"/>
    <col min="5638" max="5638" width="16.28515625" style="8" customWidth="1"/>
    <col min="5639" max="5639" width="22.28515625" style="8" customWidth="1"/>
    <col min="5640" max="5640" width="17.42578125" style="8" customWidth="1"/>
    <col min="5641" max="5641" width="21.5703125" style="8" customWidth="1"/>
    <col min="5642" max="5642" width="14.28515625" style="8" customWidth="1"/>
    <col min="5643" max="5643" width="9.140625" style="8" customWidth="1"/>
    <col min="5644" max="5644" width="11.28515625" style="8" customWidth="1"/>
    <col min="5645" max="5888" width="8.85546875" style="8"/>
    <col min="5889" max="5889" width="26" style="8" customWidth="1"/>
    <col min="5890" max="5890" width="21.140625" style="8" customWidth="1"/>
    <col min="5891" max="5891" width="11.140625" style="8" customWidth="1"/>
    <col min="5892" max="5892" width="11.28515625" style="8" customWidth="1"/>
    <col min="5893" max="5893" width="14.28515625" style="8" customWidth="1"/>
    <col min="5894" max="5894" width="16.28515625" style="8" customWidth="1"/>
    <col min="5895" max="5895" width="22.28515625" style="8" customWidth="1"/>
    <col min="5896" max="5896" width="17.42578125" style="8" customWidth="1"/>
    <col min="5897" max="5897" width="21.5703125" style="8" customWidth="1"/>
    <col min="5898" max="5898" width="14.28515625" style="8" customWidth="1"/>
    <col min="5899" max="5899" width="9.140625" style="8" customWidth="1"/>
    <col min="5900" max="5900" width="11.28515625" style="8" customWidth="1"/>
    <col min="5901" max="6144" width="8.85546875" style="8"/>
    <col min="6145" max="6145" width="26" style="8" customWidth="1"/>
    <col min="6146" max="6146" width="21.140625" style="8" customWidth="1"/>
    <col min="6147" max="6147" width="11.140625" style="8" customWidth="1"/>
    <col min="6148" max="6148" width="11.28515625" style="8" customWidth="1"/>
    <col min="6149" max="6149" width="14.28515625" style="8" customWidth="1"/>
    <col min="6150" max="6150" width="16.28515625" style="8" customWidth="1"/>
    <col min="6151" max="6151" width="22.28515625" style="8" customWidth="1"/>
    <col min="6152" max="6152" width="17.42578125" style="8" customWidth="1"/>
    <col min="6153" max="6153" width="21.5703125" style="8" customWidth="1"/>
    <col min="6154" max="6154" width="14.28515625" style="8" customWidth="1"/>
    <col min="6155" max="6155" width="9.140625" style="8" customWidth="1"/>
    <col min="6156" max="6156" width="11.28515625" style="8" customWidth="1"/>
    <col min="6157" max="6400" width="8.85546875" style="8"/>
    <col min="6401" max="6401" width="26" style="8" customWidth="1"/>
    <col min="6402" max="6402" width="21.140625" style="8" customWidth="1"/>
    <col min="6403" max="6403" width="11.140625" style="8" customWidth="1"/>
    <col min="6404" max="6404" width="11.28515625" style="8" customWidth="1"/>
    <col min="6405" max="6405" width="14.28515625" style="8" customWidth="1"/>
    <col min="6406" max="6406" width="16.28515625" style="8" customWidth="1"/>
    <col min="6407" max="6407" width="22.28515625" style="8" customWidth="1"/>
    <col min="6408" max="6408" width="17.42578125" style="8" customWidth="1"/>
    <col min="6409" max="6409" width="21.5703125" style="8" customWidth="1"/>
    <col min="6410" max="6410" width="14.28515625" style="8" customWidth="1"/>
    <col min="6411" max="6411" width="9.140625" style="8" customWidth="1"/>
    <col min="6412" max="6412" width="11.28515625" style="8" customWidth="1"/>
    <col min="6413" max="6656" width="8.85546875" style="8"/>
    <col min="6657" max="6657" width="26" style="8" customWidth="1"/>
    <col min="6658" max="6658" width="21.140625" style="8" customWidth="1"/>
    <col min="6659" max="6659" width="11.140625" style="8" customWidth="1"/>
    <col min="6660" max="6660" width="11.28515625" style="8" customWidth="1"/>
    <col min="6661" max="6661" width="14.28515625" style="8" customWidth="1"/>
    <col min="6662" max="6662" width="16.28515625" style="8" customWidth="1"/>
    <col min="6663" max="6663" width="22.28515625" style="8" customWidth="1"/>
    <col min="6664" max="6664" width="17.42578125" style="8" customWidth="1"/>
    <col min="6665" max="6665" width="21.5703125" style="8" customWidth="1"/>
    <col min="6666" max="6666" width="14.28515625" style="8" customWidth="1"/>
    <col min="6667" max="6667" width="9.140625" style="8" customWidth="1"/>
    <col min="6668" max="6668" width="11.28515625" style="8" customWidth="1"/>
    <col min="6669" max="6912" width="8.85546875" style="8"/>
    <col min="6913" max="6913" width="26" style="8" customWidth="1"/>
    <col min="6914" max="6914" width="21.140625" style="8" customWidth="1"/>
    <col min="6915" max="6915" width="11.140625" style="8" customWidth="1"/>
    <col min="6916" max="6916" width="11.28515625" style="8" customWidth="1"/>
    <col min="6917" max="6917" width="14.28515625" style="8" customWidth="1"/>
    <col min="6918" max="6918" width="16.28515625" style="8" customWidth="1"/>
    <col min="6919" max="6919" width="22.28515625" style="8" customWidth="1"/>
    <col min="6920" max="6920" width="17.42578125" style="8" customWidth="1"/>
    <col min="6921" max="6921" width="21.5703125" style="8" customWidth="1"/>
    <col min="6922" max="6922" width="14.28515625" style="8" customWidth="1"/>
    <col min="6923" max="6923" width="9.140625" style="8" customWidth="1"/>
    <col min="6924" max="6924" width="11.28515625" style="8" customWidth="1"/>
    <col min="6925" max="7168" width="8.85546875" style="8"/>
    <col min="7169" max="7169" width="26" style="8" customWidth="1"/>
    <col min="7170" max="7170" width="21.140625" style="8" customWidth="1"/>
    <col min="7171" max="7171" width="11.140625" style="8" customWidth="1"/>
    <col min="7172" max="7172" width="11.28515625" style="8" customWidth="1"/>
    <col min="7173" max="7173" width="14.28515625" style="8" customWidth="1"/>
    <col min="7174" max="7174" width="16.28515625" style="8" customWidth="1"/>
    <col min="7175" max="7175" width="22.28515625" style="8" customWidth="1"/>
    <col min="7176" max="7176" width="17.42578125" style="8" customWidth="1"/>
    <col min="7177" max="7177" width="21.5703125" style="8" customWidth="1"/>
    <col min="7178" max="7178" width="14.28515625" style="8" customWidth="1"/>
    <col min="7179" max="7179" width="9.140625" style="8" customWidth="1"/>
    <col min="7180" max="7180" width="11.28515625" style="8" customWidth="1"/>
    <col min="7181" max="7424" width="8.85546875" style="8"/>
    <col min="7425" max="7425" width="26" style="8" customWidth="1"/>
    <col min="7426" max="7426" width="21.140625" style="8" customWidth="1"/>
    <col min="7427" max="7427" width="11.140625" style="8" customWidth="1"/>
    <col min="7428" max="7428" width="11.28515625" style="8" customWidth="1"/>
    <col min="7429" max="7429" width="14.28515625" style="8" customWidth="1"/>
    <col min="7430" max="7430" width="16.28515625" style="8" customWidth="1"/>
    <col min="7431" max="7431" width="22.28515625" style="8" customWidth="1"/>
    <col min="7432" max="7432" width="17.42578125" style="8" customWidth="1"/>
    <col min="7433" max="7433" width="21.5703125" style="8" customWidth="1"/>
    <col min="7434" max="7434" width="14.28515625" style="8" customWidth="1"/>
    <col min="7435" max="7435" width="9.140625" style="8" customWidth="1"/>
    <col min="7436" max="7436" width="11.28515625" style="8" customWidth="1"/>
    <col min="7437" max="7680" width="8.85546875" style="8"/>
    <col min="7681" max="7681" width="26" style="8" customWidth="1"/>
    <col min="7682" max="7682" width="21.140625" style="8" customWidth="1"/>
    <col min="7683" max="7683" width="11.140625" style="8" customWidth="1"/>
    <col min="7684" max="7684" width="11.28515625" style="8" customWidth="1"/>
    <col min="7685" max="7685" width="14.28515625" style="8" customWidth="1"/>
    <col min="7686" max="7686" width="16.28515625" style="8" customWidth="1"/>
    <col min="7687" max="7687" width="22.28515625" style="8" customWidth="1"/>
    <col min="7688" max="7688" width="17.42578125" style="8" customWidth="1"/>
    <col min="7689" max="7689" width="21.5703125" style="8" customWidth="1"/>
    <col min="7690" max="7690" width="14.28515625" style="8" customWidth="1"/>
    <col min="7691" max="7691" width="9.140625" style="8" customWidth="1"/>
    <col min="7692" max="7692" width="11.28515625" style="8" customWidth="1"/>
    <col min="7693" max="7936" width="8.85546875" style="8"/>
    <col min="7937" max="7937" width="26" style="8" customWidth="1"/>
    <col min="7938" max="7938" width="21.140625" style="8" customWidth="1"/>
    <col min="7939" max="7939" width="11.140625" style="8" customWidth="1"/>
    <col min="7940" max="7940" width="11.28515625" style="8" customWidth="1"/>
    <col min="7941" max="7941" width="14.28515625" style="8" customWidth="1"/>
    <col min="7942" max="7942" width="16.28515625" style="8" customWidth="1"/>
    <col min="7943" max="7943" width="22.28515625" style="8" customWidth="1"/>
    <col min="7944" max="7944" width="17.42578125" style="8" customWidth="1"/>
    <col min="7945" max="7945" width="21.5703125" style="8" customWidth="1"/>
    <col min="7946" max="7946" width="14.28515625" style="8" customWidth="1"/>
    <col min="7947" max="7947" width="9.140625" style="8" customWidth="1"/>
    <col min="7948" max="7948" width="11.28515625" style="8" customWidth="1"/>
    <col min="7949" max="8192" width="8.85546875" style="8"/>
    <col min="8193" max="8193" width="26" style="8" customWidth="1"/>
    <col min="8194" max="8194" width="21.140625" style="8" customWidth="1"/>
    <col min="8195" max="8195" width="11.140625" style="8" customWidth="1"/>
    <col min="8196" max="8196" width="11.28515625" style="8" customWidth="1"/>
    <col min="8197" max="8197" width="14.28515625" style="8" customWidth="1"/>
    <col min="8198" max="8198" width="16.28515625" style="8" customWidth="1"/>
    <col min="8199" max="8199" width="22.28515625" style="8" customWidth="1"/>
    <col min="8200" max="8200" width="17.42578125" style="8" customWidth="1"/>
    <col min="8201" max="8201" width="21.5703125" style="8" customWidth="1"/>
    <col min="8202" max="8202" width="14.28515625" style="8" customWidth="1"/>
    <col min="8203" max="8203" width="9.140625" style="8" customWidth="1"/>
    <col min="8204" max="8204" width="11.28515625" style="8" customWidth="1"/>
    <col min="8205" max="8448" width="8.85546875" style="8"/>
    <col min="8449" max="8449" width="26" style="8" customWidth="1"/>
    <col min="8450" max="8450" width="21.140625" style="8" customWidth="1"/>
    <col min="8451" max="8451" width="11.140625" style="8" customWidth="1"/>
    <col min="8452" max="8452" width="11.28515625" style="8" customWidth="1"/>
    <col min="8453" max="8453" width="14.28515625" style="8" customWidth="1"/>
    <col min="8454" max="8454" width="16.28515625" style="8" customWidth="1"/>
    <col min="8455" max="8455" width="22.28515625" style="8" customWidth="1"/>
    <col min="8456" max="8456" width="17.42578125" style="8" customWidth="1"/>
    <col min="8457" max="8457" width="21.5703125" style="8" customWidth="1"/>
    <col min="8458" max="8458" width="14.28515625" style="8" customWidth="1"/>
    <col min="8459" max="8459" width="9.140625" style="8" customWidth="1"/>
    <col min="8460" max="8460" width="11.28515625" style="8" customWidth="1"/>
    <col min="8461" max="8704" width="8.85546875" style="8"/>
    <col min="8705" max="8705" width="26" style="8" customWidth="1"/>
    <col min="8706" max="8706" width="21.140625" style="8" customWidth="1"/>
    <col min="8707" max="8707" width="11.140625" style="8" customWidth="1"/>
    <col min="8708" max="8708" width="11.28515625" style="8" customWidth="1"/>
    <col min="8709" max="8709" width="14.28515625" style="8" customWidth="1"/>
    <col min="8710" max="8710" width="16.28515625" style="8" customWidth="1"/>
    <col min="8711" max="8711" width="22.28515625" style="8" customWidth="1"/>
    <col min="8712" max="8712" width="17.42578125" style="8" customWidth="1"/>
    <col min="8713" max="8713" width="21.5703125" style="8" customWidth="1"/>
    <col min="8714" max="8714" width="14.28515625" style="8" customWidth="1"/>
    <col min="8715" max="8715" width="9.140625" style="8" customWidth="1"/>
    <col min="8716" max="8716" width="11.28515625" style="8" customWidth="1"/>
    <col min="8717" max="8960" width="8.85546875" style="8"/>
    <col min="8961" max="8961" width="26" style="8" customWidth="1"/>
    <col min="8962" max="8962" width="21.140625" style="8" customWidth="1"/>
    <col min="8963" max="8963" width="11.140625" style="8" customWidth="1"/>
    <col min="8964" max="8964" width="11.28515625" style="8" customWidth="1"/>
    <col min="8965" max="8965" width="14.28515625" style="8" customWidth="1"/>
    <col min="8966" max="8966" width="16.28515625" style="8" customWidth="1"/>
    <col min="8967" max="8967" width="22.28515625" style="8" customWidth="1"/>
    <col min="8968" max="8968" width="17.42578125" style="8" customWidth="1"/>
    <col min="8969" max="8969" width="21.5703125" style="8" customWidth="1"/>
    <col min="8970" max="8970" width="14.28515625" style="8" customWidth="1"/>
    <col min="8971" max="8971" width="9.140625" style="8" customWidth="1"/>
    <col min="8972" max="8972" width="11.28515625" style="8" customWidth="1"/>
    <col min="8973" max="9216" width="8.85546875" style="8"/>
    <col min="9217" max="9217" width="26" style="8" customWidth="1"/>
    <col min="9218" max="9218" width="21.140625" style="8" customWidth="1"/>
    <col min="9219" max="9219" width="11.140625" style="8" customWidth="1"/>
    <col min="9220" max="9220" width="11.28515625" style="8" customWidth="1"/>
    <col min="9221" max="9221" width="14.28515625" style="8" customWidth="1"/>
    <col min="9222" max="9222" width="16.28515625" style="8" customWidth="1"/>
    <col min="9223" max="9223" width="22.28515625" style="8" customWidth="1"/>
    <col min="9224" max="9224" width="17.42578125" style="8" customWidth="1"/>
    <col min="9225" max="9225" width="21.5703125" style="8" customWidth="1"/>
    <col min="9226" max="9226" width="14.28515625" style="8" customWidth="1"/>
    <col min="9227" max="9227" width="9.140625" style="8" customWidth="1"/>
    <col min="9228" max="9228" width="11.28515625" style="8" customWidth="1"/>
    <col min="9229" max="9472" width="8.85546875" style="8"/>
    <col min="9473" max="9473" width="26" style="8" customWidth="1"/>
    <col min="9474" max="9474" width="21.140625" style="8" customWidth="1"/>
    <col min="9475" max="9475" width="11.140625" style="8" customWidth="1"/>
    <col min="9476" max="9476" width="11.28515625" style="8" customWidth="1"/>
    <col min="9477" max="9477" width="14.28515625" style="8" customWidth="1"/>
    <col min="9478" max="9478" width="16.28515625" style="8" customWidth="1"/>
    <col min="9479" max="9479" width="22.28515625" style="8" customWidth="1"/>
    <col min="9480" max="9480" width="17.42578125" style="8" customWidth="1"/>
    <col min="9481" max="9481" width="21.5703125" style="8" customWidth="1"/>
    <col min="9482" max="9482" width="14.28515625" style="8" customWidth="1"/>
    <col min="9483" max="9483" width="9.140625" style="8" customWidth="1"/>
    <col min="9484" max="9484" width="11.28515625" style="8" customWidth="1"/>
    <col min="9485" max="9728" width="8.85546875" style="8"/>
    <col min="9729" max="9729" width="26" style="8" customWidth="1"/>
    <col min="9730" max="9730" width="21.140625" style="8" customWidth="1"/>
    <col min="9731" max="9731" width="11.140625" style="8" customWidth="1"/>
    <col min="9732" max="9732" width="11.28515625" style="8" customWidth="1"/>
    <col min="9733" max="9733" width="14.28515625" style="8" customWidth="1"/>
    <col min="9734" max="9734" width="16.28515625" style="8" customWidth="1"/>
    <col min="9735" max="9735" width="22.28515625" style="8" customWidth="1"/>
    <col min="9736" max="9736" width="17.42578125" style="8" customWidth="1"/>
    <col min="9737" max="9737" width="21.5703125" style="8" customWidth="1"/>
    <col min="9738" max="9738" width="14.28515625" style="8" customWidth="1"/>
    <col min="9739" max="9739" width="9.140625" style="8" customWidth="1"/>
    <col min="9740" max="9740" width="11.28515625" style="8" customWidth="1"/>
    <col min="9741" max="9984" width="8.85546875" style="8"/>
    <col min="9985" max="9985" width="26" style="8" customWidth="1"/>
    <col min="9986" max="9986" width="21.140625" style="8" customWidth="1"/>
    <col min="9987" max="9987" width="11.140625" style="8" customWidth="1"/>
    <col min="9988" max="9988" width="11.28515625" style="8" customWidth="1"/>
    <col min="9989" max="9989" width="14.28515625" style="8" customWidth="1"/>
    <col min="9990" max="9990" width="16.28515625" style="8" customWidth="1"/>
    <col min="9991" max="9991" width="22.28515625" style="8" customWidth="1"/>
    <col min="9992" max="9992" width="17.42578125" style="8" customWidth="1"/>
    <col min="9993" max="9993" width="21.5703125" style="8" customWidth="1"/>
    <col min="9994" max="9994" width="14.28515625" style="8" customWidth="1"/>
    <col min="9995" max="9995" width="9.140625" style="8" customWidth="1"/>
    <col min="9996" max="9996" width="11.28515625" style="8" customWidth="1"/>
    <col min="9997" max="10240" width="8.85546875" style="8"/>
    <col min="10241" max="10241" width="26" style="8" customWidth="1"/>
    <col min="10242" max="10242" width="21.140625" style="8" customWidth="1"/>
    <col min="10243" max="10243" width="11.140625" style="8" customWidth="1"/>
    <col min="10244" max="10244" width="11.28515625" style="8" customWidth="1"/>
    <col min="10245" max="10245" width="14.28515625" style="8" customWidth="1"/>
    <col min="10246" max="10246" width="16.28515625" style="8" customWidth="1"/>
    <col min="10247" max="10247" width="22.28515625" style="8" customWidth="1"/>
    <col min="10248" max="10248" width="17.42578125" style="8" customWidth="1"/>
    <col min="10249" max="10249" width="21.5703125" style="8" customWidth="1"/>
    <col min="10250" max="10250" width="14.28515625" style="8" customWidth="1"/>
    <col min="10251" max="10251" width="9.140625" style="8" customWidth="1"/>
    <col min="10252" max="10252" width="11.28515625" style="8" customWidth="1"/>
    <col min="10253" max="10496" width="8.85546875" style="8"/>
    <col min="10497" max="10497" width="26" style="8" customWidth="1"/>
    <col min="10498" max="10498" width="21.140625" style="8" customWidth="1"/>
    <col min="10499" max="10499" width="11.140625" style="8" customWidth="1"/>
    <col min="10500" max="10500" width="11.28515625" style="8" customWidth="1"/>
    <col min="10501" max="10501" width="14.28515625" style="8" customWidth="1"/>
    <col min="10502" max="10502" width="16.28515625" style="8" customWidth="1"/>
    <col min="10503" max="10503" width="22.28515625" style="8" customWidth="1"/>
    <col min="10504" max="10504" width="17.42578125" style="8" customWidth="1"/>
    <col min="10505" max="10505" width="21.5703125" style="8" customWidth="1"/>
    <col min="10506" max="10506" width="14.28515625" style="8" customWidth="1"/>
    <col min="10507" max="10507" width="9.140625" style="8" customWidth="1"/>
    <col min="10508" max="10508" width="11.28515625" style="8" customWidth="1"/>
    <col min="10509" max="10752" width="8.85546875" style="8"/>
    <col min="10753" max="10753" width="26" style="8" customWidth="1"/>
    <col min="10754" max="10754" width="21.140625" style="8" customWidth="1"/>
    <col min="10755" max="10755" width="11.140625" style="8" customWidth="1"/>
    <col min="10756" max="10756" width="11.28515625" style="8" customWidth="1"/>
    <col min="10757" max="10757" width="14.28515625" style="8" customWidth="1"/>
    <col min="10758" max="10758" width="16.28515625" style="8" customWidth="1"/>
    <col min="10759" max="10759" width="22.28515625" style="8" customWidth="1"/>
    <col min="10760" max="10760" width="17.42578125" style="8" customWidth="1"/>
    <col min="10761" max="10761" width="21.5703125" style="8" customWidth="1"/>
    <col min="10762" max="10762" width="14.28515625" style="8" customWidth="1"/>
    <col min="10763" max="10763" width="9.140625" style="8" customWidth="1"/>
    <col min="10764" max="10764" width="11.28515625" style="8" customWidth="1"/>
    <col min="10765" max="11008" width="8.85546875" style="8"/>
    <col min="11009" max="11009" width="26" style="8" customWidth="1"/>
    <col min="11010" max="11010" width="21.140625" style="8" customWidth="1"/>
    <col min="11011" max="11011" width="11.140625" style="8" customWidth="1"/>
    <col min="11012" max="11012" width="11.28515625" style="8" customWidth="1"/>
    <col min="11013" max="11013" width="14.28515625" style="8" customWidth="1"/>
    <col min="11014" max="11014" width="16.28515625" style="8" customWidth="1"/>
    <col min="11015" max="11015" width="22.28515625" style="8" customWidth="1"/>
    <col min="11016" max="11016" width="17.42578125" style="8" customWidth="1"/>
    <col min="11017" max="11017" width="21.5703125" style="8" customWidth="1"/>
    <col min="11018" max="11018" width="14.28515625" style="8" customWidth="1"/>
    <col min="11019" max="11019" width="9.140625" style="8" customWidth="1"/>
    <col min="11020" max="11020" width="11.28515625" style="8" customWidth="1"/>
    <col min="11021" max="11264" width="8.85546875" style="8"/>
    <col min="11265" max="11265" width="26" style="8" customWidth="1"/>
    <col min="11266" max="11266" width="21.140625" style="8" customWidth="1"/>
    <col min="11267" max="11267" width="11.140625" style="8" customWidth="1"/>
    <col min="11268" max="11268" width="11.28515625" style="8" customWidth="1"/>
    <col min="11269" max="11269" width="14.28515625" style="8" customWidth="1"/>
    <col min="11270" max="11270" width="16.28515625" style="8" customWidth="1"/>
    <col min="11271" max="11271" width="22.28515625" style="8" customWidth="1"/>
    <col min="11272" max="11272" width="17.42578125" style="8" customWidth="1"/>
    <col min="11273" max="11273" width="21.5703125" style="8" customWidth="1"/>
    <col min="11274" max="11274" width="14.28515625" style="8" customWidth="1"/>
    <col min="11275" max="11275" width="9.140625" style="8" customWidth="1"/>
    <col min="11276" max="11276" width="11.28515625" style="8" customWidth="1"/>
    <col min="11277" max="11520" width="8.85546875" style="8"/>
    <col min="11521" max="11521" width="26" style="8" customWidth="1"/>
    <col min="11522" max="11522" width="21.140625" style="8" customWidth="1"/>
    <col min="11523" max="11523" width="11.140625" style="8" customWidth="1"/>
    <col min="11524" max="11524" width="11.28515625" style="8" customWidth="1"/>
    <col min="11525" max="11525" width="14.28515625" style="8" customWidth="1"/>
    <col min="11526" max="11526" width="16.28515625" style="8" customWidth="1"/>
    <col min="11527" max="11527" width="22.28515625" style="8" customWidth="1"/>
    <col min="11528" max="11528" width="17.42578125" style="8" customWidth="1"/>
    <col min="11529" max="11529" width="21.5703125" style="8" customWidth="1"/>
    <col min="11530" max="11530" width="14.28515625" style="8" customWidth="1"/>
    <col min="11531" max="11531" width="9.140625" style="8" customWidth="1"/>
    <col min="11532" max="11532" width="11.28515625" style="8" customWidth="1"/>
    <col min="11533" max="11776" width="8.85546875" style="8"/>
    <col min="11777" max="11777" width="26" style="8" customWidth="1"/>
    <col min="11778" max="11778" width="21.140625" style="8" customWidth="1"/>
    <col min="11779" max="11779" width="11.140625" style="8" customWidth="1"/>
    <col min="11780" max="11780" width="11.28515625" style="8" customWidth="1"/>
    <col min="11781" max="11781" width="14.28515625" style="8" customWidth="1"/>
    <col min="11782" max="11782" width="16.28515625" style="8" customWidth="1"/>
    <col min="11783" max="11783" width="22.28515625" style="8" customWidth="1"/>
    <col min="11784" max="11784" width="17.42578125" style="8" customWidth="1"/>
    <col min="11785" max="11785" width="21.5703125" style="8" customWidth="1"/>
    <col min="11786" max="11786" width="14.28515625" style="8" customWidth="1"/>
    <col min="11787" max="11787" width="9.140625" style="8" customWidth="1"/>
    <col min="11788" max="11788" width="11.28515625" style="8" customWidth="1"/>
    <col min="11789" max="12032" width="8.85546875" style="8"/>
    <col min="12033" max="12033" width="26" style="8" customWidth="1"/>
    <col min="12034" max="12034" width="21.140625" style="8" customWidth="1"/>
    <col min="12035" max="12035" width="11.140625" style="8" customWidth="1"/>
    <col min="12036" max="12036" width="11.28515625" style="8" customWidth="1"/>
    <col min="12037" max="12037" width="14.28515625" style="8" customWidth="1"/>
    <col min="12038" max="12038" width="16.28515625" style="8" customWidth="1"/>
    <col min="12039" max="12039" width="22.28515625" style="8" customWidth="1"/>
    <col min="12040" max="12040" width="17.42578125" style="8" customWidth="1"/>
    <col min="12041" max="12041" width="21.5703125" style="8" customWidth="1"/>
    <col min="12042" max="12042" width="14.28515625" style="8" customWidth="1"/>
    <col min="12043" max="12043" width="9.140625" style="8" customWidth="1"/>
    <col min="12044" max="12044" width="11.28515625" style="8" customWidth="1"/>
    <col min="12045" max="12288" width="8.85546875" style="8"/>
    <col min="12289" max="12289" width="26" style="8" customWidth="1"/>
    <col min="12290" max="12290" width="21.140625" style="8" customWidth="1"/>
    <col min="12291" max="12291" width="11.140625" style="8" customWidth="1"/>
    <col min="12292" max="12292" width="11.28515625" style="8" customWidth="1"/>
    <col min="12293" max="12293" width="14.28515625" style="8" customWidth="1"/>
    <col min="12294" max="12294" width="16.28515625" style="8" customWidth="1"/>
    <col min="12295" max="12295" width="22.28515625" style="8" customWidth="1"/>
    <col min="12296" max="12296" width="17.42578125" style="8" customWidth="1"/>
    <col min="12297" max="12297" width="21.5703125" style="8" customWidth="1"/>
    <col min="12298" max="12298" width="14.28515625" style="8" customWidth="1"/>
    <col min="12299" max="12299" width="9.140625" style="8" customWidth="1"/>
    <col min="12300" max="12300" width="11.28515625" style="8" customWidth="1"/>
    <col min="12301" max="12544" width="8.85546875" style="8"/>
    <col min="12545" max="12545" width="26" style="8" customWidth="1"/>
    <col min="12546" max="12546" width="21.140625" style="8" customWidth="1"/>
    <col min="12547" max="12547" width="11.140625" style="8" customWidth="1"/>
    <col min="12548" max="12548" width="11.28515625" style="8" customWidth="1"/>
    <col min="12549" max="12549" width="14.28515625" style="8" customWidth="1"/>
    <col min="12550" max="12550" width="16.28515625" style="8" customWidth="1"/>
    <col min="12551" max="12551" width="22.28515625" style="8" customWidth="1"/>
    <col min="12552" max="12552" width="17.42578125" style="8" customWidth="1"/>
    <col min="12553" max="12553" width="21.5703125" style="8" customWidth="1"/>
    <col min="12554" max="12554" width="14.28515625" style="8" customWidth="1"/>
    <col min="12555" max="12555" width="9.140625" style="8" customWidth="1"/>
    <col min="12556" max="12556" width="11.28515625" style="8" customWidth="1"/>
    <col min="12557" max="12800" width="8.85546875" style="8"/>
    <col min="12801" max="12801" width="26" style="8" customWidth="1"/>
    <col min="12802" max="12802" width="21.140625" style="8" customWidth="1"/>
    <col min="12803" max="12803" width="11.140625" style="8" customWidth="1"/>
    <col min="12804" max="12804" width="11.28515625" style="8" customWidth="1"/>
    <col min="12805" max="12805" width="14.28515625" style="8" customWidth="1"/>
    <col min="12806" max="12806" width="16.28515625" style="8" customWidth="1"/>
    <col min="12807" max="12807" width="22.28515625" style="8" customWidth="1"/>
    <col min="12808" max="12808" width="17.42578125" style="8" customWidth="1"/>
    <col min="12809" max="12809" width="21.5703125" style="8" customWidth="1"/>
    <col min="12810" max="12810" width="14.28515625" style="8" customWidth="1"/>
    <col min="12811" max="12811" width="9.140625" style="8" customWidth="1"/>
    <col min="12812" max="12812" width="11.28515625" style="8" customWidth="1"/>
    <col min="12813" max="13056" width="8.85546875" style="8"/>
    <col min="13057" max="13057" width="26" style="8" customWidth="1"/>
    <col min="13058" max="13058" width="21.140625" style="8" customWidth="1"/>
    <col min="13059" max="13059" width="11.140625" style="8" customWidth="1"/>
    <col min="13060" max="13060" width="11.28515625" style="8" customWidth="1"/>
    <col min="13061" max="13061" width="14.28515625" style="8" customWidth="1"/>
    <col min="13062" max="13062" width="16.28515625" style="8" customWidth="1"/>
    <col min="13063" max="13063" width="22.28515625" style="8" customWidth="1"/>
    <col min="13064" max="13064" width="17.42578125" style="8" customWidth="1"/>
    <col min="13065" max="13065" width="21.5703125" style="8" customWidth="1"/>
    <col min="13066" max="13066" width="14.28515625" style="8" customWidth="1"/>
    <col min="13067" max="13067" width="9.140625" style="8" customWidth="1"/>
    <col min="13068" max="13068" width="11.28515625" style="8" customWidth="1"/>
    <col min="13069" max="13312" width="8.85546875" style="8"/>
    <col min="13313" max="13313" width="26" style="8" customWidth="1"/>
    <col min="13314" max="13314" width="21.140625" style="8" customWidth="1"/>
    <col min="13315" max="13315" width="11.140625" style="8" customWidth="1"/>
    <col min="13316" max="13316" width="11.28515625" style="8" customWidth="1"/>
    <col min="13317" max="13317" width="14.28515625" style="8" customWidth="1"/>
    <col min="13318" max="13318" width="16.28515625" style="8" customWidth="1"/>
    <col min="13319" max="13319" width="22.28515625" style="8" customWidth="1"/>
    <col min="13320" max="13320" width="17.42578125" style="8" customWidth="1"/>
    <col min="13321" max="13321" width="21.5703125" style="8" customWidth="1"/>
    <col min="13322" max="13322" width="14.28515625" style="8" customWidth="1"/>
    <col min="13323" max="13323" width="9.140625" style="8" customWidth="1"/>
    <col min="13324" max="13324" width="11.28515625" style="8" customWidth="1"/>
    <col min="13325" max="13568" width="8.85546875" style="8"/>
    <col min="13569" max="13569" width="26" style="8" customWidth="1"/>
    <col min="13570" max="13570" width="21.140625" style="8" customWidth="1"/>
    <col min="13571" max="13571" width="11.140625" style="8" customWidth="1"/>
    <col min="13572" max="13572" width="11.28515625" style="8" customWidth="1"/>
    <col min="13573" max="13573" width="14.28515625" style="8" customWidth="1"/>
    <col min="13574" max="13574" width="16.28515625" style="8" customWidth="1"/>
    <col min="13575" max="13575" width="22.28515625" style="8" customWidth="1"/>
    <col min="13576" max="13576" width="17.42578125" style="8" customWidth="1"/>
    <col min="13577" max="13577" width="21.5703125" style="8" customWidth="1"/>
    <col min="13578" max="13578" width="14.28515625" style="8" customWidth="1"/>
    <col min="13579" max="13579" width="9.140625" style="8" customWidth="1"/>
    <col min="13580" max="13580" width="11.28515625" style="8" customWidth="1"/>
    <col min="13581" max="13824" width="8.85546875" style="8"/>
    <col min="13825" max="13825" width="26" style="8" customWidth="1"/>
    <col min="13826" max="13826" width="21.140625" style="8" customWidth="1"/>
    <col min="13827" max="13827" width="11.140625" style="8" customWidth="1"/>
    <col min="13828" max="13828" width="11.28515625" style="8" customWidth="1"/>
    <col min="13829" max="13829" width="14.28515625" style="8" customWidth="1"/>
    <col min="13830" max="13830" width="16.28515625" style="8" customWidth="1"/>
    <col min="13831" max="13831" width="22.28515625" style="8" customWidth="1"/>
    <col min="13832" max="13832" width="17.42578125" style="8" customWidth="1"/>
    <col min="13833" max="13833" width="21.5703125" style="8" customWidth="1"/>
    <col min="13834" max="13834" width="14.28515625" style="8" customWidth="1"/>
    <col min="13835" max="13835" width="9.140625" style="8" customWidth="1"/>
    <col min="13836" max="13836" width="11.28515625" style="8" customWidth="1"/>
    <col min="13837" max="14080" width="8.85546875" style="8"/>
    <col min="14081" max="14081" width="26" style="8" customWidth="1"/>
    <col min="14082" max="14082" width="21.140625" style="8" customWidth="1"/>
    <col min="14083" max="14083" width="11.140625" style="8" customWidth="1"/>
    <col min="14084" max="14084" width="11.28515625" style="8" customWidth="1"/>
    <col min="14085" max="14085" width="14.28515625" style="8" customWidth="1"/>
    <col min="14086" max="14086" width="16.28515625" style="8" customWidth="1"/>
    <col min="14087" max="14087" width="22.28515625" style="8" customWidth="1"/>
    <col min="14088" max="14088" width="17.42578125" style="8" customWidth="1"/>
    <col min="14089" max="14089" width="21.5703125" style="8" customWidth="1"/>
    <col min="14090" max="14090" width="14.28515625" style="8" customWidth="1"/>
    <col min="14091" max="14091" width="9.140625" style="8" customWidth="1"/>
    <col min="14092" max="14092" width="11.28515625" style="8" customWidth="1"/>
    <col min="14093" max="14336" width="8.85546875" style="8"/>
    <col min="14337" max="14337" width="26" style="8" customWidth="1"/>
    <col min="14338" max="14338" width="21.140625" style="8" customWidth="1"/>
    <col min="14339" max="14339" width="11.140625" style="8" customWidth="1"/>
    <col min="14340" max="14340" width="11.28515625" style="8" customWidth="1"/>
    <col min="14341" max="14341" width="14.28515625" style="8" customWidth="1"/>
    <col min="14342" max="14342" width="16.28515625" style="8" customWidth="1"/>
    <col min="14343" max="14343" width="22.28515625" style="8" customWidth="1"/>
    <col min="14344" max="14344" width="17.42578125" style="8" customWidth="1"/>
    <col min="14345" max="14345" width="21.5703125" style="8" customWidth="1"/>
    <col min="14346" max="14346" width="14.28515625" style="8" customWidth="1"/>
    <col min="14347" max="14347" width="9.140625" style="8" customWidth="1"/>
    <col min="14348" max="14348" width="11.28515625" style="8" customWidth="1"/>
    <col min="14349" max="14592" width="8.85546875" style="8"/>
    <col min="14593" max="14593" width="26" style="8" customWidth="1"/>
    <col min="14594" max="14594" width="21.140625" style="8" customWidth="1"/>
    <col min="14595" max="14595" width="11.140625" style="8" customWidth="1"/>
    <col min="14596" max="14596" width="11.28515625" style="8" customWidth="1"/>
    <col min="14597" max="14597" width="14.28515625" style="8" customWidth="1"/>
    <col min="14598" max="14598" width="16.28515625" style="8" customWidth="1"/>
    <col min="14599" max="14599" width="22.28515625" style="8" customWidth="1"/>
    <col min="14600" max="14600" width="17.42578125" style="8" customWidth="1"/>
    <col min="14601" max="14601" width="21.5703125" style="8" customWidth="1"/>
    <col min="14602" max="14602" width="14.28515625" style="8" customWidth="1"/>
    <col min="14603" max="14603" width="9.140625" style="8" customWidth="1"/>
    <col min="14604" max="14604" width="11.28515625" style="8" customWidth="1"/>
    <col min="14605" max="14848" width="8.85546875" style="8"/>
    <col min="14849" max="14849" width="26" style="8" customWidth="1"/>
    <col min="14850" max="14850" width="21.140625" style="8" customWidth="1"/>
    <col min="14851" max="14851" width="11.140625" style="8" customWidth="1"/>
    <col min="14852" max="14852" width="11.28515625" style="8" customWidth="1"/>
    <col min="14853" max="14853" width="14.28515625" style="8" customWidth="1"/>
    <col min="14854" max="14854" width="16.28515625" style="8" customWidth="1"/>
    <col min="14855" max="14855" width="22.28515625" style="8" customWidth="1"/>
    <col min="14856" max="14856" width="17.42578125" style="8" customWidth="1"/>
    <col min="14857" max="14857" width="21.5703125" style="8" customWidth="1"/>
    <col min="14858" max="14858" width="14.28515625" style="8" customWidth="1"/>
    <col min="14859" max="14859" width="9.140625" style="8" customWidth="1"/>
    <col min="14860" max="14860" width="11.28515625" style="8" customWidth="1"/>
    <col min="14861" max="15104" width="8.85546875" style="8"/>
    <col min="15105" max="15105" width="26" style="8" customWidth="1"/>
    <col min="15106" max="15106" width="21.140625" style="8" customWidth="1"/>
    <col min="15107" max="15107" width="11.140625" style="8" customWidth="1"/>
    <col min="15108" max="15108" width="11.28515625" style="8" customWidth="1"/>
    <col min="15109" max="15109" width="14.28515625" style="8" customWidth="1"/>
    <col min="15110" max="15110" width="16.28515625" style="8" customWidth="1"/>
    <col min="15111" max="15111" width="22.28515625" style="8" customWidth="1"/>
    <col min="15112" max="15112" width="17.42578125" style="8" customWidth="1"/>
    <col min="15113" max="15113" width="21.5703125" style="8" customWidth="1"/>
    <col min="15114" max="15114" width="14.28515625" style="8" customWidth="1"/>
    <col min="15115" max="15115" width="9.140625" style="8" customWidth="1"/>
    <col min="15116" max="15116" width="11.28515625" style="8" customWidth="1"/>
    <col min="15117" max="15360" width="8.85546875" style="8"/>
    <col min="15361" max="15361" width="26" style="8" customWidth="1"/>
    <col min="15362" max="15362" width="21.140625" style="8" customWidth="1"/>
    <col min="15363" max="15363" width="11.140625" style="8" customWidth="1"/>
    <col min="15364" max="15364" width="11.28515625" style="8" customWidth="1"/>
    <col min="15365" max="15365" width="14.28515625" style="8" customWidth="1"/>
    <col min="15366" max="15366" width="16.28515625" style="8" customWidth="1"/>
    <col min="15367" max="15367" width="22.28515625" style="8" customWidth="1"/>
    <col min="15368" max="15368" width="17.42578125" style="8" customWidth="1"/>
    <col min="15369" max="15369" width="21.5703125" style="8" customWidth="1"/>
    <col min="15370" max="15370" width="14.28515625" style="8" customWidth="1"/>
    <col min="15371" max="15371" width="9.140625" style="8" customWidth="1"/>
    <col min="15372" max="15372" width="11.28515625" style="8" customWidth="1"/>
    <col min="15373" max="15616" width="8.85546875" style="8"/>
    <col min="15617" max="15617" width="26" style="8" customWidth="1"/>
    <col min="15618" max="15618" width="21.140625" style="8" customWidth="1"/>
    <col min="15619" max="15619" width="11.140625" style="8" customWidth="1"/>
    <col min="15620" max="15620" width="11.28515625" style="8" customWidth="1"/>
    <col min="15621" max="15621" width="14.28515625" style="8" customWidth="1"/>
    <col min="15622" max="15622" width="16.28515625" style="8" customWidth="1"/>
    <col min="15623" max="15623" width="22.28515625" style="8" customWidth="1"/>
    <col min="15624" max="15624" width="17.42578125" style="8" customWidth="1"/>
    <col min="15625" max="15625" width="21.5703125" style="8" customWidth="1"/>
    <col min="15626" max="15626" width="14.28515625" style="8" customWidth="1"/>
    <col min="15627" max="15627" width="9.140625" style="8" customWidth="1"/>
    <col min="15628" max="15628" width="11.28515625" style="8" customWidth="1"/>
    <col min="15629" max="15872" width="8.85546875" style="8"/>
    <col min="15873" max="15873" width="26" style="8" customWidth="1"/>
    <col min="15874" max="15874" width="21.140625" style="8" customWidth="1"/>
    <col min="15875" max="15875" width="11.140625" style="8" customWidth="1"/>
    <col min="15876" max="15876" width="11.28515625" style="8" customWidth="1"/>
    <col min="15877" max="15877" width="14.28515625" style="8" customWidth="1"/>
    <col min="15878" max="15878" width="16.28515625" style="8" customWidth="1"/>
    <col min="15879" max="15879" width="22.28515625" style="8" customWidth="1"/>
    <col min="15880" max="15880" width="17.42578125" style="8" customWidth="1"/>
    <col min="15881" max="15881" width="21.5703125" style="8" customWidth="1"/>
    <col min="15882" max="15882" width="14.28515625" style="8" customWidth="1"/>
    <col min="15883" max="15883" width="9.140625" style="8" customWidth="1"/>
    <col min="15884" max="15884" width="11.28515625" style="8" customWidth="1"/>
    <col min="15885" max="16128" width="8.85546875" style="8"/>
    <col min="16129" max="16129" width="26" style="8" customWidth="1"/>
    <col min="16130" max="16130" width="21.140625" style="8" customWidth="1"/>
    <col min="16131" max="16131" width="11.140625" style="8" customWidth="1"/>
    <col min="16132" max="16132" width="11.28515625" style="8" customWidth="1"/>
    <col min="16133" max="16133" width="14.28515625" style="8" customWidth="1"/>
    <col min="16134" max="16134" width="16.28515625" style="8" customWidth="1"/>
    <col min="16135" max="16135" width="22.28515625" style="8" customWidth="1"/>
    <col min="16136" max="16136" width="17.42578125" style="8" customWidth="1"/>
    <col min="16137" max="16137" width="21.5703125" style="8" customWidth="1"/>
    <col min="16138" max="16138" width="14.28515625" style="8" customWidth="1"/>
    <col min="16139" max="16139" width="9.140625" style="8" customWidth="1"/>
    <col min="16140" max="16140" width="11.28515625" style="8" customWidth="1"/>
    <col min="16141" max="16384" width="8.85546875" style="8"/>
  </cols>
  <sheetData>
    <row r="1" spans="1:12" ht="15" customHeight="1" x14ac:dyDescent="0.25">
      <c r="B1" s="585" t="s">
        <v>124</v>
      </c>
      <c r="C1" s="585"/>
      <c r="D1" s="585"/>
      <c r="E1" s="585"/>
      <c r="F1" s="585"/>
      <c r="G1" s="585"/>
      <c r="H1" s="585"/>
      <c r="I1" s="585"/>
      <c r="J1" s="585"/>
      <c r="K1" s="585"/>
    </row>
    <row r="2" spans="1:12" ht="15" customHeight="1" x14ac:dyDescent="0.25">
      <c r="B2" s="585"/>
      <c r="C2" s="585"/>
      <c r="D2" s="585"/>
      <c r="E2" s="585"/>
      <c r="F2" s="585"/>
      <c r="G2" s="585"/>
      <c r="H2" s="585"/>
      <c r="I2" s="585"/>
      <c r="J2" s="585"/>
      <c r="K2" s="585"/>
    </row>
    <row r="3" spans="1:12" ht="15.75" thickBot="1" x14ac:dyDescent="0.3"/>
    <row r="4" spans="1:12" ht="36" customHeight="1" x14ac:dyDescent="0.25">
      <c r="A4" s="629" t="s">
        <v>3</v>
      </c>
      <c r="B4" s="632" t="s">
        <v>4</v>
      </c>
      <c r="C4" s="735" t="s">
        <v>258</v>
      </c>
      <c r="D4" s="735"/>
      <c r="E4" s="735"/>
      <c r="F4" s="735"/>
      <c r="G4" s="736" t="s">
        <v>261</v>
      </c>
      <c r="H4" s="736" t="s">
        <v>260</v>
      </c>
      <c r="I4" s="740" t="s">
        <v>259</v>
      </c>
      <c r="J4" s="736" t="s">
        <v>343</v>
      </c>
      <c r="K4" s="747" t="s">
        <v>270</v>
      </c>
      <c r="L4" s="747" t="s">
        <v>125</v>
      </c>
    </row>
    <row r="5" spans="1:12" ht="20.45" customHeight="1" x14ac:dyDescent="0.25">
      <c r="A5" s="630"/>
      <c r="B5" s="633"/>
      <c r="C5" s="20" t="s">
        <v>195</v>
      </c>
      <c r="D5" s="20" t="s">
        <v>196</v>
      </c>
      <c r="E5" s="20" t="s">
        <v>197</v>
      </c>
      <c r="F5" s="20" t="s">
        <v>198</v>
      </c>
      <c r="G5" s="737"/>
      <c r="H5" s="737"/>
      <c r="I5" s="741"/>
      <c r="J5" s="743"/>
      <c r="K5" s="748"/>
      <c r="L5" s="748"/>
    </row>
    <row r="6" spans="1:12" ht="146.44999999999999" customHeight="1" x14ac:dyDescent="0.25">
      <c r="A6" s="631"/>
      <c r="B6" s="633"/>
      <c r="C6" s="20" t="s">
        <v>126</v>
      </c>
      <c r="D6" s="20" t="s">
        <v>127</v>
      </c>
      <c r="E6" s="20" t="s">
        <v>128</v>
      </c>
      <c r="F6" s="20" t="s">
        <v>129</v>
      </c>
      <c r="G6" s="738"/>
      <c r="H6" s="739"/>
      <c r="I6" s="742"/>
      <c r="J6" s="744"/>
      <c r="K6" s="749"/>
      <c r="L6" s="35" t="s">
        <v>199</v>
      </c>
    </row>
    <row r="7" spans="1:12" ht="15.75" x14ac:dyDescent="0.25">
      <c r="A7" s="125">
        <v>1</v>
      </c>
      <c r="B7" s="87" t="s">
        <v>139</v>
      </c>
      <c r="C7" s="94"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513">
        <f t="shared" ref="I7:I12" si="0">-AVERAGE(C7:H7)</f>
        <v>0</v>
      </c>
      <c r="J7" s="373">
        <f>'2.3.5.Исп.дисц'!Q4</f>
        <v>0.74117647058823533</v>
      </c>
      <c r="K7" s="495">
        <f>SUM(I7:J7)</f>
        <v>0.74117647058823533</v>
      </c>
      <c r="L7" s="495">
        <f>K7*1.5</f>
        <v>1.111764705882353</v>
      </c>
    </row>
    <row r="8" spans="1:12" ht="15.75" x14ac:dyDescent="0.25">
      <c r="A8" s="125">
        <v>2</v>
      </c>
      <c r="B8" s="87" t="s">
        <v>140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513">
        <f t="shared" si="0"/>
        <v>0</v>
      </c>
      <c r="J8" s="373">
        <f>'2.3.5.Исп.дисц'!Q5</f>
        <v>0.8214285714285714</v>
      </c>
      <c r="K8" s="495">
        <f t="shared" ref="K8:K44" si="1">SUM(I8:J8)</f>
        <v>0.8214285714285714</v>
      </c>
      <c r="L8" s="495">
        <f t="shared" ref="L8:L42" si="2">K8*1.5</f>
        <v>1.2321428571428572</v>
      </c>
    </row>
    <row r="9" spans="1:12" ht="15.75" x14ac:dyDescent="0.25">
      <c r="A9" s="125">
        <v>3</v>
      </c>
      <c r="B9" s="87" t="s">
        <v>141</v>
      </c>
      <c r="C9" s="94">
        <v>0</v>
      </c>
      <c r="D9" s="94">
        <v>1</v>
      </c>
      <c r="E9" s="94">
        <v>0</v>
      </c>
      <c r="F9" s="94">
        <v>1</v>
      </c>
      <c r="G9" s="94">
        <v>0</v>
      </c>
      <c r="H9" s="94">
        <v>0</v>
      </c>
      <c r="I9" s="513">
        <f t="shared" si="0"/>
        <v>-0.33333333333333331</v>
      </c>
      <c r="J9" s="373">
        <f>'2.3.5.Исп.дисц'!Q6</f>
        <v>0.79761904761904767</v>
      </c>
      <c r="K9" s="495">
        <f t="shared" si="1"/>
        <v>0.46428571428571436</v>
      </c>
      <c r="L9" s="495">
        <f t="shared" si="2"/>
        <v>0.69642857142857151</v>
      </c>
    </row>
    <row r="10" spans="1:12" ht="15.75" x14ac:dyDescent="0.25">
      <c r="A10" s="125">
        <v>4</v>
      </c>
      <c r="B10" s="87" t="s">
        <v>142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513">
        <f t="shared" si="0"/>
        <v>0</v>
      </c>
      <c r="J10" s="373">
        <f>'2.3.5.Исп.дисц'!Q7</f>
        <v>0.81927710843373491</v>
      </c>
      <c r="K10" s="495">
        <f t="shared" si="1"/>
        <v>0.81927710843373491</v>
      </c>
      <c r="L10" s="495">
        <f t="shared" si="2"/>
        <v>1.2289156626506024</v>
      </c>
    </row>
    <row r="11" spans="1:12" s="76" customFormat="1" ht="15.75" x14ac:dyDescent="0.25">
      <c r="A11" s="125">
        <v>5</v>
      </c>
      <c r="B11" s="87" t="s">
        <v>143</v>
      </c>
      <c r="C11" s="77">
        <v>0</v>
      </c>
      <c r="D11" s="77">
        <v>0</v>
      </c>
      <c r="E11" s="78">
        <v>0</v>
      </c>
      <c r="F11" s="77">
        <v>0</v>
      </c>
      <c r="G11" s="77">
        <v>0</v>
      </c>
      <c r="H11" s="77">
        <v>0</v>
      </c>
      <c r="I11" s="513">
        <f t="shared" si="0"/>
        <v>0</v>
      </c>
      <c r="J11" s="373">
        <f>'2.3.5.Исп.дисц'!Q8</f>
        <v>0.77380952380952384</v>
      </c>
      <c r="K11" s="495">
        <f t="shared" si="1"/>
        <v>0.77380952380952384</v>
      </c>
      <c r="L11" s="495">
        <f t="shared" si="2"/>
        <v>1.1607142857142858</v>
      </c>
    </row>
    <row r="12" spans="1:12" ht="25.5" x14ac:dyDescent="0.25">
      <c r="A12" s="125">
        <v>6</v>
      </c>
      <c r="B12" s="87" t="s">
        <v>177</v>
      </c>
      <c r="C12" s="94">
        <v>1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513">
        <f t="shared" si="0"/>
        <v>-0.16666666666666666</v>
      </c>
      <c r="J12" s="373">
        <f>'2.3.5.Исп.дисц'!Q9</f>
        <v>0.7857142857142857</v>
      </c>
      <c r="K12" s="495">
        <f t="shared" si="1"/>
        <v>0.61904761904761907</v>
      </c>
      <c r="L12" s="495">
        <f t="shared" si="2"/>
        <v>0.9285714285714286</v>
      </c>
    </row>
    <row r="13" spans="1:12" ht="15.75" x14ac:dyDescent="0.25">
      <c r="A13" s="125">
        <v>7</v>
      </c>
      <c r="B13" s="387" t="s">
        <v>144</v>
      </c>
      <c r="C13" s="94">
        <v>1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513">
        <f>-AVERAGE(C13:H13)</f>
        <v>-0.16666666666666666</v>
      </c>
      <c r="J13" s="373">
        <f>'2.3.5.Исп.дисц'!Q10</f>
        <v>0.69512195121951215</v>
      </c>
      <c r="K13" s="495">
        <f t="shared" si="1"/>
        <v>0.52845528455284552</v>
      </c>
      <c r="L13" s="495">
        <f t="shared" si="2"/>
        <v>0.79268292682926833</v>
      </c>
    </row>
    <row r="14" spans="1:12" ht="15.75" x14ac:dyDescent="0.25">
      <c r="A14" s="125">
        <v>8</v>
      </c>
      <c r="B14" s="87" t="s">
        <v>145</v>
      </c>
      <c r="C14" s="67">
        <v>1</v>
      </c>
      <c r="D14" s="67">
        <v>0</v>
      </c>
      <c r="E14" s="67">
        <v>1</v>
      </c>
      <c r="F14" s="67">
        <v>0</v>
      </c>
      <c r="G14" s="68">
        <v>1</v>
      </c>
      <c r="H14" s="69">
        <v>0</v>
      </c>
      <c r="I14" s="513">
        <f t="shared" ref="I14:I44" si="3">-AVERAGE(C14:H14)</f>
        <v>-0.5</v>
      </c>
      <c r="J14" s="373">
        <f>'2.3.5.Исп.дисц'!Q11</f>
        <v>0.79761904761904767</v>
      </c>
      <c r="K14" s="495">
        <f t="shared" si="1"/>
        <v>0.29761904761904767</v>
      </c>
      <c r="L14" s="495">
        <f t="shared" si="2"/>
        <v>0.44642857142857151</v>
      </c>
    </row>
    <row r="15" spans="1:12" ht="15.75" x14ac:dyDescent="0.25">
      <c r="A15" s="125">
        <v>9</v>
      </c>
      <c r="B15" s="87" t="s">
        <v>146</v>
      </c>
      <c r="C15" s="94">
        <v>1</v>
      </c>
      <c r="D15" s="94">
        <v>1</v>
      </c>
      <c r="E15" s="94">
        <v>1</v>
      </c>
      <c r="F15" s="94">
        <v>0</v>
      </c>
      <c r="G15" s="94">
        <v>0</v>
      </c>
      <c r="H15" s="94">
        <v>0</v>
      </c>
      <c r="I15" s="513">
        <f t="shared" si="3"/>
        <v>-0.5</v>
      </c>
      <c r="J15" s="373">
        <f>'2.3.5.Исп.дисц'!Q12</f>
        <v>0.72941176470588232</v>
      </c>
      <c r="K15" s="495">
        <f t="shared" si="1"/>
        <v>0.22941176470588232</v>
      </c>
      <c r="L15" s="495">
        <f t="shared" si="2"/>
        <v>0.34411764705882347</v>
      </c>
    </row>
    <row r="16" spans="1:12" ht="15.75" x14ac:dyDescent="0.25">
      <c r="A16" s="125">
        <v>10</v>
      </c>
      <c r="B16" s="87" t="s">
        <v>172</v>
      </c>
      <c r="C16" s="94">
        <v>1</v>
      </c>
      <c r="D16" s="94">
        <v>0</v>
      </c>
      <c r="E16" s="94">
        <v>1</v>
      </c>
      <c r="F16" s="94">
        <v>0</v>
      </c>
      <c r="G16" s="94">
        <v>0</v>
      </c>
      <c r="H16" s="94">
        <v>0</v>
      </c>
      <c r="I16" s="513">
        <f t="shared" si="3"/>
        <v>-0.33333333333333331</v>
      </c>
      <c r="J16" s="373">
        <f>'2.3.5.Исп.дисц'!Q13</f>
        <v>0.6987951807228916</v>
      </c>
      <c r="K16" s="495">
        <f t="shared" si="1"/>
        <v>0.36546184738955828</v>
      </c>
      <c r="L16" s="495">
        <f t="shared" si="2"/>
        <v>0.54819277108433739</v>
      </c>
    </row>
    <row r="17" spans="1:12" ht="15.75" x14ac:dyDescent="0.25">
      <c r="A17" s="125">
        <v>11</v>
      </c>
      <c r="B17" s="87" t="s">
        <v>147</v>
      </c>
      <c r="C17" s="94">
        <v>0</v>
      </c>
      <c r="D17" s="94">
        <v>0</v>
      </c>
      <c r="E17" s="94">
        <v>1</v>
      </c>
      <c r="F17" s="94">
        <v>0</v>
      </c>
      <c r="G17" s="94">
        <v>0</v>
      </c>
      <c r="H17" s="94">
        <v>0</v>
      </c>
      <c r="I17" s="513">
        <f t="shared" si="3"/>
        <v>-0.16666666666666666</v>
      </c>
      <c r="J17" s="373">
        <f>'2.3.5.Исп.дисц'!Q14</f>
        <v>0.87058823529411766</v>
      </c>
      <c r="K17" s="495">
        <f t="shared" si="1"/>
        <v>0.70392156862745103</v>
      </c>
      <c r="L17" s="495">
        <f t="shared" si="2"/>
        <v>1.0558823529411765</v>
      </c>
    </row>
    <row r="18" spans="1:12" ht="25.5" x14ac:dyDescent="0.25">
      <c r="A18" s="125">
        <v>12</v>
      </c>
      <c r="B18" s="87" t="s">
        <v>178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513">
        <f t="shared" si="3"/>
        <v>0</v>
      </c>
      <c r="J18" s="373">
        <f>'2.3.5.Исп.дисц'!Q15</f>
        <v>0.73255813953488369</v>
      </c>
      <c r="K18" s="495">
        <f t="shared" si="1"/>
        <v>0.73255813953488369</v>
      </c>
      <c r="L18" s="495">
        <f t="shared" si="2"/>
        <v>1.0988372093023255</v>
      </c>
    </row>
    <row r="19" spans="1:12" ht="15.75" x14ac:dyDescent="0.25">
      <c r="A19" s="125">
        <v>13</v>
      </c>
      <c r="B19" s="87" t="s">
        <v>148</v>
      </c>
      <c r="C19" s="94">
        <v>0</v>
      </c>
      <c r="D19" s="94">
        <v>1</v>
      </c>
      <c r="E19" s="94">
        <v>1</v>
      </c>
      <c r="F19" s="94">
        <v>0</v>
      </c>
      <c r="G19" s="94">
        <v>0</v>
      </c>
      <c r="H19" s="94">
        <v>0</v>
      </c>
      <c r="I19" s="513">
        <f t="shared" si="3"/>
        <v>-0.33333333333333331</v>
      </c>
      <c r="J19" s="373">
        <f>'2.3.5.Исп.дисц'!Q16</f>
        <v>0.88235294117647056</v>
      </c>
      <c r="K19" s="495">
        <f t="shared" si="1"/>
        <v>0.5490196078431373</v>
      </c>
      <c r="L19" s="495">
        <f t="shared" si="2"/>
        <v>0.82352941176470595</v>
      </c>
    </row>
    <row r="20" spans="1:12" ht="15.75" x14ac:dyDescent="0.25">
      <c r="A20" s="125">
        <v>14</v>
      </c>
      <c r="B20" s="87" t="s">
        <v>173</v>
      </c>
      <c r="C20" s="94">
        <v>1</v>
      </c>
      <c r="D20" s="94">
        <v>0</v>
      </c>
      <c r="E20" s="94">
        <v>0</v>
      </c>
      <c r="F20" s="94">
        <v>0</v>
      </c>
      <c r="G20" s="94">
        <v>0</v>
      </c>
      <c r="H20" s="94">
        <v>1</v>
      </c>
      <c r="I20" s="513">
        <f t="shared" si="3"/>
        <v>-0.33333333333333331</v>
      </c>
      <c r="J20" s="373">
        <f>'2.3.5.Исп.дисц'!Q17</f>
        <v>0.54761904761904767</v>
      </c>
      <c r="K20" s="495">
        <f t="shared" si="1"/>
        <v>0.21428571428571436</v>
      </c>
      <c r="L20" s="495">
        <f t="shared" si="2"/>
        <v>0.32142857142857151</v>
      </c>
    </row>
    <row r="21" spans="1:12" ht="15.75" x14ac:dyDescent="0.25">
      <c r="A21" s="125">
        <v>15</v>
      </c>
      <c r="B21" s="87" t="s">
        <v>149</v>
      </c>
      <c r="C21" s="94">
        <v>1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513">
        <f t="shared" si="3"/>
        <v>-0.16666666666666666</v>
      </c>
      <c r="J21" s="373">
        <f>'2.3.5.Исп.дисц'!Q18</f>
        <v>0.86746987951807231</v>
      </c>
      <c r="K21" s="495">
        <f t="shared" si="1"/>
        <v>0.70080321285140568</v>
      </c>
      <c r="L21" s="495">
        <f t="shared" si="2"/>
        <v>1.0512048192771086</v>
      </c>
    </row>
    <row r="22" spans="1:12" ht="15.75" x14ac:dyDescent="0.25">
      <c r="A22" s="125">
        <v>16</v>
      </c>
      <c r="B22" s="87" t="s">
        <v>150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513">
        <f t="shared" si="3"/>
        <v>0</v>
      </c>
      <c r="J22" s="373">
        <f>'2.3.5.Исп.дисц'!Q19</f>
        <v>0.75</v>
      </c>
      <c r="K22" s="495">
        <f t="shared" si="1"/>
        <v>0.75</v>
      </c>
      <c r="L22" s="495">
        <f t="shared" si="2"/>
        <v>1.125</v>
      </c>
    </row>
    <row r="23" spans="1:12" ht="15.75" x14ac:dyDescent="0.25">
      <c r="A23" s="125">
        <v>17</v>
      </c>
      <c r="B23" s="87" t="s">
        <v>151</v>
      </c>
      <c r="C23" s="94">
        <v>0</v>
      </c>
      <c r="D23" s="94">
        <v>0</v>
      </c>
      <c r="E23" s="94">
        <v>1</v>
      </c>
      <c r="F23" s="94">
        <v>0</v>
      </c>
      <c r="G23" s="94">
        <v>0</v>
      </c>
      <c r="H23" s="94">
        <v>0</v>
      </c>
      <c r="I23" s="513">
        <f t="shared" si="3"/>
        <v>-0.16666666666666666</v>
      </c>
      <c r="J23" s="373">
        <f>'2.3.5.Исп.дисц'!Q20</f>
        <v>0.72289156626506024</v>
      </c>
      <c r="K23" s="495">
        <f t="shared" si="1"/>
        <v>0.55622489959839361</v>
      </c>
      <c r="L23" s="495">
        <f t="shared" si="2"/>
        <v>0.83433734939759041</v>
      </c>
    </row>
    <row r="24" spans="1:12" ht="15.75" x14ac:dyDescent="0.25">
      <c r="A24" s="125">
        <v>18</v>
      </c>
      <c r="B24" s="87" t="s">
        <v>152</v>
      </c>
      <c r="C24" s="94">
        <v>1</v>
      </c>
      <c r="D24" s="94">
        <v>1</v>
      </c>
      <c r="E24" s="94">
        <v>1</v>
      </c>
      <c r="F24" s="94"/>
      <c r="G24" s="94">
        <v>0</v>
      </c>
      <c r="H24" s="94">
        <v>1</v>
      </c>
      <c r="I24" s="513">
        <f t="shared" si="3"/>
        <v>-0.8</v>
      </c>
      <c r="J24" s="373">
        <f>'2.3.5.Исп.дисц'!Q21</f>
        <v>0.76190476190476186</v>
      </c>
      <c r="K24" s="495">
        <f t="shared" si="1"/>
        <v>-3.8095238095238182E-2</v>
      </c>
      <c r="L24" s="495">
        <f t="shared" si="2"/>
        <v>-5.7142857142857273E-2</v>
      </c>
    </row>
    <row r="25" spans="1:12" ht="15.75" x14ac:dyDescent="0.25">
      <c r="A25" s="125">
        <v>19</v>
      </c>
      <c r="B25" s="87" t="s">
        <v>153</v>
      </c>
      <c r="C25" s="94">
        <v>0</v>
      </c>
      <c r="D25" s="94">
        <v>1</v>
      </c>
      <c r="E25" s="94">
        <v>0</v>
      </c>
      <c r="F25" s="94">
        <v>0</v>
      </c>
      <c r="G25" s="94">
        <v>0</v>
      </c>
      <c r="H25" s="94">
        <v>0</v>
      </c>
      <c r="I25" s="513">
        <f t="shared" si="3"/>
        <v>-0.16666666666666666</v>
      </c>
      <c r="J25" s="373">
        <f>'2.3.5.Исп.дисц'!Q22</f>
        <v>0.79069767441860461</v>
      </c>
      <c r="K25" s="495">
        <f t="shared" si="1"/>
        <v>0.62403100775193798</v>
      </c>
      <c r="L25" s="495">
        <f t="shared" si="2"/>
        <v>0.93604651162790697</v>
      </c>
    </row>
    <row r="26" spans="1:12" ht="15" customHeight="1" x14ac:dyDescent="0.25">
      <c r="A26" s="125">
        <v>20</v>
      </c>
      <c r="B26" s="87" t="s">
        <v>154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1</v>
      </c>
      <c r="I26" s="513">
        <f t="shared" si="3"/>
        <v>-0.16666666666666666</v>
      </c>
      <c r="J26" s="373">
        <f>'2.3.5.Исп.дисц'!Q23</f>
        <v>0.51807228915662651</v>
      </c>
      <c r="K26" s="495">
        <f t="shared" si="1"/>
        <v>0.35140562248995988</v>
      </c>
      <c r="L26" s="495">
        <f t="shared" si="2"/>
        <v>0.52710843373493987</v>
      </c>
    </row>
    <row r="27" spans="1:12" ht="15.75" x14ac:dyDescent="0.25">
      <c r="A27" s="125">
        <v>21</v>
      </c>
      <c r="B27" s="87" t="s">
        <v>155</v>
      </c>
      <c r="C27" s="94">
        <v>1</v>
      </c>
      <c r="D27" s="94">
        <v>1</v>
      </c>
      <c r="E27" s="94">
        <v>1</v>
      </c>
      <c r="F27" s="94">
        <v>0</v>
      </c>
      <c r="G27" s="94">
        <v>0</v>
      </c>
      <c r="H27" s="94">
        <v>1</v>
      </c>
      <c r="I27" s="513">
        <f t="shared" si="3"/>
        <v>-0.66666666666666663</v>
      </c>
      <c r="J27" s="373">
        <f>'2.3.5.Исп.дисц'!Q24</f>
        <v>0.77647058823529413</v>
      </c>
      <c r="K27" s="495">
        <f t="shared" si="1"/>
        <v>0.1098039215686275</v>
      </c>
      <c r="L27" s="495">
        <f t="shared" si="2"/>
        <v>0.16470588235294126</v>
      </c>
    </row>
    <row r="28" spans="1:12" ht="15.75" x14ac:dyDescent="0.25">
      <c r="A28" s="125">
        <v>22</v>
      </c>
      <c r="B28" s="87" t="s">
        <v>277</v>
      </c>
      <c r="C28" s="94">
        <v>0</v>
      </c>
      <c r="D28" s="94">
        <v>1</v>
      </c>
      <c r="E28" s="94">
        <v>0</v>
      </c>
      <c r="F28" s="94">
        <v>0</v>
      </c>
      <c r="G28" s="94">
        <v>0</v>
      </c>
      <c r="H28" s="94">
        <v>0</v>
      </c>
      <c r="I28" s="513">
        <f t="shared" si="3"/>
        <v>-0.16666666666666666</v>
      </c>
      <c r="J28" s="373">
        <f>'2.3.5.Исп.дисц'!Q25</f>
        <v>0.70588235294117652</v>
      </c>
      <c r="K28" s="495">
        <f t="shared" si="1"/>
        <v>0.53921568627450989</v>
      </c>
      <c r="L28" s="495">
        <f t="shared" si="2"/>
        <v>0.80882352941176483</v>
      </c>
    </row>
    <row r="29" spans="1:12" ht="15.75" x14ac:dyDescent="0.25">
      <c r="A29" s="125">
        <v>23</v>
      </c>
      <c r="B29" s="87" t="s">
        <v>156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513">
        <f t="shared" si="3"/>
        <v>0</v>
      </c>
      <c r="J29" s="373">
        <f>'2.3.5.Исп.дисц'!Q26</f>
        <v>0.81176470588235294</v>
      </c>
      <c r="K29" s="495">
        <f t="shared" si="1"/>
        <v>0.81176470588235294</v>
      </c>
      <c r="L29" s="495">
        <f t="shared" si="2"/>
        <v>1.2176470588235295</v>
      </c>
    </row>
    <row r="30" spans="1:12" ht="15.75" x14ac:dyDescent="0.25">
      <c r="A30" s="125">
        <v>24</v>
      </c>
      <c r="B30" s="87" t="s">
        <v>157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513">
        <f t="shared" si="3"/>
        <v>0</v>
      </c>
      <c r="J30" s="373">
        <f>'2.3.5.Исп.дисц'!Q27</f>
        <v>0.70238095238095233</v>
      </c>
      <c r="K30" s="495">
        <f t="shared" si="1"/>
        <v>0.70238095238095233</v>
      </c>
      <c r="L30" s="495">
        <f t="shared" si="2"/>
        <v>1.0535714285714284</v>
      </c>
    </row>
    <row r="31" spans="1:12" ht="15.75" x14ac:dyDescent="0.25">
      <c r="A31" s="125">
        <v>25</v>
      </c>
      <c r="B31" s="87" t="s">
        <v>159</v>
      </c>
      <c r="C31" s="94">
        <v>0</v>
      </c>
      <c r="D31" s="94">
        <v>0</v>
      </c>
      <c r="E31" s="94">
        <v>1</v>
      </c>
      <c r="F31" s="94">
        <v>0</v>
      </c>
      <c r="G31" s="94">
        <v>0</v>
      </c>
      <c r="H31" s="94">
        <v>0</v>
      </c>
      <c r="I31" s="513">
        <f t="shared" si="3"/>
        <v>-0.16666666666666666</v>
      </c>
      <c r="J31" s="373">
        <f>'2.3.5.Исп.дисц'!Q28</f>
        <v>0.7857142857142857</v>
      </c>
      <c r="K31" s="495">
        <f t="shared" si="1"/>
        <v>0.61904761904761907</v>
      </c>
      <c r="L31" s="495">
        <f t="shared" si="2"/>
        <v>0.9285714285714286</v>
      </c>
    </row>
    <row r="32" spans="1:12" ht="15.75" x14ac:dyDescent="0.25">
      <c r="A32" s="125">
        <v>26</v>
      </c>
      <c r="B32" s="87" t="s">
        <v>160</v>
      </c>
      <c r="C32" s="94">
        <v>1</v>
      </c>
      <c r="D32" s="94">
        <v>0</v>
      </c>
      <c r="E32" s="94">
        <v>1</v>
      </c>
      <c r="F32" s="94">
        <v>0</v>
      </c>
      <c r="G32" s="94">
        <v>0</v>
      </c>
      <c r="H32" s="94">
        <v>0</v>
      </c>
      <c r="I32" s="513">
        <f t="shared" si="3"/>
        <v>-0.33333333333333331</v>
      </c>
      <c r="J32" s="373">
        <f>'2.3.5.Исп.дисц'!Q29</f>
        <v>0.76470588235294112</v>
      </c>
      <c r="K32" s="495">
        <f t="shared" si="1"/>
        <v>0.43137254901960781</v>
      </c>
      <c r="L32" s="495">
        <f t="shared" si="2"/>
        <v>0.64705882352941169</v>
      </c>
    </row>
    <row r="33" spans="1:1026" ht="15.75" x14ac:dyDescent="0.25">
      <c r="A33" s="125">
        <v>27</v>
      </c>
      <c r="B33" s="87" t="s">
        <v>158</v>
      </c>
      <c r="C33" s="94">
        <v>1</v>
      </c>
      <c r="D33" s="94">
        <v>1</v>
      </c>
      <c r="E33" s="94">
        <v>0</v>
      </c>
      <c r="F33" s="94">
        <v>0</v>
      </c>
      <c r="G33" s="94">
        <v>0</v>
      </c>
      <c r="H33" s="94">
        <v>0</v>
      </c>
      <c r="I33" s="513">
        <f t="shared" si="3"/>
        <v>-0.33333333333333331</v>
      </c>
      <c r="J33" s="373">
        <f>'2.3.5.Исп.дисц'!Q30</f>
        <v>0.62352941176470589</v>
      </c>
      <c r="K33" s="495">
        <f t="shared" si="1"/>
        <v>0.29019607843137257</v>
      </c>
      <c r="L33" s="495">
        <f t="shared" si="2"/>
        <v>0.43529411764705883</v>
      </c>
    </row>
    <row r="34" spans="1:1026" ht="15.75" x14ac:dyDescent="0.25">
      <c r="A34" s="125">
        <v>28</v>
      </c>
      <c r="B34" s="87" t="s">
        <v>161</v>
      </c>
      <c r="C34" s="94">
        <v>1</v>
      </c>
      <c r="D34" s="94">
        <v>1</v>
      </c>
      <c r="E34" s="94">
        <v>0</v>
      </c>
      <c r="F34" s="94">
        <v>0</v>
      </c>
      <c r="G34" s="94">
        <v>0</v>
      </c>
      <c r="H34" s="94">
        <v>0</v>
      </c>
      <c r="I34" s="513">
        <f t="shared" si="3"/>
        <v>-0.33333333333333331</v>
      </c>
      <c r="J34" s="373">
        <f>'2.3.5.Исп.дисц'!Q31</f>
        <v>0.7142857142857143</v>
      </c>
      <c r="K34" s="495">
        <f t="shared" si="1"/>
        <v>0.38095238095238099</v>
      </c>
      <c r="L34" s="495">
        <f t="shared" si="2"/>
        <v>0.57142857142857151</v>
      </c>
    </row>
    <row r="35" spans="1:1026" ht="15.75" x14ac:dyDescent="0.25">
      <c r="A35" s="125">
        <v>29</v>
      </c>
      <c r="B35" s="87" t="s">
        <v>162</v>
      </c>
      <c r="C35" s="94">
        <v>1</v>
      </c>
      <c r="D35" s="94">
        <v>0</v>
      </c>
      <c r="E35" s="94">
        <v>2</v>
      </c>
      <c r="F35" s="94">
        <v>0</v>
      </c>
      <c r="G35" s="94">
        <v>0</v>
      </c>
      <c r="H35" s="94">
        <v>0</v>
      </c>
      <c r="I35" s="513">
        <f t="shared" si="3"/>
        <v>-0.5</v>
      </c>
      <c r="J35" s="373">
        <f>'2.3.5.Исп.дисц'!Q32</f>
        <v>0.86904761904761907</v>
      </c>
      <c r="K35" s="495">
        <f t="shared" si="1"/>
        <v>0.36904761904761907</v>
      </c>
      <c r="L35" s="495">
        <f t="shared" si="2"/>
        <v>0.5535714285714286</v>
      </c>
    </row>
    <row r="36" spans="1:1026" ht="15.75" x14ac:dyDescent="0.25">
      <c r="A36" s="125">
        <v>30</v>
      </c>
      <c r="B36" s="87" t="s">
        <v>163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513">
        <f t="shared" si="3"/>
        <v>0</v>
      </c>
      <c r="J36" s="373">
        <f>'2.3.5.Исп.дисц'!Q33</f>
        <v>0.8</v>
      </c>
      <c r="K36" s="495">
        <f t="shared" si="1"/>
        <v>0.8</v>
      </c>
      <c r="L36" s="495">
        <f t="shared" si="2"/>
        <v>1.2000000000000002</v>
      </c>
    </row>
    <row r="37" spans="1:1026" ht="15.75" x14ac:dyDescent="0.25">
      <c r="A37" s="125">
        <v>31</v>
      </c>
      <c r="B37" s="87" t="s">
        <v>164</v>
      </c>
      <c r="C37" s="94">
        <v>1</v>
      </c>
      <c r="D37" s="94">
        <v>0</v>
      </c>
      <c r="E37" s="94">
        <v>1</v>
      </c>
      <c r="F37" s="94">
        <v>0</v>
      </c>
      <c r="G37" s="94">
        <v>0</v>
      </c>
      <c r="H37" s="94">
        <v>0</v>
      </c>
      <c r="I37" s="513">
        <f t="shared" si="3"/>
        <v>-0.33333333333333331</v>
      </c>
      <c r="J37" s="373">
        <f>'2.3.5.Исп.дисц'!Q34</f>
        <v>0.61904761904761907</v>
      </c>
      <c r="K37" s="495">
        <f t="shared" si="1"/>
        <v>0.28571428571428575</v>
      </c>
      <c r="L37" s="495">
        <f t="shared" si="2"/>
        <v>0.4285714285714286</v>
      </c>
    </row>
    <row r="38" spans="1:1026" ht="15.75" x14ac:dyDescent="0.25">
      <c r="A38" s="125">
        <v>32</v>
      </c>
      <c r="B38" s="87" t="s">
        <v>165</v>
      </c>
      <c r="C38" s="94">
        <v>0</v>
      </c>
      <c r="D38" s="94">
        <v>1</v>
      </c>
      <c r="E38" s="94">
        <v>0</v>
      </c>
      <c r="F38" s="94">
        <v>0</v>
      </c>
      <c r="G38" s="94">
        <v>0</v>
      </c>
      <c r="H38" s="94">
        <v>0</v>
      </c>
      <c r="I38" s="513">
        <f t="shared" si="3"/>
        <v>-0.16666666666666666</v>
      </c>
      <c r="J38" s="373">
        <f>'2.3.5.Исп.дисц'!Q35</f>
        <v>0.83529411764705885</v>
      </c>
      <c r="K38" s="495">
        <f t="shared" si="1"/>
        <v>0.66862745098039222</v>
      </c>
      <c r="L38" s="495">
        <f t="shared" si="2"/>
        <v>1.0029411764705882</v>
      </c>
    </row>
    <row r="39" spans="1:1026" ht="15.75" x14ac:dyDescent="0.25">
      <c r="A39" s="125">
        <v>33</v>
      </c>
      <c r="B39" s="87" t="s">
        <v>166</v>
      </c>
      <c r="C39" s="94">
        <v>1</v>
      </c>
      <c r="D39" s="94">
        <v>1</v>
      </c>
      <c r="E39" s="94">
        <v>0</v>
      </c>
      <c r="F39" s="94">
        <v>0</v>
      </c>
      <c r="G39" s="94">
        <v>0</v>
      </c>
      <c r="H39" s="94">
        <v>1</v>
      </c>
      <c r="I39" s="513">
        <f t="shared" si="3"/>
        <v>-0.5</v>
      </c>
      <c r="J39" s="373">
        <f>'2.3.5.Исп.дисц'!Q36</f>
        <v>0.6785714285714286</v>
      </c>
      <c r="K39" s="495">
        <f t="shared" si="1"/>
        <v>0.1785714285714286</v>
      </c>
      <c r="L39" s="495">
        <f t="shared" si="2"/>
        <v>0.2678571428571429</v>
      </c>
    </row>
    <row r="40" spans="1:1026" ht="15.75" x14ac:dyDescent="0.25">
      <c r="A40" s="125">
        <v>34</v>
      </c>
      <c r="B40" s="87" t="s">
        <v>167</v>
      </c>
      <c r="C40" s="94">
        <v>0</v>
      </c>
      <c r="D40" s="94">
        <v>1</v>
      </c>
      <c r="E40" s="94">
        <v>0</v>
      </c>
      <c r="F40" s="94">
        <v>0</v>
      </c>
      <c r="G40" s="94">
        <v>0</v>
      </c>
      <c r="H40" s="94">
        <v>0</v>
      </c>
      <c r="I40" s="513">
        <f t="shared" si="3"/>
        <v>-0.16666666666666666</v>
      </c>
      <c r="J40" s="373">
        <f>'2.3.5.Исп.дисц'!Q37</f>
        <v>0.57831325301204817</v>
      </c>
      <c r="K40" s="495">
        <f t="shared" si="1"/>
        <v>0.41164658634538154</v>
      </c>
      <c r="L40" s="495">
        <f t="shared" si="2"/>
        <v>0.61746987951807231</v>
      </c>
    </row>
    <row r="41" spans="1:1026" ht="15.75" x14ac:dyDescent="0.25">
      <c r="A41" s="125">
        <v>35</v>
      </c>
      <c r="B41" s="87" t="s">
        <v>168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513">
        <f t="shared" si="3"/>
        <v>0</v>
      </c>
      <c r="J41" s="373">
        <f>'2.3.5.Исп.дисц'!Q38</f>
        <v>0.79761904761904767</v>
      </c>
      <c r="K41" s="495">
        <f t="shared" si="1"/>
        <v>0.79761904761904767</v>
      </c>
      <c r="L41" s="495">
        <f t="shared" si="2"/>
        <v>1.1964285714285716</v>
      </c>
    </row>
    <row r="42" spans="1:1026" s="76" customFormat="1" ht="15.75" x14ac:dyDescent="0.25">
      <c r="A42" s="125">
        <v>36</v>
      </c>
      <c r="B42" s="87" t="s">
        <v>169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513">
        <f t="shared" si="3"/>
        <v>0</v>
      </c>
      <c r="J42" s="373">
        <f>'2.3.5.Исп.дисц'!Q39</f>
        <v>0.72941176470588232</v>
      </c>
      <c r="K42" s="495">
        <f t="shared" si="1"/>
        <v>0.72941176470588232</v>
      </c>
      <c r="L42" s="495">
        <f t="shared" si="2"/>
        <v>1.0941176470588234</v>
      </c>
    </row>
    <row r="43" spans="1:1026" ht="15.75" x14ac:dyDescent="0.25">
      <c r="A43" s="125">
        <v>37</v>
      </c>
      <c r="B43" s="87" t="s">
        <v>170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513">
        <f t="shared" si="3"/>
        <v>0</v>
      </c>
      <c r="J43" s="373">
        <f>'2.3.5.Исп.дисц'!Q40</f>
        <v>0.84337349397590367</v>
      </c>
      <c r="K43" s="495">
        <f t="shared" si="1"/>
        <v>0.84337349397590367</v>
      </c>
      <c r="L43" s="495">
        <f>K43*1.5</f>
        <v>1.2650602409638556</v>
      </c>
    </row>
    <row r="44" spans="1:1026" customFormat="1" ht="15.75" x14ac:dyDescent="0.25">
      <c r="A44" s="151">
        <v>38</v>
      </c>
      <c r="B44" s="152" t="s">
        <v>171</v>
      </c>
      <c r="C44" s="388">
        <v>1</v>
      </c>
      <c r="D44" s="388">
        <v>0</v>
      </c>
      <c r="E44" s="388">
        <v>0</v>
      </c>
      <c r="F44" s="388">
        <v>0</v>
      </c>
      <c r="G44" s="388">
        <v>0</v>
      </c>
      <c r="H44" s="388">
        <v>0</v>
      </c>
      <c r="I44" s="513">
        <f t="shared" si="3"/>
        <v>-0.16666666666666666</v>
      </c>
      <c r="J44" s="373">
        <f>'2.3.5.Исп.дисц'!Q41</f>
        <v>0.80722891566265065</v>
      </c>
      <c r="K44" s="495">
        <f t="shared" si="1"/>
        <v>0.64056224899598402</v>
      </c>
      <c r="L44" s="495">
        <v>0.69799999999999995</v>
      </c>
      <c r="M44" s="147"/>
      <c r="N44" s="147"/>
      <c r="O44" s="514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  <c r="ALL44" s="147"/>
      <c r="ALM44" s="147"/>
      <c r="ALN44" s="147"/>
      <c r="ALO44" s="147"/>
      <c r="ALP44" s="147"/>
      <c r="ALQ44" s="147"/>
      <c r="ALR44" s="147"/>
      <c r="ALS44" s="147"/>
      <c r="ALT44" s="147"/>
      <c r="ALU44" s="147"/>
      <c r="ALV44" s="147"/>
      <c r="ALW44" s="147"/>
      <c r="ALX44" s="147"/>
      <c r="ALY44" s="147"/>
      <c r="ALZ44" s="147"/>
      <c r="AMA44" s="147"/>
      <c r="AMB44" s="147"/>
      <c r="AMC44" s="147"/>
      <c r="AMD44" s="147"/>
      <c r="AME44" s="147"/>
      <c r="AMF44" s="147"/>
      <c r="AMG44" s="147"/>
      <c r="AMH44" s="147"/>
      <c r="AMI44" s="147"/>
      <c r="AMJ44" s="147"/>
      <c r="AMK44" s="147"/>
      <c r="AML44" s="147"/>
    </row>
    <row r="45" spans="1:1026" s="51" customFormat="1" ht="15.75" thickBot="1" x14ac:dyDescent="0.3">
      <c r="A45" s="745" t="s">
        <v>118</v>
      </c>
      <c r="B45" s="746"/>
      <c r="C45" s="496">
        <f>AVERAGE(C7:C44)</f>
        <v>0.42105263157894735</v>
      </c>
      <c r="D45" s="496">
        <f t="shared" ref="D45:K45" si="4">AVERAGE(D7:D44)</f>
        <v>0.31578947368421051</v>
      </c>
      <c r="E45" s="496">
        <f t="shared" si="4"/>
        <v>0.34210526315789475</v>
      </c>
      <c r="F45" s="496">
        <f t="shared" si="4"/>
        <v>2.7027027027027029E-2</v>
      </c>
      <c r="G45" s="496">
        <f t="shared" si="4"/>
        <v>2.6315789473684209E-2</v>
      </c>
      <c r="H45" s="496">
        <f t="shared" si="4"/>
        <v>0.13157894736842105</v>
      </c>
      <c r="I45" s="497"/>
      <c r="J45" s="496">
        <f t="shared" si="4"/>
        <v>0.75123075367355441</v>
      </c>
      <c r="K45" s="496">
        <f t="shared" si="4"/>
        <v>0.53719566595425594</v>
      </c>
      <c r="L45" s="50">
        <f>AVERAGE(L7:L44)</f>
        <v>0.79887656804996343</v>
      </c>
    </row>
    <row r="48" spans="1:1026" ht="15.75" x14ac:dyDescent="0.25">
      <c r="A48" s="23">
        <v>1</v>
      </c>
      <c r="B48" s="26" t="s">
        <v>174</v>
      </c>
      <c r="C48" s="94">
        <v>1</v>
      </c>
      <c r="D48" s="94">
        <v>0</v>
      </c>
      <c r="E48" s="94">
        <v>0</v>
      </c>
      <c r="F48" s="94">
        <v>0</v>
      </c>
      <c r="G48" s="94"/>
      <c r="H48" s="94">
        <v>0</v>
      </c>
      <c r="I48" s="94"/>
      <c r="J48" s="373">
        <f>'2.3.5.Исп.дисц'!Q45</f>
        <v>0.43243243243243246</v>
      </c>
      <c r="K48" s="495">
        <f t="shared" ref="K48:K50" si="5">SUM(C48:J48)</f>
        <v>1.4324324324324325</v>
      </c>
      <c r="L48" s="495">
        <f>K48*1.5</f>
        <v>2.1486486486486487</v>
      </c>
    </row>
    <row r="49" spans="1:12" ht="15.75" x14ac:dyDescent="0.25">
      <c r="A49" s="23">
        <v>2</v>
      </c>
      <c r="B49" s="26" t="s">
        <v>175</v>
      </c>
      <c r="C49" s="94">
        <v>0</v>
      </c>
      <c r="D49" s="94">
        <v>0</v>
      </c>
      <c r="E49" s="94">
        <v>0</v>
      </c>
      <c r="F49" s="94">
        <v>0</v>
      </c>
      <c r="G49" s="94"/>
      <c r="H49" s="94">
        <v>0</v>
      </c>
      <c r="I49" s="94"/>
      <c r="J49" s="373">
        <f>'2.3.5.Исп.дисц'!Q46</f>
        <v>0.72499999999999998</v>
      </c>
      <c r="K49" s="495">
        <f>SUM(C49:J49)</f>
        <v>0.72499999999999998</v>
      </c>
      <c r="L49" s="495">
        <f t="shared" ref="L49:L50" si="6">K49*1.5</f>
        <v>1.0874999999999999</v>
      </c>
    </row>
    <row r="50" spans="1:12" ht="25.5" x14ac:dyDescent="0.25">
      <c r="A50" s="23">
        <v>3</v>
      </c>
      <c r="B50" s="26" t="s">
        <v>176</v>
      </c>
      <c r="C50" s="94">
        <v>0</v>
      </c>
      <c r="D50" s="94">
        <v>0</v>
      </c>
      <c r="E50" s="94">
        <v>0</v>
      </c>
      <c r="F50" s="94">
        <v>0</v>
      </c>
      <c r="G50" s="94"/>
      <c r="H50" s="94">
        <v>0</v>
      </c>
      <c r="I50" s="94"/>
      <c r="J50" s="373">
        <f>'2.3.5.Исп.дисц'!Q47</f>
        <v>0.60510905642484591</v>
      </c>
      <c r="K50" s="495">
        <f t="shared" si="5"/>
        <v>0.60510905642484591</v>
      </c>
      <c r="L50" s="495">
        <f t="shared" si="6"/>
        <v>0.90766358463726893</v>
      </c>
    </row>
    <row r="51" spans="1:12" s="51" customFormat="1" ht="15.75" thickBot="1" x14ac:dyDescent="0.3">
      <c r="A51" s="745" t="s">
        <v>118</v>
      </c>
      <c r="B51" s="746"/>
      <c r="C51" s="496">
        <f>AVERAGE(C48:C50)</f>
        <v>0.33333333333333331</v>
      </c>
      <c r="D51" s="496">
        <f t="shared" ref="D51:K51" si="7">AVERAGE(D48:D50)</f>
        <v>0</v>
      </c>
      <c r="E51" s="496">
        <f t="shared" si="7"/>
        <v>0</v>
      </c>
      <c r="F51" s="496">
        <f t="shared" si="7"/>
        <v>0</v>
      </c>
      <c r="G51" s="496"/>
      <c r="H51" s="496">
        <f t="shared" si="7"/>
        <v>0</v>
      </c>
      <c r="I51" s="496"/>
      <c r="J51" s="496">
        <f t="shared" si="7"/>
        <v>0.58751382961909282</v>
      </c>
      <c r="K51" s="496">
        <f t="shared" si="7"/>
        <v>0.92084716295242608</v>
      </c>
      <c r="L51" s="50">
        <f>AVERAGE(L48:L50)</f>
        <v>1.3812707444286392</v>
      </c>
    </row>
  </sheetData>
  <sheetProtection algorithmName="SHA-512" hashValue="r7L5PtqdeDHqPRexp1Tzc12fl8EuK2UPaiAXxOA7j4oW9m7AV+XZMDD1ObBDADQEN0xjpfqIn8YSH3oDhTmt6g==" saltValue="LFWkPKb2qQxXYKrDgo1sew==" spinCount="100000" sheet="1" objects="1" selectLockedCells="1" selectUnlockedCells="1"/>
  <mergeCells count="13">
    <mergeCell ref="A51:B51"/>
    <mergeCell ref="A45:B45"/>
    <mergeCell ref="K4:K6"/>
    <mergeCell ref="A4:A6"/>
    <mergeCell ref="L4:L5"/>
    <mergeCell ref="B1:K1"/>
    <mergeCell ref="B2:K2"/>
    <mergeCell ref="B4:B6"/>
    <mergeCell ref="C4:F4"/>
    <mergeCell ref="G4:G6"/>
    <mergeCell ref="H4:H6"/>
    <mergeCell ref="I4:I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K51"/>
  <sheetViews>
    <sheetView zoomScale="80" zoomScaleNormal="80" workbookViewId="0">
      <pane ySplit="6" topLeftCell="A27" activePane="bottomLeft" state="frozen"/>
      <selection activeCell="B38" sqref="B38"/>
      <selection pane="bottomLeft" activeCell="B38" sqref="B38"/>
    </sheetView>
  </sheetViews>
  <sheetFormatPr defaultRowHeight="15" x14ac:dyDescent="0.25"/>
  <cols>
    <col min="1" max="1" width="9.140625" style="8"/>
    <col min="2" max="2" width="34.7109375" style="8" customWidth="1"/>
    <col min="3" max="3" width="11.28515625" style="76" customWidth="1"/>
    <col min="4" max="4" width="14.28515625" style="76" customWidth="1"/>
    <col min="5" max="5" width="14.28515625" style="8" customWidth="1"/>
    <col min="6" max="6" width="9.140625" style="8" customWidth="1"/>
    <col min="7" max="8" width="11.28515625" style="8" customWidth="1"/>
    <col min="9" max="252" width="9.140625" style="8"/>
    <col min="253" max="253" width="26" style="8" customWidth="1"/>
    <col min="254" max="254" width="21.140625" style="8" customWidth="1"/>
    <col min="255" max="255" width="11.140625" style="8" customWidth="1"/>
    <col min="256" max="256" width="11.28515625" style="8" customWidth="1"/>
    <col min="257" max="257" width="14.28515625" style="8" customWidth="1"/>
    <col min="258" max="258" width="16.28515625" style="8" customWidth="1"/>
    <col min="259" max="259" width="22.28515625" style="8" customWidth="1"/>
    <col min="260" max="260" width="17.42578125" style="8" customWidth="1"/>
    <col min="261" max="261" width="21.5703125" style="8" customWidth="1"/>
    <col min="262" max="262" width="14.28515625" style="8" customWidth="1"/>
    <col min="263" max="263" width="9.140625" style="8" customWidth="1"/>
    <col min="264" max="264" width="11.28515625" style="8" customWidth="1"/>
    <col min="265" max="508" width="9.140625" style="8"/>
    <col min="509" max="509" width="26" style="8" customWidth="1"/>
    <col min="510" max="510" width="21.140625" style="8" customWidth="1"/>
    <col min="511" max="511" width="11.140625" style="8" customWidth="1"/>
    <col min="512" max="512" width="11.28515625" style="8" customWidth="1"/>
    <col min="513" max="513" width="14.28515625" style="8" customWidth="1"/>
    <col min="514" max="514" width="16.28515625" style="8" customWidth="1"/>
    <col min="515" max="515" width="22.28515625" style="8" customWidth="1"/>
    <col min="516" max="516" width="17.42578125" style="8" customWidth="1"/>
    <col min="517" max="517" width="21.5703125" style="8" customWidth="1"/>
    <col min="518" max="518" width="14.28515625" style="8" customWidth="1"/>
    <col min="519" max="519" width="9.140625" style="8" customWidth="1"/>
    <col min="520" max="520" width="11.28515625" style="8" customWidth="1"/>
    <col min="521" max="764" width="9.140625" style="8"/>
    <col min="765" max="765" width="26" style="8" customWidth="1"/>
    <col min="766" max="766" width="21.140625" style="8" customWidth="1"/>
    <col min="767" max="767" width="11.140625" style="8" customWidth="1"/>
    <col min="768" max="768" width="11.28515625" style="8" customWidth="1"/>
    <col min="769" max="769" width="14.28515625" style="8" customWidth="1"/>
    <col min="770" max="770" width="16.28515625" style="8" customWidth="1"/>
    <col min="771" max="771" width="22.28515625" style="8" customWidth="1"/>
    <col min="772" max="772" width="17.42578125" style="8" customWidth="1"/>
    <col min="773" max="773" width="21.5703125" style="8" customWidth="1"/>
    <col min="774" max="774" width="14.28515625" style="8" customWidth="1"/>
    <col min="775" max="775" width="9.140625" style="8" customWidth="1"/>
    <col min="776" max="776" width="11.28515625" style="8" customWidth="1"/>
    <col min="777" max="1020" width="9.140625" style="8"/>
    <col min="1021" max="1021" width="26" style="8" customWidth="1"/>
    <col min="1022" max="1022" width="21.140625" style="8" customWidth="1"/>
    <col min="1023" max="1023" width="11.140625" style="8" customWidth="1"/>
    <col min="1024" max="1024" width="11.28515625" style="8" customWidth="1"/>
    <col min="1025" max="1025" width="14.28515625" style="8" customWidth="1"/>
    <col min="1026" max="1026" width="16.28515625" style="8" customWidth="1"/>
    <col min="1027" max="1027" width="22.28515625" style="8" customWidth="1"/>
    <col min="1028" max="1028" width="17.42578125" style="8" customWidth="1"/>
    <col min="1029" max="1029" width="21.5703125" style="8" customWidth="1"/>
    <col min="1030" max="1030" width="14.28515625" style="8" customWidth="1"/>
    <col min="1031" max="1031" width="9.140625" style="8" customWidth="1"/>
    <col min="1032" max="1032" width="11.28515625" style="8" customWidth="1"/>
    <col min="1033" max="1276" width="9.140625" style="8"/>
    <col min="1277" max="1277" width="26" style="8" customWidth="1"/>
    <col min="1278" max="1278" width="21.140625" style="8" customWidth="1"/>
    <col min="1279" max="1279" width="11.140625" style="8" customWidth="1"/>
    <col min="1280" max="1280" width="11.28515625" style="8" customWidth="1"/>
    <col min="1281" max="1281" width="14.28515625" style="8" customWidth="1"/>
    <col min="1282" max="1282" width="16.28515625" style="8" customWidth="1"/>
    <col min="1283" max="1283" width="22.28515625" style="8" customWidth="1"/>
    <col min="1284" max="1284" width="17.42578125" style="8" customWidth="1"/>
    <col min="1285" max="1285" width="21.5703125" style="8" customWidth="1"/>
    <col min="1286" max="1286" width="14.28515625" style="8" customWidth="1"/>
    <col min="1287" max="1287" width="9.140625" style="8" customWidth="1"/>
    <col min="1288" max="1288" width="11.28515625" style="8" customWidth="1"/>
    <col min="1289" max="1532" width="9.140625" style="8"/>
    <col min="1533" max="1533" width="26" style="8" customWidth="1"/>
    <col min="1534" max="1534" width="21.140625" style="8" customWidth="1"/>
    <col min="1535" max="1535" width="11.140625" style="8" customWidth="1"/>
    <col min="1536" max="1536" width="11.28515625" style="8" customWidth="1"/>
    <col min="1537" max="1537" width="14.28515625" style="8" customWidth="1"/>
    <col min="1538" max="1538" width="16.28515625" style="8" customWidth="1"/>
    <col min="1539" max="1539" width="22.28515625" style="8" customWidth="1"/>
    <col min="1540" max="1540" width="17.42578125" style="8" customWidth="1"/>
    <col min="1541" max="1541" width="21.5703125" style="8" customWidth="1"/>
    <col min="1542" max="1542" width="14.28515625" style="8" customWidth="1"/>
    <col min="1543" max="1543" width="9.140625" style="8" customWidth="1"/>
    <col min="1544" max="1544" width="11.28515625" style="8" customWidth="1"/>
    <col min="1545" max="1788" width="9.140625" style="8"/>
    <col min="1789" max="1789" width="26" style="8" customWidth="1"/>
    <col min="1790" max="1790" width="21.140625" style="8" customWidth="1"/>
    <col min="1791" max="1791" width="11.140625" style="8" customWidth="1"/>
    <col min="1792" max="1792" width="11.28515625" style="8" customWidth="1"/>
    <col min="1793" max="1793" width="14.28515625" style="8" customWidth="1"/>
    <col min="1794" max="1794" width="16.28515625" style="8" customWidth="1"/>
    <col min="1795" max="1795" width="22.28515625" style="8" customWidth="1"/>
    <col min="1796" max="1796" width="17.42578125" style="8" customWidth="1"/>
    <col min="1797" max="1797" width="21.5703125" style="8" customWidth="1"/>
    <col min="1798" max="1798" width="14.28515625" style="8" customWidth="1"/>
    <col min="1799" max="1799" width="9.140625" style="8" customWidth="1"/>
    <col min="1800" max="1800" width="11.28515625" style="8" customWidth="1"/>
    <col min="1801" max="2044" width="9.140625" style="8"/>
    <col min="2045" max="2045" width="26" style="8" customWidth="1"/>
    <col min="2046" max="2046" width="21.140625" style="8" customWidth="1"/>
    <col min="2047" max="2047" width="11.140625" style="8" customWidth="1"/>
    <col min="2048" max="2048" width="11.28515625" style="8" customWidth="1"/>
    <col min="2049" max="2049" width="14.28515625" style="8" customWidth="1"/>
    <col min="2050" max="2050" width="16.28515625" style="8" customWidth="1"/>
    <col min="2051" max="2051" width="22.28515625" style="8" customWidth="1"/>
    <col min="2052" max="2052" width="17.42578125" style="8" customWidth="1"/>
    <col min="2053" max="2053" width="21.5703125" style="8" customWidth="1"/>
    <col min="2054" max="2054" width="14.28515625" style="8" customWidth="1"/>
    <col min="2055" max="2055" width="9.140625" style="8" customWidth="1"/>
    <col min="2056" max="2056" width="11.28515625" style="8" customWidth="1"/>
    <col min="2057" max="2300" width="9.140625" style="8"/>
    <col min="2301" max="2301" width="26" style="8" customWidth="1"/>
    <col min="2302" max="2302" width="21.140625" style="8" customWidth="1"/>
    <col min="2303" max="2303" width="11.140625" style="8" customWidth="1"/>
    <col min="2304" max="2304" width="11.28515625" style="8" customWidth="1"/>
    <col min="2305" max="2305" width="14.28515625" style="8" customWidth="1"/>
    <col min="2306" max="2306" width="16.28515625" style="8" customWidth="1"/>
    <col min="2307" max="2307" width="22.28515625" style="8" customWidth="1"/>
    <col min="2308" max="2308" width="17.42578125" style="8" customWidth="1"/>
    <col min="2309" max="2309" width="21.5703125" style="8" customWidth="1"/>
    <col min="2310" max="2310" width="14.28515625" style="8" customWidth="1"/>
    <col min="2311" max="2311" width="9.140625" style="8" customWidth="1"/>
    <col min="2312" max="2312" width="11.28515625" style="8" customWidth="1"/>
    <col min="2313" max="2556" width="9.140625" style="8"/>
    <col min="2557" max="2557" width="26" style="8" customWidth="1"/>
    <col min="2558" max="2558" width="21.140625" style="8" customWidth="1"/>
    <col min="2559" max="2559" width="11.140625" style="8" customWidth="1"/>
    <col min="2560" max="2560" width="11.28515625" style="8" customWidth="1"/>
    <col min="2561" max="2561" width="14.28515625" style="8" customWidth="1"/>
    <col min="2562" max="2562" width="16.28515625" style="8" customWidth="1"/>
    <col min="2563" max="2563" width="22.28515625" style="8" customWidth="1"/>
    <col min="2564" max="2564" width="17.42578125" style="8" customWidth="1"/>
    <col min="2565" max="2565" width="21.5703125" style="8" customWidth="1"/>
    <col min="2566" max="2566" width="14.28515625" style="8" customWidth="1"/>
    <col min="2567" max="2567" width="9.140625" style="8" customWidth="1"/>
    <col min="2568" max="2568" width="11.28515625" style="8" customWidth="1"/>
    <col min="2569" max="2812" width="9.140625" style="8"/>
    <col min="2813" max="2813" width="26" style="8" customWidth="1"/>
    <col min="2814" max="2814" width="21.140625" style="8" customWidth="1"/>
    <col min="2815" max="2815" width="11.140625" style="8" customWidth="1"/>
    <col min="2816" max="2816" width="11.28515625" style="8" customWidth="1"/>
    <col min="2817" max="2817" width="14.28515625" style="8" customWidth="1"/>
    <col min="2818" max="2818" width="16.28515625" style="8" customWidth="1"/>
    <col min="2819" max="2819" width="22.28515625" style="8" customWidth="1"/>
    <col min="2820" max="2820" width="17.42578125" style="8" customWidth="1"/>
    <col min="2821" max="2821" width="21.5703125" style="8" customWidth="1"/>
    <col min="2822" max="2822" width="14.28515625" style="8" customWidth="1"/>
    <col min="2823" max="2823" width="9.140625" style="8" customWidth="1"/>
    <col min="2824" max="2824" width="11.28515625" style="8" customWidth="1"/>
    <col min="2825" max="3068" width="9.140625" style="8"/>
    <col min="3069" max="3069" width="26" style="8" customWidth="1"/>
    <col min="3070" max="3070" width="21.140625" style="8" customWidth="1"/>
    <col min="3071" max="3071" width="11.140625" style="8" customWidth="1"/>
    <col min="3072" max="3072" width="11.28515625" style="8" customWidth="1"/>
    <col min="3073" max="3073" width="14.28515625" style="8" customWidth="1"/>
    <col min="3074" max="3074" width="16.28515625" style="8" customWidth="1"/>
    <col min="3075" max="3075" width="22.28515625" style="8" customWidth="1"/>
    <col min="3076" max="3076" width="17.42578125" style="8" customWidth="1"/>
    <col min="3077" max="3077" width="21.5703125" style="8" customWidth="1"/>
    <col min="3078" max="3078" width="14.28515625" style="8" customWidth="1"/>
    <col min="3079" max="3079" width="9.140625" style="8" customWidth="1"/>
    <col min="3080" max="3080" width="11.28515625" style="8" customWidth="1"/>
    <col min="3081" max="3324" width="9.140625" style="8"/>
    <col min="3325" max="3325" width="26" style="8" customWidth="1"/>
    <col min="3326" max="3326" width="21.140625" style="8" customWidth="1"/>
    <col min="3327" max="3327" width="11.140625" style="8" customWidth="1"/>
    <col min="3328" max="3328" width="11.28515625" style="8" customWidth="1"/>
    <col min="3329" max="3329" width="14.28515625" style="8" customWidth="1"/>
    <col min="3330" max="3330" width="16.28515625" style="8" customWidth="1"/>
    <col min="3331" max="3331" width="22.28515625" style="8" customWidth="1"/>
    <col min="3332" max="3332" width="17.42578125" style="8" customWidth="1"/>
    <col min="3333" max="3333" width="21.5703125" style="8" customWidth="1"/>
    <col min="3334" max="3334" width="14.28515625" style="8" customWidth="1"/>
    <col min="3335" max="3335" width="9.140625" style="8" customWidth="1"/>
    <col min="3336" max="3336" width="11.28515625" style="8" customWidth="1"/>
    <col min="3337" max="3580" width="9.140625" style="8"/>
    <col min="3581" max="3581" width="26" style="8" customWidth="1"/>
    <col min="3582" max="3582" width="21.140625" style="8" customWidth="1"/>
    <col min="3583" max="3583" width="11.140625" style="8" customWidth="1"/>
    <col min="3584" max="3584" width="11.28515625" style="8" customWidth="1"/>
    <col min="3585" max="3585" width="14.28515625" style="8" customWidth="1"/>
    <col min="3586" max="3586" width="16.28515625" style="8" customWidth="1"/>
    <col min="3587" max="3587" width="22.28515625" style="8" customWidth="1"/>
    <col min="3588" max="3588" width="17.42578125" style="8" customWidth="1"/>
    <col min="3589" max="3589" width="21.5703125" style="8" customWidth="1"/>
    <col min="3590" max="3590" width="14.28515625" style="8" customWidth="1"/>
    <col min="3591" max="3591" width="9.140625" style="8" customWidth="1"/>
    <col min="3592" max="3592" width="11.28515625" style="8" customWidth="1"/>
    <col min="3593" max="3836" width="9.140625" style="8"/>
    <col min="3837" max="3837" width="26" style="8" customWidth="1"/>
    <col min="3838" max="3838" width="21.140625" style="8" customWidth="1"/>
    <col min="3839" max="3839" width="11.140625" style="8" customWidth="1"/>
    <col min="3840" max="3840" width="11.28515625" style="8" customWidth="1"/>
    <col min="3841" max="3841" width="14.28515625" style="8" customWidth="1"/>
    <col min="3842" max="3842" width="16.28515625" style="8" customWidth="1"/>
    <col min="3843" max="3843" width="22.28515625" style="8" customWidth="1"/>
    <col min="3844" max="3844" width="17.42578125" style="8" customWidth="1"/>
    <col min="3845" max="3845" width="21.5703125" style="8" customWidth="1"/>
    <col min="3846" max="3846" width="14.28515625" style="8" customWidth="1"/>
    <col min="3847" max="3847" width="9.140625" style="8" customWidth="1"/>
    <col min="3848" max="3848" width="11.28515625" style="8" customWidth="1"/>
    <col min="3849" max="4092" width="9.140625" style="8"/>
    <col min="4093" max="4093" width="26" style="8" customWidth="1"/>
    <col min="4094" max="4094" width="21.140625" style="8" customWidth="1"/>
    <col min="4095" max="4095" width="11.140625" style="8" customWidth="1"/>
    <col min="4096" max="4096" width="11.28515625" style="8" customWidth="1"/>
    <col min="4097" max="4097" width="14.28515625" style="8" customWidth="1"/>
    <col min="4098" max="4098" width="16.28515625" style="8" customWidth="1"/>
    <col min="4099" max="4099" width="22.28515625" style="8" customWidth="1"/>
    <col min="4100" max="4100" width="17.42578125" style="8" customWidth="1"/>
    <col min="4101" max="4101" width="21.5703125" style="8" customWidth="1"/>
    <col min="4102" max="4102" width="14.28515625" style="8" customWidth="1"/>
    <col min="4103" max="4103" width="9.140625" style="8" customWidth="1"/>
    <col min="4104" max="4104" width="11.28515625" style="8" customWidth="1"/>
    <col min="4105" max="4348" width="9.140625" style="8"/>
    <col min="4349" max="4349" width="26" style="8" customWidth="1"/>
    <col min="4350" max="4350" width="21.140625" style="8" customWidth="1"/>
    <col min="4351" max="4351" width="11.140625" style="8" customWidth="1"/>
    <col min="4352" max="4352" width="11.28515625" style="8" customWidth="1"/>
    <col min="4353" max="4353" width="14.28515625" style="8" customWidth="1"/>
    <col min="4354" max="4354" width="16.28515625" style="8" customWidth="1"/>
    <col min="4355" max="4355" width="22.28515625" style="8" customWidth="1"/>
    <col min="4356" max="4356" width="17.42578125" style="8" customWidth="1"/>
    <col min="4357" max="4357" width="21.5703125" style="8" customWidth="1"/>
    <col min="4358" max="4358" width="14.28515625" style="8" customWidth="1"/>
    <col min="4359" max="4359" width="9.140625" style="8" customWidth="1"/>
    <col min="4360" max="4360" width="11.28515625" style="8" customWidth="1"/>
    <col min="4361" max="4604" width="9.140625" style="8"/>
    <col min="4605" max="4605" width="26" style="8" customWidth="1"/>
    <col min="4606" max="4606" width="21.140625" style="8" customWidth="1"/>
    <col min="4607" max="4607" width="11.140625" style="8" customWidth="1"/>
    <col min="4608" max="4608" width="11.28515625" style="8" customWidth="1"/>
    <col min="4609" max="4609" width="14.28515625" style="8" customWidth="1"/>
    <col min="4610" max="4610" width="16.28515625" style="8" customWidth="1"/>
    <col min="4611" max="4611" width="22.28515625" style="8" customWidth="1"/>
    <col min="4612" max="4612" width="17.42578125" style="8" customWidth="1"/>
    <col min="4613" max="4613" width="21.5703125" style="8" customWidth="1"/>
    <col min="4614" max="4614" width="14.28515625" style="8" customWidth="1"/>
    <col min="4615" max="4615" width="9.140625" style="8" customWidth="1"/>
    <col min="4616" max="4616" width="11.28515625" style="8" customWidth="1"/>
    <col min="4617" max="4860" width="9.140625" style="8"/>
    <col min="4861" max="4861" width="26" style="8" customWidth="1"/>
    <col min="4862" max="4862" width="21.140625" style="8" customWidth="1"/>
    <col min="4863" max="4863" width="11.140625" style="8" customWidth="1"/>
    <col min="4864" max="4864" width="11.28515625" style="8" customWidth="1"/>
    <col min="4865" max="4865" width="14.28515625" style="8" customWidth="1"/>
    <col min="4866" max="4866" width="16.28515625" style="8" customWidth="1"/>
    <col min="4867" max="4867" width="22.28515625" style="8" customWidth="1"/>
    <col min="4868" max="4868" width="17.42578125" style="8" customWidth="1"/>
    <col min="4869" max="4869" width="21.5703125" style="8" customWidth="1"/>
    <col min="4870" max="4870" width="14.28515625" style="8" customWidth="1"/>
    <col min="4871" max="4871" width="9.140625" style="8" customWidth="1"/>
    <col min="4872" max="4872" width="11.28515625" style="8" customWidth="1"/>
    <col min="4873" max="5116" width="9.140625" style="8"/>
    <col min="5117" max="5117" width="26" style="8" customWidth="1"/>
    <col min="5118" max="5118" width="21.140625" style="8" customWidth="1"/>
    <col min="5119" max="5119" width="11.140625" style="8" customWidth="1"/>
    <col min="5120" max="5120" width="11.28515625" style="8" customWidth="1"/>
    <col min="5121" max="5121" width="14.28515625" style="8" customWidth="1"/>
    <col min="5122" max="5122" width="16.28515625" style="8" customWidth="1"/>
    <col min="5123" max="5123" width="22.28515625" style="8" customWidth="1"/>
    <col min="5124" max="5124" width="17.42578125" style="8" customWidth="1"/>
    <col min="5125" max="5125" width="21.5703125" style="8" customWidth="1"/>
    <col min="5126" max="5126" width="14.28515625" style="8" customWidth="1"/>
    <col min="5127" max="5127" width="9.140625" style="8" customWidth="1"/>
    <col min="5128" max="5128" width="11.28515625" style="8" customWidth="1"/>
    <col min="5129" max="5372" width="9.140625" style="8"/>
    <col min="5373" max="5373" width="26" style="8" customWidth="1"/>
    <col min="5374" max="5374" width="21.140625" style="8" customWidth="1"/>
    <col min="5375" max="5375" width="11.140625" style="8" customWidth="1"/>
    <col min="5376" max="5376" width="11.28515625" style="8" customWidth="1"/>
    <col min="5377" max="5377" width="14.28515625" style="8" customWidth="1"/>
    <col min="5378" max="5378" width="16.28515625" style="8" customWidth="1"/>
    <col min="5379" max="5379" width="22.28515625" style="8" customWidth="1"/>
    <col min="5380" max="5380" width="17.42578125" style="8" customWidth="1"/>
    <col min="5381" max="5381" width="21.5703125" style="8" customWidth="1"/>
    <col min="5382" max="5382" width="14.28515625" style="8" customWidth="1"/>
    <col min="5383" max="5383" width="9.140625" style="8" customWidth="1"/>
    <col min="5384" max="5384" width="11.28515625" style="8" customWidth="1"/>
    <col min="5385" max="5628" width="9.140625" style="8"/>
    <col min="5629" max="5629" width="26" style="8" customWidth="1"/>
    <col min="5630" max="5630" width="21.140625" style="8" customWidth="1"/>
    <col min="5631" max="5631" width="11.140625" style="8" customWidth="1"/>
    <col min="5632" max="5632" width="11.28515625" style="8" customWidth="1"/>
    <col min="5633" max="5633" width="14.28515625" style="8" customWidth="1"/>
    <col min="5634" max="5634" width="16.28515625" style="8" customWidth="1"/>
    <col min="5635" max="5635" width="22.28515625" style="8" customWidth="1"/>
    <col min="5636" max="5636" width="17.42578125" style="8" customWidth="1"/>
    <col min="5637" max="5637" width="21.5703125" style="8" customWidth="1"/>
    <col min="5638" max="5638" width="14.28515625" style="8" customWidth="1"/>
    <col min="5639" max="5639" width="9.140625" style="8" customWidth="1"/>
    <col min="5640" max="5640" width="11.28515625" style="8" customWidth="1"/>
    <col min="5641" max="5884" width="9.140625" style="8"/>
    <col min="5885" max="5885" width="26" style="8" customWidth="1"/>
    <col min="5886" max="5886" width="21.140625" style="8" customWidth="1"/>
    <col min="5887" max="5887" width="11.140625" style="8" customWidth="1"/>
    <col min="5888" max="5888" width="11.28515625" style="8" customWidth="1"/>
    <col min="5889" max="5889" width="14.28515625" style="8" customWidth="1"/>
    <col min="5890" max="5890" width="16.28515625" style="8" customWidth="1"/>
    <col min="5891" max="5891" width="22.28515625" style="8" customWidth="1"/>
    <col min="5892" max="5892" width="17.42578125" style="8" customWidth="1"/>
    <col min="5893" max="5893" width="21.5703125" style="8" customWidth="1"/>
    <col min="5894" max="5894" width="14.28515625" style="8" customWidth="1"/>
    <col min="5895" max="5895" width="9.140625" style="8" customWidth="1"/>
    <col min="5896" max="5896" width="11.28515625" style="8" customWidth="1"/>
    <col min="5897" max="6140" width="9.140625" style="8"/>
    <col min="6141" max="6141" width="26" style="8" customWidth="1"/>
    <col min="6142" max="6142" width="21.140625" style="8" customWidth="1"/>
    <col min="6143" max="6143" width="11.140625" style="8" customWidth="1"/>
    <col min="6144" max="6144" width="11.28515625" style="8" customWidth="1"/>
    <col min="6145" max="6145" width="14.28515625" style="8" customWidth="1"/>
    <col min="6146" max="6146" width="16.28515625" style="8" customWidth="1"/>
    <col min="6147" max="6147" width="22.28515625" style="8" customWidth="1"/>
    <col min="6148" max="6148" width="17.42578125" style="8" customWidth="1"/>
    <col min="6149" max="6149" width="21.5703125" style="8" customWidth="1"/>
    <col min="6150" max="6150" width="14.28515625" style="8" customWidth="1"/>
    <col min="6151" max="6151" width="9.140625" style="8" customWidth="1"/>
    <col min="6152" max="6152" width="11.28515625" style="8" customWidth="1"/>
    <col min="6153" max="6396" width="9.140625" style="8"/>
    <col min="6397" max="6397" width="26" style="8" customWidth="1"/>
    <col min="6398" max="6398" width="21.140625" style="8" customWidth="1"/>
    <col min="6399" max="6399" width="11.140625" style="8" customWidth="1"/>
    <col min="6400" max="6400" width="11.28515625" style="8" customWidth="1"/>
    <col min="6401" max="6401" width="14.28515625" style="8" customWidth="1"/>
    <col min="6402" max="6402" width="16.28515625" style="8" customWidth="1"/>
    <col min="6403" max="6403" width="22.28515625" style="8" customWidth="1"/>
    <col min="6404" max="6404" width="17.42578125" style="8" customWidth="1"/>
    <col min="6405" max="6405" width="21.5703125" style="8" customWidth="1"/>
    <col min="6406" max="6406" width="14.28515625" style="8" customWidth="1"/>
    <col min="6407" max="6407" width="9.140625" style="8" customWidth="1"/>
    <col min="6408" max="6408" width="11.28515625" style="8" customWidth="1"/>
    <col min="6409" max="6652" width="9.140625" style="8"/>
    <col min="6653" max="6653" width="26" style="8" customWidth="1"/>
    <col min="6654" max="6654" width="21.140625" style="8" customWidth="1"/>
    <col min="6655" max="6655" width="11.140625" style="8" customWidth="1"/>
    <col min="6656" max="6656" width="11.28515625" style="8" customWidth="1"/>
    <col min="6657" max="6657" width="14.28515625" style="8" customWidth="1"/>
    <col min="6658" max="6658" width="16.28515625" style="8" customWidth="1"/>
    <col min="6659" max="6659" width="22.28515625" style="8" customWidth="1"/>
    <col min="6660" max="6660" width="17.42578125" style="8" customWidth="1"/>
    <col min="6661" max="6661" width="21.5703125" style="8" customWidth="1"/>
    <col min="6662" max="6662" width="14.28515625" style="8" customWidth="1"/>
    <col min="6663" max="6663" width="9.140625" style="8" customWidth="1"/>
    <col min="6664" max="6664" width="11.28515625" style="8" customWidth="1"/>
    <col min="6665" max="6908" width="9.140625" style="8"/>
    <col min="6909" max="6909" width="26" style="8" customWidth="1"/>
    <col min="6910" max="6910" width="21.140625" style="8" customWidth="1"/>
    <col min="6911" max="6911" width="11.140625" style="8" customWidth="1"/>
    <col min="6912" max="6912" width="11.28515625" style="8" customWidth="1"/>
    <col min="6913" max="6913" width="14.28515625" style="8" customWidth="1"/>
    <col min="6914" max="6914" width="16.28515625" style="8" customWidth="1"/>
    <col min="6915" max="6915" width="22.28515625" style="8" customWidth="1"/>
    <col min="6916" max="6916" width="17.42578125" style="8" customWidth="1"/>
    <col min="6917" max="6917" width="21.5703125" style="8" customWidth="1"/>
    <col min="6918" max="6918" width="14.28515625" style="8" customWidth="1"/>
    <col min="6919" max="6919" width="9.140625" style="8" customWidth="1"/>
    <col min="6920" max="6920" width="11.28515625" style="8" customWidth="1"/>
    <col min="6921" max="7164" width="9.140625" style="8"/>
    <col min="7165" max="7165" width="26" style="8" customWidth="1"/>
    <col min="7166" max="7166" width="21.140625" style="8" customWidth="1"/>
    <col min="7167" max="7167" width="11.140625" style="8" customWidth="1"/>
    <col min="7168" max="7168" width="11.28515625" style="8" customWidth="1"/>
    <col min="7169" max="7169" width="14.28515625" style="8" customWidth="1"/>
    <col min="7170" max="7170" width="16.28515625" style="8" customWidth="1"/>
    <col min="7171" max="7171" width="22.28515625" style="8" customWidth="1"/>
    <col min="7172" max="7172" width="17.42578125" style="8" customWidth="1"/>
    <col min="7173" max="7173" width="21.5703125" style="8" customWidth="1"/>
    <col min="7174" max="7174" width="14.28515625" style="8" customWidth="1"/>
    <col min="7175" max="7175" width="9.140625" style="8" customWidth="1"/>
    <col min="7176" max="7176" width="11.28515625" style="8" customWidth="1"/>
    <col min="7177" max="7420" width="9.140625" style="8"/>
    <col min="7421" max="7421" width="26" style="8" customWidth="1"/>
    <col min="7422" max="7422" width="21.140625" style="8" customWidth="1"/>
    <col min="7423" max="7423" width="11.140625" style="8" customWidth="1"/>
    <col min="7424" max="7424" width="11.28515625" style="8" customWidth="1"/>
    <col min="7425" max="7425" width="14.28515625" style="8" customWidth="1"/>
    <col min="7426" max="7426" width="16.28515625" style="8" customWidth="1"/>
    <col min="7427" max="7427" width="22.28515625" style="8" customWidth="1"/>
    <col min="7428" max="7428" width="17.42578125" style="8" customWidth="1"/>
    <col min="7429" max="7429" width="21.5703125" style="8" customWidth="1"/>
    <col min="7430" max="7430" width="14.28515625" style="8" customWidth="1"/>
    <col min="7431" max="7431" width="9.140625" style="8" customWidth="1"/>
    <col min="7432" max="7432" width="11.28515625" style="8" customWidth="1"/>
    <col min="7433" max="7676" width="9.140625" style="8"/>
    <col min="7677" max="7677" width="26" style="8" customWidth="1"/>
    <col min="7678" max="7678" width="21.140625" style="8" customWidth="1"/>
    <col min="7679" max="7679" width="11.140625" style="8" customWidth="1"/>
    <col min="7680" max="7680" width="11.28515625" style="8" customWidth="1"/>
    <col min="7681" max="7681" width="14.28515625" style="8" customWidth="1"/>
    <col min="7682" max="7682" width="16.28515625" style="8" customWidth="1"/>
    <col min="7683" max="7683" width="22.28515625" style="8" customWidth="1"/>
    <col min="7684" max="7684" width="17.42578125" style="8" customWidth="1"/>
    <col min="7685" max="7685" width="21.5703125" style="8" customWidth="1"/>
    <col min="7686" max="7686" width="14.28515625" style="8" customWidth="1"/>
    <col min="7687" max="7687" width="9.140625" style="8" customWidth="1"/>
    <col min="7688" max="7688" width="11.28515625" style="8" customWidth="1"/>
    <col min="7689" max="7932" width="9.140625" style="8"/>
    <col min="7933" max="7933" width="26" style="8" customWidth="1"/>
    <col min="7934" max="7934" width="21.140625" style="8" customWidth="1"/>
    <col min="7935" max="7935" width="11.140625" style="8" customWidth="1"/>
    <col min="7936" max="7936" width="11.28515625" style="8" customWidth="1"/>
    <col min="7937" max="7937" width="14.28515625" style="8" customWidth="1"/>
    <col min="7938" max="7938" width="16.28515625" style="8" customWidth="1"/>
    <col min="7939" max="7939" width="22.28515625" style="8" customWidth="1"/>
    <col min="7940" max="7940" width="17.42578125" style="8" customWidth="1"/>
    <col min="7941" max="7941" width="21.5703125" style="8" customWidth="1"/>
    <col min="7942" max="7942" width="14.28515625" style="8" customWidth="1"/>
    <col min="7943" max="7943" width="9.140625" style="8" customWidth="1"/>
    <col min="7944" max="7944" width="11.28515625" style="8" customWidth="1"/>
    <col min="7945" max="8188" width="9.140625" style="8"/>
    <col min="8189" max="8189" width="26" style="8" customWidth="1"/>
    <col min="8190" max="8190" width="21.140625" style="8" customWidth="1"/>
    <col min="8191" max="8191" width="11.140625" style="8" customWidth="1"/>
    <col min="8192" max="8192" width="11.28515625" style="8" customWidth="1"/>
    <col min="8193" max="8193" width="14.28515625" style="8" customWidth="1"/>
    <col min="8194" max="8194" width="16.28515625" style="8" customWidth="1"/>
    <col min="8195" max="8195" width="22.28515625" style="8" customWidth="1"/>
    <col min="8196" max="8196" width="17.42578125" style="8" customWidth="1"/>
    <col min="8197" max="8197" width="21.5703125" style="8" customWidth="1"/>
    <col min="8198" max="8198" width="14.28515625" style="8" customWidth="1"/>
    <col min="8199" max="8199" width="9.140625" style="8" customWidth="1"/>
    <col min="8200" max="8200" width="11.28515625" style="8" customWidth="1"/>
    <col min="8201" max="8444" width="9.140625" style="8"/>
    <col min="8445" max="8445" width="26" style="8" customWidth="1"/>
    <col min="8446" max="8446" width="21.140625" style="8" customWidth="1"/>
    <col min="8447" max="8447" width="11.140625" style="8" customWidth="1"/>
    <col min="8448" max="8448" width="11.28515625" style="8" customWidth="1"/>
    <col min="8449" max="8449" width="14.28515625" style="8" customWidth="1"/>
    <col min="8450" max="8450" width="16.28515625" style="8" customWidth="1"/>
    <col min="8451" max="8451" width="22.28515625" style="8" customWidth="1"/>
    <col min="8452" max="8452" width="17.42578125" style="8" customWidth="1"/>
    <col min="8453" max="8453" width="21.5703125" style="8" customWidth="1"/>
    <col min="8454" max="8454" width="14.28515625" style="8" customWidth="1"/>
    <col min="8455" max="8455" width="9.140625" style="8" customWidth="1"/>
    <col min="8456" max="8456" width="11.28515625" style="8" customWidth="1"/>
    <col min="8457" max="8700" width="9.140625" style="8"/>
    <col min="8701" max="8701" width="26" style="8" customWidth="1"/>
    <col min="8702" max="8702" width="21.140625" style="8" customWidth="1"/>
    <col min="8703" max="8703" width="11.140625" style="8" customWidth="1"/>
    <col min="8704" max="8704" width="11.28515625" style="8" customWidth="1"/>
    <col min="8705" max="8705" width="14.28515625" style="8" customWidth="1"/>
    <col min="8706" max="8706" width="16.28515625" style="8" customWidth="1"/>
    <col min="8707" max="8707" width="22.28515625" style="8" customWidth="1"/>
    <col min="8708" max="8708" width="17.42578125" style="8" customWidth="1"/>
    <col min="8709" max="8709" width="21.5703125" style="8" customWidth="1"/>
    <col min="8710" max="8710" width="14.28515625" style="8" customWidth="1"/>
    <col min="8711" max="8711" width="9.140625" style="8" customWidth="1"/>
    <col min="8712" max="8712" width="11.28515625" style="8" customWidth="1"/>
    <col min="8713" max="8956" width="9.140625" style="8"/>
    <col min="8957" max="8957" width="26" style="8" customWidth="1"/>
    <col min="8958" max="8958" width="21.140625" style="8" customWidth="1"/>
    <col min="8959" max="8959" width="11.140625" style="8" customWidth="1"/>
    <col min="8960" max="8960" width="11.28515625" style="8" customWidth="1"/>
    <col min="8961" max="8961" width="14.28515625" style="8" customWidth="1"/>
    <col min="8962" max="8962" width="16.28515625" style="8" customWidth="1"/>
    <col min="8963" max="8963" width="22.28515625" style="8" customWidth="1"/>
    <col min="8964" max="8964" width="17.42578125" style="8" customWidth="1"/>
    <col min="8965" max="8965" width="21.5703125" style="8" customWidth="1"/>
    <col min="8966" max="8966" width="14.28515625" style="8" customWidth="1"/>
    <col min="8967" max="8967" width="9.140625" style="8" customWidth="1"/>
    <col min="8968" max="8968" width="11.28515625" style="8" customWidth="1"/>
    <col min="8969" max="9212" width="9.140625" style="8"/>
    <col min="9213" max="9213" width="26" style="8" customWidth="1"/>
    <col min="9214" max="9214" width="21.140625" style="8" customWidth="1"/>
    <col min="9215" max="9215" width="11.140625" style="8" customWidth="1"/>
    <col min="9216" max="9216" width="11.28515625" style="8" customWidth="1"/>
    <col min="9217" max="9217" width="14.28515625" style="8" customWidth="1"/>
    <col min="9218" max="9218" width="16.28515625" style="8" customWidth="1"/>
    <col min="9219" max="9219" width="22.28515625" style="8" customWidth="1"/>
    <col min="9220" max="9220" width="17.42578125" style="8" customWidth="1"/>
    <col min="9221" max="9221" width="21.5703125" style="8" customWidth="1"/>
    <col min="9222" max="9222" width="14.28515625" style="8" customWidth="1"/>
    <col min="9223" max="9223" width="9.140625" style="8" customWidth="1"/>
    <col min="9224" max="9224" width="11.28515625" style="8" customWidth="1"/>
    <col min="9225" max="9468" width="9.140625" style="8"/>
    <col min="9469" max="9469" width="26" style="8" customWidth="1"/>
    <col min="9470" max="9470" width="21.140625" style="8" customWidth="1"/>
    <col min="9471" max="9471" width="11.140625" style="8" customWidth="1"/>
    <col min="9472" max="9472" width="11.28515625" style="8" customWidth="1"/>
    <col min="9473" max="9473" width="14.28515625" style="8" customWidth="1"/>
    <col min="9474" max="9474" width="16.28515625" style="8" customWidth="1"/>
    <col min="9475" max="9475" width="22.28515625" style="8" customWidth="1"/>
    <col min="9476" max="9476" width="17.42578125" style="8" customWidth="1"/>
    <col min="9477" max="9477" width="21.5703125" style="8" customWidth="1"/>
    <col min="9478" max="9478" width="14.28515625" style="8" customWidth="1"/>
    <col min="9479" max="9479" width="9.140625" style="8" customWidth="1"/>
    <col min="9480" max="9480" width="11.28515625" style="8" customWidth="1"/>
    <col min="9481" max="9724" width="9.140625" style="8"/>
    <col min="9725" max="9725" width="26" style="8" customWidth="1"/>
    <col min="9726" max="9726" width="21.140625" style="8" customWidth="1"/>
    <col min="9727" max="9727" width="11.140625" style="8" customWidth="1"/>
    <col min="9728" max="9728" width="11.28515625" style="8" customWidth="1"/>
    <col min="9729" max="9729" width="14.28515625" style="8" customWidth="1"/>
    <col min="9730" max="9730" width="16.28515625" style="8" customWidth="1"/>
    <col min="9731" max="9731" width="22.28515625" style="8" customWidth="1"/>
    <col min="9732" max="9732" width="17.42578125" style="8" customWidth="1"/>
    <col min="9733" max="9733" width="21.5703125" style="8" customWidth="1"/>
    <col min="9734" max="9734" width="14.28515625" style="8" customWidth="1"/>
    <col min="9735" max="9735" width="9.140625" style="8" customWidth="1"/>
    <col min="9736" max="9736" width="11.28515625" style="8" customWidth="1"/>
    <col min="9737" max="9980" width="9.140625" style="8"/>
    <col min="9981" max="9981" width="26" style="8" customWidth="1"/>
    <col min="9982" max="9982" width="21.140625" style="8" customWidth="1"/>
    <col min="9983" max="9983" width="11.140625" style="8" customWidth="1"/>
    <col min="9984" max="9984" width="11.28515625" style="8" customWidth="1"/>
    <col min="9985" max="9985" width="14.28515625" style="8" customWidth="1"/>
    <col min="9986" max="9986" width="16.28515625" style="8" customWidth="1"/>
    <col min="9987" max="9987" width="22.28515625" style="8" customWidth="1"/>
    <col min="9988" max="9988" width="17.42578125" style="8" customWidth="1"/>
    <col min="9989" max="9989" width="21.5703125" style="8" customWidth="1"/>
    <col min="9990" max="9990" width="14.28515625" style="8" customWidth="1"/>
    <col min="9991" max="9991" width="9.140625" style="8" customWidth="1"/>
    <col min="9992" max="9992" width="11.28515625" style="8" customWidth="1"/>
    <col min="9993" max="10236" width="9.140625" style="8"/>
    <col min="10237" max="10237" width="26" style="8" customWidth="1"/>
    <col min="10238" max="10238" width="21.140625" style="8" customWidth="1"/>
    <col min="10239" max="10239" width="11.140625" style="8" customWidth="1"/>
    <col min="10240" max="10240" width="11.28515625" style="8" customWidth="1"/>
    <col min="10241" max="10241" width="14.28515625" style="8" customWidth="1"/>
    <col min="10242" max="10242" width="16.28515625" style="8" customWidth="1"/>
    <col min="10243" max="10243" width="22.28515625" style="8" customWidth="1"/>
    <col min="10244" max="10244" width="17.42578125" style="8" customWidth="1"/>
    <col min="10245" max="10245" width="21.5703125" style="8" customWidth="1"/>
    <col min="10246" max="10246" width="14.28515625" style="8" customWidth="1"/>
    <col min="10247" max="10247" width="9.140625" style="8" customWidth="1"/>
    <col min="10248" max="10248" width="11.28515625" style="8" customWidth="1"/>
    <col min="10249" max="10492" width="9.140625" style="8"/>
    <col min="10493" max="10493" width="26" style="8" customWidth="1"/>
    <col min="10494" max="10494" width="21.140625" style="8" customWidth="1"/>
    <col min="10495" max="10495" width="11.140625" style="8" customWidth="1"/>
    <col min="10496" max="10496" width="11.28515625" style="8" customWidth="1"/>
    <col min="10497" max="10497" width="14.28515625" style="8" customWidth="1"/>
    <col min="10498" max="10498" width="16.28515625" style="8" customWidth="1"/>
    <col min="10499" max="10499" width="22.28515625" style="8" customWidth="1"/>
    <col min="10500" max="10500" width="17.42578125" style="8" customWidth="1"/>
    <col min="10501" max="10501" width="21.5703125" style="8" customWidth="1"/>
    <col min="10502" max="10502" width="14.28515625" style="8" customWidth="1"/>
    <col min="10503" max="10503" width="9.140625" style="8" customWidth="1"/>
    <col min="10504" max="10504" width="11.28515625" style="8" customWidth="1"/>
    <col min="10505" max="10748" width="9.140625" style="8"/>
    <col min="10749" max="10749" width="26" style="8" customWidth="1"/>
    <col min="10750" max="10750" width="21.140625" style="8" customWidth="1"/>
    <col min="10751" max="10751" width="11.140625" style="8" customWidth="1"/>
    <col min="10752" max="10752" width="11.28515625" style="8" customWidth="1"/>
    <col min="10753" max="10753" width="14.28515625" style="8" customWidth="1"/>
    <col min="10754" max="10754" width="16.28515625" style="8" customWidth="1"/>
    <col min="10755" max="10755" width="22.28515625" style="8" customWidth="1"/>
    <col min="10756" max="10756" width="17.42578125" style="8" customWidth="1"/>
    <col min="10757" max="10757" width="21.5703125" style="8" customWidth="1"/>
    <col min="10758" max="10758" width="14.28515625" style="8" customWidth="1"/>
    <col min="10759" max="10759" width="9.140625" style="8" customWidth="1"/>
    <col min="10760" max="10760" width="11.28515625" style="8" customWidth="1"/>
    <col min="10761" max="11004" width="9.140625" style="8"/>
    <col min="11005" max="11005" width="26" style="8" customWidth="1"/>
    <col min="11006" max="11006" width="21.140625" style="8" customWidth="1"/>
    <col min="11007" max="11007" width="11.140625" style="8" customWidth="1"/>
    <col min="11008" max="11008" width="11.28515625" style="8" customWidth="1"/>
    <col min="11009" max="11009" width="14.28515625" style="8" customWidth="1"/>
    <col min="11010" max="11010" width="16.28515625" style="8" customWidth="1"/>
    <col min="11011" max="11011" width="22.28515625" style="8" customWidth="1"/>
    <col min="11012" max="11012" width="17.42578125" style="8" customWidth="1"/>
    <col min="11013" max="11013" width="21.5703125" style="8" customWidth="1"/>
    <col min="11014" max="11014" width="14.28515625" style="8" customWidth="1"/>
    <col min="11015" max="11015" width="9.140625" style="8" customWidth="1"/>
    <col min="11016" max="11016" width="11.28515625" style="8" customWidth="1"/>
    <col min="11017" max="11260" width="9.140625" style="8"/>
    <col min="11261" max="11261" width="26" style="8" customWidth="1"/>
    <col min="11262" max="11262" width="21.140625" style="8" customWidth="1"/>
    <col min="11263" max="11263" width="11.140625" style="8" customWidth="1"/>
    <col min="11264" max="11264" width="11.28515625" style="8" customWidth="1"/>
    <col min="11265" max="11265" width="14.28515625" style="8" customWidth="1"/>
    <col min="11266" max="11266" width="16.28515625" style="8" customWidth="1"/>
    <col min="11267" max="11267" width="22.28515625" style="8" customWidth="1"/>
    <col min="11268" max="11268" width="17.42578125" style="8" customWidth="1"/>
    <col min="11269" max="11269" width="21.5703125" style="8" customWidth="1"/>
    <col min="11270" max="11270" width="14.28515625" style="8" customWidth="1"/>
    <col min="11271" max="11271" width="9.140625" style="8" customWidth="1"/>
    <col min="11272" max="11272" width="11.28515625" style="8" customWidth="1"/>
    <col min="11273" max="11516" width="9.140625" style="8"/>
    <col min="11517" max="11517" width="26" style="8" customWidth="1"/>
    <col min="11518" max="11518" width="21.140625" style="8" customWidth="1"/>
    <col min="11519" max="11519" width="11.140625" style="8" customWidth="1"/>
    <col min="11520" max="11520" width="11.28515625" style="8" customWidth="1"/>
    <col min="11521" max="11521" width="14.28515625" style="8" customWidth="1"/>
    <col min="11522" max="11522" width="16.28515625" style="8" customWidth="1"/>
    <col min="11523" max="11523" width="22.28515625" style="8" customWidth="1"/>
    <col min="11524" max="11524" width="17.42578125" style="8" customWidth="1"/>
    <col min="11525" max="11525" width="21.5703125" style="8" customWidth="1"/>
    <col min="11526" max="11526" width="14.28515625" style="8" customWidth="1"/>
    <col min="11527" max="11527" width="9.140625" style="8" customWidth="1"/>
    <col min="11528" max="11528" width="11.28515625" style="8" customWidth="1"/>
    <col min="11529" max="11772" width="9.140625" style="8"/>
    <col min="11773" max="11773" width="26" style="8" customWidth="1"/>
    <col min="11774" max="11774" width="21.140625" style="8" customWidth="1"/>
    <col min="11775" max="11775" width="11.140625" style="8" customWidth="1"/>
    <col min="11776" max="11776" width="11.28515625" style="8" customWidth="1"/>
    <col min="11777" max="11777" width="14.28515625" style="8" customWidth="1"/>
    <col min="11778" max="11778" width="16.28515625" style="8" customWidth="1"/>
    <col min="11779" max="11779" width="22.28515625" style="8" customWidth="1"/>
    <col min="11780" max="11780" width="17.42578125" style="8" customWidth="1"/>
    <col min="11781" max="11781" width="21.5703125" style="8" customWidth="1"/>
    <col min="11782" max="11782" width="14.28515625" style="8" customWidth="1"/>
    <col min="11783" max="11783" width="9.140625" style="8" customWidth="1"/>
    <col min="11784" max="11784" width="11.28515625" style="8" customWidth="1"/>
    <col min="11785" max="12028" width="9.140625" style="8"/>
    <col min="12029" max="12029" width="26" style="8" customWidth="1"/>
    <col min="12030" max="12030" width="21.140625" style="8" customWidth="1"/>
    <col min="12031" max="12031" width="11.140625" style="8" customWidth="1"/>
    <col min="12032" max="12032" width="11.28515625" style="8" customWidth="1"/>
    <col min="12033" max="12033" width="14.28515625" style="8" customWidth="1"/>
    <col min="12034" max="12034" width="16.28515625" style="8" customWidth="1"/>
    <col min="12035" max="12035" width="22.28515625" style="8" customWidth="1"/>
    <col min="12036" max="12036" width="17.42578125" style="8" customWidth="1"/>
    <col min="12037" max="12037" width="21.5703125" style="8" customWidth="1"/>
    <col min="12038" max="12038" width="14.28515625" style="8" customWidth="1"/>
    <col min="12039" max="12039" width="9.140625" style="8" customWidth="1"/>
    <col min="12040" max="12040" width="11.28515625" style="8" customWidth="1"/>
    <col min="12041" max="12284" width="9.140625" style="8"/>
    <col min="12285" max="12285" width="26" style="8" customWidth="1"/>
    <col min="12286" max="12286" width="21.140625" style="8" customWidth="1"/>
    <col min="12287" max="12287" width="11.140625" style="8" customWidth="1"/>
    <col min="12288" max="12288" width="11.28515625" style="8" customWidth="1"/>
    <col min="12289" max="12289" width="14.28515625" style="8" customWidth="1"/>
    <col min="12290" max="12290" width="16.28515625" style="8" customWidth="1"/>
    <col min="12291" max="12291" width="22.28515625" style="8" customWidth="1"/>
    <col min="12292" max="12292" width="17.42578125" style="8" customWidth="1"/>
    <col min="12293" max="12293" width="21.5703125" style="8" customWidth="1"/>
    <col min="12294" max="12294" width="14.28515625" style="8" customWidth="1"/>
    <col min="12295" max="12295" width="9.140625" style="8" customWidth="1"/>
    <col min="12296" max="12296" width="11.28515625" style="8" customWidth="1"/>
    <col min="12297" max="12540" width="9.140625" style="8"/>
    <col min="12541" max="12541" width="26" style="8" customWidth="1"/>
    <col min="12542" max="12542" width="21.140625" style="8" customWidth="1"/>
    <col min="12543" max="12543" width="11.140625" style="8" customWidth="1"/>
    <col min="12544" max="12544" width="11.28515625" style="8" customWidth="1"/>
    <col min="12545" max="12545" width="14.28515625" style="8" customWidth="1"/>
    <col min="12546" max="12546" width="16.28515625" style="8" customWidth="1"/>
    <col min="12547" max="12547" width="22.28515625" style="8" customWidth="1"/>
    <col min="12548" max="12548" width="17.42578125" style="8" customWidth="1"/>
    <col min="12549" max="12549" width="21.5703125" style="8" customWidth="1"/>
    <col min="12550" max="12550" width="14.28515625" style="8" customWidth="1"/>
    <col min="12551" max="12551" width="9.140625" style="8" customWidth="1"/>
    <col min="12552" max="12552" width="11.28515625" style="8" customWidth="1"/>
    <col min="12553" max="12796" width="9.140625" style="8"/>
    <col min="12797" max="12797" width="26" style="8" customWidth="1"/>
    <col min="12798" max="12798" width="21.140625" style="8" customWidth="1"/>
    <col min="12799" max="12799" width="11.140625" style="8" customWidth="1"/>
    <col min="12800" max="12800" width="11.28515625" style="8" customWidth="1"/>
    <col min="12801" max="12801" width="14.28515625" style="8" customWidth="1"/>
    <col min="12802" max="12802" width="16.28515625" style="8" customWidth="1"/>
    <col min="12803" max="12803" width="22.28515625" style="8" customWidth="1"/>
    <col min="12804" max="12804" width="17.42578125" style="8" customWidth="1"/>
    <col min="12805" max="12805" width="21.5703125" style="8" customWidth="1"/>
    <col min="12806" max="12806" width="14.28515625" style="8" customWidth="1"/>
    <col min="12807" max="12807" width="9.140625" style="8" customWidth="1"/>
    <col min="12808" max="12808" width="11.28515625" style="8" customWidth="1"/>
    <col min="12809" max="13052" width="9.140625" style="8"/>
    <col min="13053" max="13053" width="26" style="8" customWidth="1"/>
    <col min="13054" max="13054" width="21.140625" style="8" customWidth="1"/>
    <col min="13055" max="13055" width="11.140625" style="8" customWidth="1"/>
    <col min="13056" max="13056" width="11.28515625" style="8" customWidth="1"/>
    <col min="13057" max="13057" width="14.28515625" style="8" customWidth="1"/>
    <col min="13058" max="13058" width="16.28515625" style="8" customWidth="1"/>
    <col min="13059" max="13059" width="22.28515625" style="8" customWidth="1"/>
    <col min="13060" max="13060" width="17.42578125" style="8" customWidth="1"/>
    <col min="13061" max="13061" width="21.5703125" style="8" customWidth="1"/>
    <col min="13062" max="13062" width="14.28515625" style="8" customWidth="1"/>
    <col min="13063" max="13063" width="9.140625" style="8" customWidth="1"/>
    <col min="13064" max="13064" width="11.28515625" style="8" customWidth="1"/>
    <col min="13065" max="13308" width="9.140625" style="8"/>
    <col min="13309" max="13309" width="26" style="8" customWidth="1"/>
    <col min="13310" max="13310" width="21.140625" style="8" customWidth="1"/>
    <col min="13311" max="13311" width="11.140625" style="8" customWidth="1"/>
    <col min="13312" max="13312" width="11.28515625" style="8" customWidth="1"/>
    <col min="13313" max="13313" width="14.28515625" style="8" customWidth="1"/>
    <col min="13314" max="13314" width="16.28515625" style="8" customWidth="1"/>
    <col min="13315" max="13315" width="22.28515625" style="8" customWidth="1"/>
    <col min="13316" max="13316" width="17.42578125" style="8" customWidth="1"/>
    <col min="13317" max="13317" width="21.5703125" style="8" customWidth="1"/>
    <col min="13318" max="13318" width="14.28515625" style="8" customWidth="1"/>
    <col min="13319" max="13319" width="9.140625" style="8" customWidth="1"/>
    <col min="13320" max="13320" width="11.28515625" style="8" customWidth="1"/>
    <col min="13321" max="13564" width="9.140625" style="8"/>
    <col min="13565" max="13565" width="26" style="8" customWidth="1"/>
    <col min="13566" max="13566" width="21.140625" style="8" customWidth="1"/>
    <col min="13567" max="13567" width="11.140625" style="8" customWidth="1"/>
    <col min="13568" max="13568" width="11.28515625" style="8" customWidth="1"/>
    <col min="13569" max="13569" width="14.28515625" style="8" customWidth="1"/>
    <col min="13570" max="13570" width="16.28515625" style="8" customWidth="1"/>
    <col min="13571" max="13571" width="22.28515625" style="8" customWidth="1"/>
    <col min="13572" max="13572" width="17.42578125" style="8" customWidth="1"/>
    <col min="13573" max="13573" width="21.5703125" style="8" customWidth="1"/>
    <col min="13574" max="13574" width="14.28515625" style="8" customWidth="1"/>
    <col min="13575" max="13575" width="9.140625" style="8" customWidth="1"/>
    <col min="13576" max="13576" width="11.28515625" style="8" customWidth="1"/>
    <col min="13577" max="13820" width="9.140625" style="8"/>
    <col min="13821" max="13821" width="26" style="8" customWidth="1"/>
    <col min="13822" max="13822" width="21.140625" style="8" customWidth="1"/>
    <col min="13823" max="13823" width="11.140625" style="8" customWidth="1"/>
    <col min="13824" max="13824" width="11.28515625" style="8" customWidth="1"/>
    <col min="13825" max="13825" width="14.28515625" style="8" customWidth="1"/>
    <col min="13826" max="13826" width="16.28515625" style="8" customWidth="1"/>
    <col min="13827" max="13827" width="22.28515625" style="8" customWidth="1"/>
    <col min="13828" max="13828" width="17.42578125" style="8" customWidth="1"/>
    <col min="13829" max="13829" width="21.5703125" style="8" customWidth="1"/>
    <col min="13830" max="13830" width="14.28515625" style="8" customWidth="1"/>
    <col min="13831" max="13831" width="9.140625" style="8" customWidth="1"/>
    <col min="13832" max="13832" width="11.28515625" style="8" customWidth="1"/>
    <col min="13833" max="14076" width="9.140625" style="8"/>
    <col min="14077" max="14077" width="26" style="8" customWidth="1"/>
    <col min="14078" max="14078" width="21.140625" style="8" customWidth="1"/>
    <col min="14079" max="14079" width="11.140625" style="8" customWidth="1"/>
    <col min="14080" max="14080" width="11.28515625" style="8" customWidth="1"/>
    <col min="14081" max="14081" width="14.28515625" style="8" customWidth="1"/>
    <col min="14082" max="14082" width="16.28515625" style="8" customWidth="1"/>
    <col min="14083" max="14083" width="22.28515625" style="8" customWidth="1"/>
    <col min="14084" max="14084" width="17.42578125" style="8" customWidth="1"/>
    <col min="14085" max="14085" width="21.5703125" style="8" customWidth="1"/>
    <col min="14086" max="14086" width="14.28515625" style="8" customWidth="1"/>
    <col min="14087" max="14087" width="9.140625" style="8" customWidth="1"/>
    <col min="14088" max="14088" width="11.28515625" style="8" customWidth="1"/>
    <col min="14089" max="14332" width="9.140625" style="8"/>
    <col min="14333" max="14333" width="26" style="8" customWidth="1"/>
    <col min="14334" max="14334" width="21.140625" style="8" customWidth="1"/>
    <col min="14335" max="14335" width="11.140625" style="8" customWidth="1"/>
    <col min="14336" max="14336" width="11.28515625" style="8" customWidth="1"/>
    <col min="14337" max="14337" width="14.28515625" style="8" customWidth="1"/>
    <col min="14338" max="14338" width="16.28515625" style="8" customWidth="1"/>
    <col min="14339" max="14339" width="22.28515625" style="8" customWidth="1"/>
    <col min="14340" max="14340" width="17.42578125" style="8" customWidth="1"/>
    <col min="14341" max="14341" width="21.5703125" style="8" customWidth="1"/>
    <col min="14342" max="14342" width="14.28515625" style="8" customWidth="1"/>
    <col min="14343" max="14343" width="9.140625" style="8" customWidth="1"/>
    <col min="14344" max="14344" width="11.28515625" style="8" customWidth="1"/>
    <col min="14345" max="14588" width="9.140625" style="8"/>
    <col min="14589" max="14589" width="26" style="8" customWidth="1"/>
    <col min="14590" max="14590" width="21.140625" style="8" customWidth="1"/>
    <col min="14591" max="14591" width="11.140625" style="8" customWidth="1"/>
    <col min="14592" max="14592" width="11.28515625" style="8" customWidth="1"/>
    <col min="14593" max="14593" width="14.28515625" style="8" customWidth="1"/>
    <col min="14594" max="14594" width="16.28515625" style="8" customWidth="1"/>
    <col min="14595" max="14595" width="22.28515625" style="8" customWidth="1"/>
    <col min="14596" max="14596" width="17.42578125" style="8" customWidth="1"/>
    <col min="14597" max="14597" width="21.5703125" style="8" customWidth="1"/>
    <col min="14598" max="14598" width="14.28515625" style="8" customWidth="1"/>
    <col min="14599" max="14599" width="9.140625" style="8" customWidth="1"/>
    <col min="14600" max="14600" width="11.28515625" style="8" customWidth="1"/>
    <col min="14601" max="14844" width="9.140625" style="8"/>
    <col min="14845" max="14845" width="26" style="8" customWidth="1"/>
    <col min="14846" max="14846" width="21.140625" style="8" customWidth="1"/>
    <col min="14847" max="14847" width="11.140625" style="8" customWidth="1"/>
    <col min="14848" max="14848" width="11.28515625" style="8" customWidth="1"/>
    <col min="14849" max="14849" width="14.28515625" style="8" customWidth="1"/>
    <col min="14850" max="14850" width="16.28515625" style="8" customWidth="1"/>
    <col min="14851" max="14851" width="22.28515625" style="8" customWidth="1"/>
    <col min="14852" max="14852" width="17.42578125" style="8" customWidth="1"/>
    <col min="14853" max="14853" width="21.5703125" style="8" customWidth="1"/>
    <col min="14854" max="14854" width="14.28515625" style="8" customWidth="1"/>
    <col min="14855" max="14855" width="9.140625" style="8" customWidth="1"/>
    <col min="14856" max="14856" width="11.28515625" style="8" customWidth="1"/>
    <col min="14857" max="15100" width="9.140625" style="8"/>
    <col min="15101" max="15101" width="26" style="8" customWidth="1"/>
    <col min="15102" max="15102" width="21.140625" style="8" customWidth="1"/>
    <col min="15103" max="15103" width="11.140625" style="8" customWidth="1"/>
    <col min="15104" max="15104" width="11.28515625" style="8" customWidth="1"/>
    <col min="15105" max="15105" width="14.28515625" style="8" customWidth="1"/>
    <col min="15106" max="15106" width="16.28515625" style="8" customWidth="1"/>
    <col min="15107" max="15107" width="22.28515625" style="8" customWidth="1"/>
    <col min="15108" max="15108" width="17.42578125" style="8" customWidth="1"/>
    <col min="15109" max="15109" width="21.5703125" style="8" customWidth="1"/>
    <col min="15110" max="15110" width="14.28515625" style="8" customWidth="1"/>
    <col min="15111" max="15111" width="9.140625" style="8" customWidth="1"/>
    <col min="15112" max="15112" width="11.28515625" style="8" customWidth="1"/>
    <col min="15113" max="15356" width="9.140625" style="8"/>
    <col min="15357" max="15357" width="26" style="8" customWidth="1"/>
    <col min="15358" max="15358" width="21.140625" style="8" customWidth="1"/>
    <col min="15359" max="15359" width="11.140625" style="8" customWidth="1"/>
    <col min="15360" max="15360" width="11.28515625" style="8" customWidth="1"/>
    <col min="15361" max="15361" width="14.28515625" style="8" customWidth="1"/>
    <col min="15362" max="15362" width="16.28515625" style="8" customWidth="1"/>
    <col min="15363" max="15363" width="22.28515625" style="8" customWidth="1"/>
    <col min="15364" max="15364" width="17.42578125" style="8" customWidth="1"/>
    <col min="15365" max="15365" width="21.5703125" style="8" customWidth="1"/>
    <col min="15366" max="15366" width="14.28515625" style="8" customWidth="1"/>
    <col min="15367" max="15367" width="9.140625" style="8" customWidth="1"/>
    <col min="15368" max="15368" width="11.28515625" style="8" customWidth="1"/>
    <col min="15369" max="15612" width="9.140625" style="8"/>
    <col min="15613" max="15613" width="26" style="8" customWidth="1"/>
    <col min="15614" max="15614" width="21.140625" style="8" customWidth="1"/>
    <col min="15615" max="15615" width="11.140625" style="8" customWidth="1"/>
    <col min="15616" max="15616" width="11.28515625" style="8" customWidth="1"/>
    <col min="15617" max="15617" width="14.28515625" style="8" customWidth="1"/>
    <col min="15618" max="15618" width="16.28515625" style="8" customWidth="1"/>
    <col min="15619" max="15619" width="22.28515625" style="8" customWidth="1"/>
    <col min="15620" max="15620" width="17.42578125" style="8" customWidth="1"/>
    <col min="15621" max="15621" width="21.5703125" style="8" customWidth="1"/>
    <col min="15622" max="15622" width="14.28515625" style="8" customWidth="1"/>
    <col min="15623" max="15623" width="9.140625" style="8" customWidth="1"/>
    <col min="15624" max="15624" width="11.28515625" style="8" customWidth="1"/>
    <col min="15625" max="15868" width="9.140625" style="8"/>
    <col min="15869" max="15869" width="26" style="8" customWidth="1"/>
    <col min="15870" max="15870" width="21.140625" style="8" customWidth="1"/>
    <col min="15871" max="15871" width="11.140625" style="8" customWidth="1"/>
    <col min="15872" max="15872" width="11.28515625" style="8" customWidth="1"/>
    <col min="15873" max="15873" width="14.28515625" style="8" customWidth="1"/>
    <col min="15874" max="15874" width="16.28515625" style="8" customWidth="1"/>
    <col min="15875" max="15875" width="22.28515625" style="8" customWidth="1"/>
    <col min="15876" max="15876" width="17.42578125" style="8" customWidth="1"/>
    <col min="15877" max="15877" width="21.5703125" style="8" customWidth="1"/>
    <col min="15878" max="15878" width="14.28515625" style="8" customWidth="1"/>
    <col min="15879" max="15879" width="9.140625" style="8" customWidth="1"/>
    <col min="15880" max="15880" width="11.28515625" style="8" customWidth="1"/>
    <col min="15881" max="16124" width="9.140625" style="8"/>
    <col min="16125" max="16125" width="26" style="8" customWidth="1"/>
    <col min="16126" max="16126" width="21.140625" style="8" customWidth="1"/>
    <col min="16127" max="16127" width="11.140625" style="8" customWidth="1"/>
    <col min="16128" max="16128" width="11.28515625" style="8" customWidth="1"/>
    <col min="16129" max="16129" width="14.28515625" style="8" customWidth="1"/>
    <col min="16130" max="16130" width="16.28515625" style="8" customWidth="1"/>
    <col min="16131" max="16131" width="22.28515625" style="8" customWidth="1"/>
    <col min="16132" max="16132" width="17.42578125" style="8" customWidth="1"/>
    <col min="16133" max="16133" width="21.5703125" style="8" customWidth="1"/>
    <col min="16134" max="16134" width="14.28515625" style="8" customWidth="1"/>
    <col min="16135" max="16135" width="9.140625" style="8" customWidth="1"/>
    <col min="16136" max="16136" width="11.28515625" style="8" customWidth="1"/>
    <col min="16137" max="16384" width="9.140625" style="8"/>
  </cols>
  <sheetData>
    <row r="1" spans="1:10" ht="15" customHeight="1" x14ac:dyDescent="0.25">
      <c r="B1" s="585" t="s">
        <v>262</v>
      </c>
      <c r="C1" s="585"/>
      <c r="D1" s="585"/>
      <c r="E1" s="585"/>
      <c r="F1" s="585"/>
    </row>
    <row r="2" spans="1:10" ht="15" customHeight="1" x14ac:dyDescent="0.25">
      <c r="B2" s="585"/>
      <c r="C2" s="585"/>
      <c r="D2" s="585"/>
      <c r="E2" s="585"/>
      <c r="F2" s="585"/>
    </row>
    <row r="3" spans="1:10" ht="15.75" thickBot="1" x14ac:dyDescent="0.3"/>
    <row r="4" spans="1:10" ht="36" customHeight="1" x14ac:dyDescent="0.25">
      <c r="A4" s="750" t="s">
        <v>3</v>
      </c>
      <c r="B4" s="753" t="s">
        <v>4</v>
      </c>
      <c r="C4" s="760" t="s">
        <v>263</v>
      </c>
      <c r="D4" s="761"/>
      <c r="E4" s="755" t="s">
        <v>269</v>
      </c>
      <c r="F4" s="34" t="s">
        <v>266</v>
      </c>
      <c r="G4" s="34" t="s">
        <v>101</v>
      </c>
      <c r="H4" s="34" t="s">
        <v>115</v>
      </c>
      <c r="I4" s="34" t="s">
        <v>125</v>
      </c>
      <c r="J4" s="9" t="s">
        <v>264</v>
      </c>
    </row>
    <row r="5" spans="1:10" ht="50.25" customHeight="1" x14ac:dyDescent="0.25">
      <c r="A5" s="751"/>
      <c r="B5" s="754"/>
      <c r="C5" s="762" t="s">
        <v>265</v>
      </c>
      <c r="D5" s="762"/>
      <c r="E5" s="756"/>
      <c r="F5" s="34" t="s">
        <v>91</v>
      </c>
      <c r="G5" s="34" t="s">
        <v>102</v>
      </c>
      <c r="H5" s="34" t="s">
        <v>267</v>
      </c>
      <c r="I5" s="34" t="s">
        <v>29</v>
      </c>
      <c r="J5" s="758" t="s">
        <v>268</v>
      </c>
    </row>
    <row r="6" spans="1:10" x14ac:dyDescent="0.25">
      <c r="A6" s="752"/>
      <c r="B6" s="754"/>
      <c r="C6" s="80" t="s">
        <v>11</v>
      </c>
      <c r="D6" s="80" t="s">
        <v>12</v>
      </c>
      <c r="E6" s="757"/>
      <c r="F6" s="10"/>
      <c r="G6" s="10"/>
      <c r="H6" s="10"/>
      <c r="I6" s="10"/>
      <c r="J6" s="759"/>
    </row>
    <row r="7" spans="1:10" ht="15.75" x14ac:dyDescent="0.25">
      <c r="A7" s="23">
        <v>1</v>
      </c>
      <c r="B7" s="26" t="s">
        <v>139</v>
      </c>
      <c r="C7" s="77">
        <v>0</v>
      </c>
      <c r="D7" s="78">
        <v>0</v>
      </c>
      <c r="E7" s="36">
        <f>AVERAGE(C7:D7)</f>
        <v>0</v>
      </c>
      <c r="F7" s="36">
        <f>E7*1.5</f>
        <v>0</v>
      </c>
      <c r="G7" s="36">
        <f>'2.1. 20'!AB7</f>
        <v>5.3640755920652134</v>
      </c>
      <c r="H7" s="36">
        <f>'2.2. 20'!Y7</f>
        <v>7.2108843537414966E-2</v>
      </c>
      <c r="I7" s="36">
        <f>'2.3. 20'!L7</f>
        <v>1.111764705882353</v>
      </c>
      <c r="J7" s="36">
        <f>AVERAGE(F7:I7)</f>
        <v>1.6369872853712453</v>
      </c>
    </row>
    <row r="8" spans="1:10" ht="15.75" x14ac:dyDescent="0.25">
      <c r="A8" s="23">
        <v>2</v>
      </c>
      <c r="B8" s="26" t="s">
        <v>140</v>
      </c>
      <c r="C8" s="77">
        <v>0</v>
      </c>
      <c r="D8" s="78">
        <v>0</v>
      </c>
      <c r="E8" s="36">
        <f t="shared" ref="E8:E44" si="0">AVERAGE(C8:D8)</f>
        <v>0</v>
      </c>
      <c r="F8" s="36">
        <f t="shared" ref="F8:F44" si="1">E8*1.5</f>
        <v>0</v>
      </c>
      <c r="G8" s="36">
        <f>'2.1. 20'!AB8</f>
        <v>14.344342999891387</v>
      </c>
      <c r="H8" s="36">
        <f>'2.2. 20'!Y8</f>
        <v>0.2738447204968944</v>
      </c>
      <c r="I8" s="36">
        <f>'2.3. 20'!L8</f>
        <v>1.2321428571428572</v>
      </c>
      <c r="J8" s="36">
        <f t="shared" ref="J8:J43" si="2">AVERAGE(F8:I8)</f>
        <v>3.9625826443827847</v>
      </c>
    </row>
    <row r="9" spans="1:10" ht="25.5" x14ac:dyDescent="0.25">
      <c r="A9" s="23">
        <v>3</v>
      </c>
      <c r="B9" s="26" t="s">
        <v>141</v>
      </c>
      <c r="C9" s="77">
        <v>0</v>
      </c>
      <c r="D9" s="78">
        <v>0</v>
      </c>
      <c r="E9" s="36">
        <f t="shared" si="0"/>
        <v>0</v>
      </c>
      <c r="F9" s="36">
        <f t="shared" si="1"/>
        <v>0</v>
      </c>
      <c r="G9" s="36">
        <f>'2.1. 20'!AB9</f>
        <v>12.158004467504059</v>
      </c>
      <c r="H9" s="36">
        <f>'2.2. 20'!Y9</f>
        <v>4.6397058823529411</v>
      </c>
      <c r="I9" s="36">
        <f>'2.3. 20'!L9</f>
        <v>0.69642857142857151</v>
      </c>
      <c r="J9" s="36">
        <f t="shared" si="2"/>
        <v>4.3735347303213929</v>
      </c>
    </row>
    <row r="10" spans="1:10" ht="25.5" x14ac:dyDescent="0.25">
      <c r="A10" s="23">
        <v>4</v>
      </c>
      <c r="B10" s="26" t="s">
        <v>142</v>
      </c>
      <c r="C10" s="77">
        <v>0</v>
      </c>
      <c r="D10" s="78">
        <v>0</v>
      </c>
      <c r="E10" s="36">
        <f t="shared" si="0"/>
        <v>0</v>
      </c>
      <c r="F10" s="36">
        <f t="shared" si="1"/>
        <v>0</v>
      </c>
      <c r="G10" s="36">
        <f>'2.1. 20'!AB10</f>
        <v>9.2944313725490204</v>
      </c>
      <c r="H10" s="36">
        <f>'2.2. 20'!Y10</f>
        <v>2.5236363636363639</v>
      </c>
      <c r="I10" s="36">
        <f>'2.3. 20'!L10</f>
        <v>1.2289156626506024</v>
      </c>
      <c r="J10" s="36">
        <f t="shared" si="2"/>
        <v>3.2617458497089964</v>
      </c>
    </row>
    <row r="11" spans="1:10" ht="15.75" x14ac:dyDescent="0.25">
      <c r="A11" s="23">
        <v>5</v>
      </c>
      <c r="B11" s="26" t="s">
        <v>143</v>
      </c>
      <c r="C11" s="77">
        <v>0</v>
      </c>
      <c r="D11" s="78">
        <v>0</v>
      </c>
      <c r="E11" s="36">
        <f t="shared" si="0"/>
        <v>0</v>
      </c>
      <c r="F11" s="36">
        <f t="shared" si="1"/>
        <v>0</v>
      </c>
      <c r="G11" s="36">
        <f>'2.1. 20'!AB11</f>
        <v>7.6070377073906492</v>
      </c>
      <c r="H11" s="36">
        <f>'2.2. 20'!Y11</f>
        <v>4.202</v>
      </c>
      <c r="I11" s="36">
        <f>'2.3. 20'!L11</f>
        <v>1.1607142857142858</v>
      </c>
      <c r="J11" s="36">
        <f t="shared" si="2"/>
        <v>3.2424379982762339</v>
      </c>
    </row>
    <row r="12" spans="1:10" ht="25.5" x14ac:dyDescent="0.25">
      <c r="A12" s="23">
        <v>6</v>
      </c>
      <c r="B12" s="26" t="s">
        <v>177</v>
      </c>
      <c r="C12" s="77">
        <v>0</v>
      </c>
      <c r="D12" s="78">
        <v>0</v>
      </c>
      <c r="E12" s="36">
        <f t="shared" si="0"/>
        <v>0</v>
      </c>
      <c r="F12" s="36">
        <f t="shared" si="1"/>
        <v>0</v>
      </c>
      <c r="G12" s="36">
        <f>'2.1. 20'!AB12</f>
        <v>6.1509965487911558</v>
      </c>
      <c r="H12" s="36">
        <f>'2.2. 20'!Y12</f>
        <v>-1.575119617224896E-2</v>
      </c>
      <c r="I12" s="36">
        <f>'2.3. 20'!L12</f>
        <v>0.9285714285714286</v>
      </c>
      <c r="J12" s="36">
        <f t="shared" si="2"/>
        <v>1.7659541952975839</v>
      </c>
    </row>
    <row r="13" spans="1:10" ht="15.75" x14ac:dyDescent="0.25">
      <c r="A13" s="23">
        <v>7</v>
      </c>
      <c r="B13" s="27" t="s">
        <v>144</v>
      </c>
      <c r="C13" s="77">
        <v>0</v>
      </c>
      <c r="D13" s="78">
        <v>0</v>
      </c>
      <c r="E13" s="36">
        <f t="shared" si="0"/>
        <v>0</v>
      </c>
      <c r="F13" s="36">
        <f t="shared" si="1"/>
        <v>0</v>
      </c>
      <c r="G13" s="36">
        <f>'2.1. 20'!AB13</f>
        <v>6.3504896895704608</v>
      </c>
      <c r="H13" s="36">
        <f>'2.2. 20'!Y13</f>
        <v>3.6251578947368417</v>
      </c>
      <c r="I13" s="36">
        <f>'2.3. 20'!L13</f>
        <v>0.79268292682926833</v>
      </c>
      <c r="J13" s="36">
        <f t="shared" si="2"/>
        <v>2.692082627784143</v>
      </c>
    </row>
    <row r="14" spans="1:10" ht="15.75" x14ac:dyDescent="0.25">
      <c r="A14" s="23">
        <v>8</v>
      </c>
      <c r="B14" s="26" t="s">
        <v>145</v>
      </c>
      <c r="C14" s="77">
        <v>0</v>
      </c>
      <c r="D14" s="78">
        <v>0</v>
      </c>
      <c r="E14" s="36">
        <f t="shared" si="0"/>
        <v>0</v>
      </c>
      <c r="F14" s="36">
        <f t="shared" si="1"/>
        <v>0</v>
      </c>
      <c r="G14" s="36">
        <f>'2.1. 20'!AB14</f>
        <v>4.7325951636439445</v>
      </c>
      <c r="H14" s="36"/>
      <c r="I14" s="36">
        <f>'2.3. 20'!L14</f>
        <v>0.44642857142857151</v>
      </c>
      <c r="J14" s="36">
        <f t="shared" si="2"/>
        <v>1.726341245024172</v>
      </c>
    </row>
    <row r="15" spans="1:10" ht="15.75" x14ac:dyDescent="0.25">
      <c r="A15" s="23">
        <v>9</v>
      </c>
      <c r="B15" s="26" t="s">
        <v>146</v>
      </c>
      <c r="C15" s="77">
        <v>0</v>
      </c>
      <c r="D15" s="78">
        <v>0</v>
      </c>
      <c r="E15" s="36">
        <f t="shared" si="0"/>
        <v>0</v>
      </c>
      <c r="F15" s="36">
        <f t="shared" si="1"/>
        <v>0</v>
      </c>
      <c r="G15" s="36">
        <f>'2.1. 20'!AB15</f>
        <v>2.2949295774647887</v>
      </c>
      <c r="H15" s="36"/>
      <c r="I15" s="36">
        <f>'2.3. 20'!L15</f>
        <v>0.34411764705882347</v>
      </c>
      <c r="J15" s="36">
        <f t="shared" si="2"/>
        <v>0.87968240817453747</v>
      </c>
    </row>
    <row r="16" spans="1:10" ht="15.75" x14ac:dyDescent="0.25">
      <c r="A16" s="23">
        <v>10</v>
      </c>
      <c r="B16" s="26" t="s">
        <v>172</v>
      </c>
      <c r="C16" s="77">
        <v>0</v>
      </c>
      <c r="D16" s="78">
        <v>0</v>
      </c>
      <c r="E16" s="36">
        <f t="shared" si="0"/>
        <v>0</v>
      </c>
      <c r="F16" s="36">
        <f t="shared" si="1"/>
        <v>0</v>
      </c>
      <c r="G16" s="36">
        <f>'2.1. 20'!AB16</f>
        <v>2.8893333333333335</v>
      </c>
      <c r="H16" s="36"/>
      <c r="I16" s="36">
        <f>'2.3. 20'!L16</f>
        <v>0.54819277108433739</v>
      </c>
      <c r="J16" s="36">
        <f t="shared" si="2"/>
        <v>1.1458420348058904</v>
      </c>
    </row>
    <row r="17" spans="1:10" ht="15.75" x14ac:dyDescent="0.25">
      <c r="A17" s="23">
        <v>11</v>
      </c>
      <c r="B17" s="26" t="s">
        <v>147</v>
      </c>
      <c r="C17" s="77">
        <v>0</v>
      </c>
      <c r="D17" s="78">
        <v>0</v>
      </c>
      <c r="E17" s="36">
        <f t="shared" si="0"/>
        <v>0</v>
      </c>
      <c r="F17" s="36">
        <f t="shared" si="1"/>
        <v>0</v>
      </c>
      <c r="G17" s="36">
        <f>'2.1. 20'!AB17</f>
        <v>4.7695197285062134</v>
      </c>
      <c r="H17" s="36">
        <f>'2.2. 20'!Y17</f>
        <v>4.2072941176470593</v>
      </c>
      <c r="I17" s="36">
        <f>'2.3. 20'!L17</f>
        <v>1.0558823529411765</v>
      </c>
      <c r="J17" s="36">
        <f t="shared" si="2"/>
        <v>2.5081740497736127</v>
      </c>
    </row>
    <row r="18" spans="1:10" ht="25.5" x14ac:dyDescent="0.25">
      <c r="A18" s="23">
        <v>12</v>
      </c>
      <c r="B18" s="26" t="s">
        <v>178</v>
      </c>
      <c r="C18" s="77">
        <v>0</v>
      </c>
      <c r="D18" s="78">
        <v>0</v>
      </c>
      <c r="E18" s="36">
        <f t="shared" si="0"/>
        <v>0</v>
      </c>
      <c r="F18" s="36">
        <f t="shared" si="1"/>
        <v>0</v>
      </c>
      <c r="G18" s="36">
        <f>'2.1. 20'!AB18</f>
        <v>8.4980450450450462</v>
      </c>
      <c r="H18" s="36">
        <f>'2.2. 20'!Y18</f>
        <v>-0.93466666666666676</v>
      </c>
      <c r="I18" s="36">
        <f>'2.3. 20'!L18</f>
        <v>1.0988372093023255</v>
      </c>
      <c r="J18" s="36">
        <f t="shared" si="2"/>
        <v>2.1655538969201764</v>
      </c>
    </row>
    <row r="19" spans="1:10" ht="15.75" x14ac:dyDescent="0.25">
      <c r="A19" s="23">
        <v>13</v>
      </c>
      <c r="B19" s="26" t="s">
        <v>148</v>
      </c>
      <c r="C19" s="77">
        <v>0</v>
      </c>
      <c r="D19" s="78">
        <v>0</v>
      </c>
      <c r="E19" s="36">
        <f t="shared" si="0"/>
        <v>0</v>
      </c>
      <c r="F19" s="36">
        <f t="shared" si="1"/>
        <v>0</v>
      </c>
      <c r="G19" s="36">
        <f>'2.1. 20'!AB19</f>
        <v>5.8394444282309452</v>
      </c>
      <c r="H19" s="36">
        <f>'2.2. 20'!Y19</f>
        <v>1.5460000000000003</v>
      </c>
      <c r="I19" s="36">
        <f>'2.3. 20'!L19</f>
        <v>0.82352941176470595</v>
      </c>
      <c r="J19" s="36">
        <f t="shared" si="2"/>
        <v>2.052243459998913</v>
      </c>
    </row>
    <row r="20" spans="1:10" ht="15.75" x14ac:dyDescent="0.25">
      <c r="A20" s="23">
        <v>14</v>
      </c>
      <c r="B20" s="26" t="s">
        <v>173</v>
      </c>
      <c r="C20" s="77">
        <v>0</v>
      </c>
      <c r="D20" s="78">
        <v>0</v>
      </c>
      <c r="E20" s="36">
        <f t="shared" si="0"/>
        <v>0</v>
      </c>
      <c r="F20" s="36">
        <f t="shared" si="1"/>
        <v>0</v>
      </c>
      <c r="G20" s="36">
        <f>'2.1. 20'!AB20</f>
        <v>2.6826807228915666</v>
      </c>
      <c r="H20" s="36"/>
      <c r="I20" s="36">
        <f>'2.3. 20'!L20</f>
        <v>0.32142857142857151</v>
      </c>
      <c r="J20" s="36">
        <f t="shared" si="2"/>
        <v>1.0013697647733795</v>
      </c>
    </row>
    <row r="21" spans="1:10" ht="15.75" x14ac:dyDescent="0.25">
      <c r="A21" s="23">
        <v>15</v>
      </c>
      <c r="B21" s="26" t="s">
        <v>149</v>
      </c>
      <c r="C21" s="77">
        <v>0</v>
      </c>
      <c r="D21" s="78">
        <v>0</v>
      </c>
      <c r="E21" s="36">
        <f t="shared" si="0"/>
        <v>0</v>
      </c>
      <c r="F21" s="36">
        <f t="shared" si="1"/>
        <v>0</v>
      </c>
      <c r="G21" s="36">
        <f>'2.1. 20'!AB21</f>
        <v>3.9173007743430279</v>
      </c>
      <c r="H21" s="36">
        <f>'2.2. 20'!Y21</f>
        <v>1.1437142857142857</v>
      </c>
      <c r="I21" s="36">
        <f>'2.3. 20'!L21</f>
        <v>1.0512048192771086</v>
      </c>
      <c r="J21" s="36">
        <f t="shared" si="2"/>
        <v>1.5280549698336054</v>
      </c>
    </row>
    <row r="22" spans="1:10" ht="15.75" x14ac:dyDescent="0.25">
      <c r="A22" s="23">
        <v>16</v>
      </c>
      <c r="B22" s="26" t="s">
        <v>150</v>
      </c>
      <c r="C22" s="77">
        <v>0</v>
      </c>
      <c r="D22" s="78">
        <v>0</v>
      </c>
      <c r="E22" s="36">
        <f t="shared" si="0"/>
        <v>0</v>
      </c>
      <c r="F22" s="36">
        <f t="shared" si="1"/>
        <v>0</v>
      </c>
      <c r="G22" s="36">
        <f>'2.1. 20'!AB22</f>
        <v>4.3897894736842105</v>
      </c>
      <c r="H22" s="36">
        <f>'2.2. 20'!Y22</f>
        <v>-0.22200000000000042</v>
      </c>
      <c r="I22" s="36">
        <f>'2.3. 20'!L22</f>
        <v>1.125</v>
      </c>
      <c r="J22" s="36">
        <f t="shared" si="2"/>
        <v>1.3231973684210525</v>
      </c>
    </row>
    <row r="23" spans="1:10" ht="15.75" x14ac:dyDescent="0.25">
      <c r="A23" s="23">
        <v>17</v>
      </c>
      <c r="B23" s="26" t="s">
        <v>151</v>
      </c>
      <c r="C23" s="77">
        <v>0</v>
      </c>
      <c r="D23" s="78">
        <v>0</v>
      </c>
      <c r="E23" s="36">
        <f t="shared" si="0"/>
        <v>0</v>
      </c>
      <c r="F23" s="36">
        <f t="shared" si="1"/>
        <v>0</v>
      </c>
      <c r="G23" s="36">
        <f>'2.1. 20'!AB23</f>
        <v>4.2548810696692474</v>
      </c>
      <c r="H23" s="36">
        <f>'2.2. 20'!Y23</f>
        <v>1.4000000000000004</v>
      </c>
      <c r="I23" s="36">
        <f>'2.3. 20'!L23</f>
        <v>0.83433734939759041</v>
      </c>
      <c r="J23" s="36">
        <f t="shared" si="2"/>
        <v>1.6223046047667096</v>
      </c>
    </row>
    <row r="24" spans="1:10" ht="15.75" x14ac:dyDescent="0.25">
      <c r="A24" s="23">
        <v>18</v>
      </c>
      <c r="B24" s="26" t="s">
        <v>152</v>
      </c>
      <c r="C24" s="77">
        <v>0</v>
      </c>
      <c r="D24" s="78">
        <v>0</v>
      </c>
      <c r="E24" s="36">
        <f t="shared" si="0"/>
        <v>0</v>
      </c>
      <c r="F24" s="36">
        <f t="shared" si="1"/>
        <v>0</v>
      </c>
      <c r="G24" s="36">
        <f>'2.1. 20'!AB24</f>
        <v>4.2380507652108994</v>
      </c>
      <c r="H24" s="36">
        <f>'2.2. 20'!Y24</f>
        <v>2.2509999999999999</v>
      </c>
      <c r="I24" s="36">
        <f>'2.3. 20'!L24</f>
        <v>-5.7142857142857273E-2</v>
      </c>
      <c r="J24" s="36">
        <f t="shared" si="2"/>
        <v>1.6079769770170107</v>
      </c>
    </row>
    <row r="25" spans="1:10" ht="15.75" x14ac:dyDescent="0.25">
      <c r="A25" s="23">
        <v>19</v>
      </c>
      <c r="B25" s="26" t="s">
        <v>153</v>
      </c>
      <c r="C25" s="77">
        <v>0</v>
      </c>
      <c r="D25" s="78">
        <v>0</v>
      </c>
      <c r="E25" s="36">
        <f t="shared" si="0"/>
        <v>0</v>
      </c>
      <c r="F25" s="36">
        <f t="shared" si="1"/>
        <v>0</v>
      </c>
      <c r="G25" s="36">
        <f>'2.1. 20'!AB25</f>
        <v>4.8193798543724231</v>
      </c>
      <c r="H25" s="36">
        <f>'2.2. 20'!Y25</f>
        <v>0.34666666666666668</v>
      </c>
      <c r="I25" s="36">
        <f>'2.3. 20'!L25</f>
        <v>0.93604651162790697</v>
      </c>
      <c r="J25" s="36">
        <f t="shared" si="2"/>
        <v>1.5255232581667493</v>
      </c>
    </row>
    <row r="26" spans="1:10" ht="15.75" x14ac:dyDescent="0.25">
      <c r="A26" s="23">
        <v>20</v>
      </c>
      <c r="B26" s="26" t="s">
        <v>154</v>
      </c>
      <c r="C26" s="77">
        <v>0</v>
      </c>
      <c r="D26" s="78">
        <v>0</v>
      </c>
      <c r="E26" s="36">
        <f t="shared" si="0"/>
        <v>0</v>
      </c>
      <c r="F26" s="36">
        <f t="shared" si="1"/>
        <v>0</v>
      </c>
      <c r="G26" s="36">
        <f>'2.1. 20'!AB26</f>
        <v>7.4647971825898498</v>
      </c>
      <c r="H26" s="36">
        <f>'2.2. 20'!Y26</f>
        <v>3.0011111111111117</v>
      </c>
      <c r="I26" s="36">
        <f>'2.3. 20'!L26</f>
        <v>0.52710843373493987</v>
      </c>
      <c r="J26" s="36">
        <f t="shared" si="2"/>
        <v>2.7482541818589752</v>
      </c>
    </row>
    <row r="27" spans="1:10" ht="15.75" x14ac:dyDescent="0.25">
      <c r="A27" s="23">
        <v>21</v>
      </c>
      <c r="B27" s="26" t="s">
        <v>155</v>
      </c>
      <c r="C27" s="77">
        <v>0</v>
      </c>
      <c r="D27" s="78">
        <v>0</v>
      </c>
      <c r="E27" s="36">
        <f t="shared" si="0"/>
        <v>0</v>
      </c>
      <c r="F27" s="36">
        <f t="shared" si="1"/>
        <v>0</v>
      </c>
      <c r="G27" s="36">
        <f>'2.1. 20'!AB27</f>
        <v>2.9691428571428573</v>
      </c>
      <c r="H27" s="36">
        <f>'2.2. 20'!Y27</f>
        <v>7.2690909090909095</v>
      </c>
      <c r="I27" s="36">
        <f>'2.3. 20'!L27</f>
        <v>0.16470588235294126</v>
      </c>
      <c r="J27" s="36">
        <f t="shared" si="2"/>
        <v>2.600734912146677</v>
      </c>
    </row>
    <row r="28" spans="1:10" ht="15.75" x14ac:dyDescent="0.25">
      <c r="A28" s="23">
        <v>22</v>
      </c>
      <c r="B28" s="26" t="s">
        <v>277</v>
      </c>
      <c r="C28" s="77">
        <v>0</v>
      </c>
      <c r="D28" s="78">
        <v>0</v>
      </c>
      <c r="E28" s="36">
        <f t="shared" si="0"/>
        <v>0</v>
      </c>
      <c r="F28" s="36">
        <f t="shared" si="1"/>
        <v>0</v>
      </c>
      <c r="G28" s="36">
        <f>'2.1. 20'!AB28</f>
        <v>6.2470262314901879</v>
      </c>
      <c r="H28" s="36">
        <f>'2.2. 20'!Y28</f>
        <v>3.0750000000000002</v>
      </c>
      <c r="I28" s="36">
        <f>'2.3. 20'!L28</f>
        <v>0.80882352941176483</v>
      </c>
      <c r="J28" s="36">
        <f t="shared" si="2"/>
        <v>2.5327124402254881</v>
      </c>
    </row>
    <row r="29" spans="1:10" ht="15.75" x14ac:dyDescent="0.25">
      <c r="A29" s="23">
        <v>23</v>
      </c>
      <c r="B29" s="26" t="s">
        <v>156</v>
      </c>
      <c r="C29" s="77">
        <v>0</v>
      </c>
      <c r="D29" s="78">
        <v>0</v>
      </c>
      <c r="E29" s="36">
        <f t="shared" si="0"/>
        <v>0</v>
      </c>
      <c r="F29" s="36">
        <f t="shared" si="1"/>
        <v>0</v>
      </c>
      <c r="G29" s="36">
        <f>'2.1. 20'!AB29</f>
        <v>5.2677171717171722</v>
      </c>
      <c r="H29" s="36">
        <f>'2.2. 20'!Y29</f>
        <v>4.9081818181818182</v>
      </c>
      <c r="I29" s="36">
        <f>'2.3. 20'!L29</f>
        <v>1.2176470588235295</v>
      </c>
      <c r="J29" s="36">
        <f t="shared" si="2"/>
        <v>2.84838651218063</v>
      </c>
    </row>
    <row r="30" spans="1:10" ht="15.75" x14ac:dyDescent="0.25">
      <c r="A30" s="23">
        <v>24</v>
      </c>
      <c r="B30" s="26" t="s">
        <v>157</v>
      </c>
      <c r="C30" s="77">
        <v>0</v>
      </c>
      <c r="D30" s="78">
        <v>0</v>
      </c>
      <c r="E30" s="36">
        <f t="shared" si="0"/>
        <v>0</v>
      </c>
      <c r="F30" s="36">
        <f t="shared" si="1"/>
        <v>0</v>
      </c>
      <c r="G30" s="36">
        <f>'2.1. 20'!AB30</f>
        <v>3.9459397893772894</v>
      </c>
      <c r="H30" s="36">
        <f>'2.2. 20'!Y30</f>
        <v>0.10200000000000009</v>
      </c>
      <c r="I30" s="36">
        <f>'2.3. 20'!L30</f>
        <v>1.0535714285714284</v>
      </c>
      <c r="J30" s="36">
        <f t="shared" si="2"/>
        <v>1.2753778044871793</v>
      </c>
    </row>
    <row r="31" spans="1:10" ht="15.75" x14ac:dyDescent="0.25">
      <c r="A31" s="23">
        <v>25</v>
      </c>
      <c r="B31" s="26" t="s">
        <v>159</v>
      </c>
      <c r="C31" s="77">
        <v>0</v>
      </c>
      <c r="D31" s="78">
        <v>0</v>
      </c>
      <c r="E31" s="36">
        <f t="shared" si="0"/>
        <v>0</v>
      </c>
      <c r="F31" s="36">
        <f t="shared" si="1"/>
        <v>0</v>
      </c>
      <c r="G31" s="36">
        <f>'2.1. 20'!AB31</f>
        <v>6.4690645304850918</v>
      </c>
      <c r="H31" s="36">
        <f>'2.2. 20'!Y31</f>
        <v>2.286</v>
      </c>
      <c r="I31" s="36">
        <f>'2.3. 20'!L31</f>
        <v>0.9285714285714286</v>
      </c>
      <c r="J31" s="36">
        <f t="shared" si="2"/>
        <v>2.42090898976413</v>
      </c>
    </row>
    <row r="32" spans="1:10" ht="15.75" x14ac:dyDescent="0.25">
      <c r="A32" s="23">
        <v>26</v>
      </c>
      <c r="B32" s="26" t="s">
        <v>160</v>
      </c>
      <c r="C32" s="77">
        <v>0</v>
      </c>
      <c r="D32" s="78">
        <v>0</v>
      </c>
      <c r="E32" s="36">
        <f t="shared" si="0"/>
        <v>0</v>
      </c>
      <c r="F32" s="36">
        <f t="shared" si="1"/>
        <v>0</v>
      </c>
      <c r="G32" s="36">
        <f>'2.1. 20'!AB32</f>
        <v>5.3377638326585704</v>
      </c>
      <c r="H32" s="36">
        <f>'2.2. 20'!Y32</f>
        <v>3.6554814814814813</v>
      </c>
      <c r="I32" s="36">
        <f>'2.3. 20'!L32</f>
        <v>0.64705882352941169</v>
      </c>
      <c r="J32" s="36">
        <f t="shared" si="2"/>
        <v>2.4100760344173655</v>
      </c>
    </row>
    <row r="33" spans="1:1025" ht="15.75" x14ac:dyDescent="0.25">
      <c r="A33" s="23">
        <v>27</v>
      </c>
      <c r="B33" s="26" t="s">
        <v>158</v>
      </c>
      <c r="C33" s="77">
        <v>0</v>
      </c>
      <c r="D33" s="78">
        <v>0</v>
      </c>
      <c r="E33" s="36">
        <f t="shared" si="0"/>
        <v>0</v>
      </c>
      <c r="F33" s="36">
        <f t="shared" si="1"/>
        <v>0</v>
      </c>
      <c r="G33" s="36">
        <f>'2.1. 20'!AB33</f>
        <v>4.6513192895942677</v>
      </c>
      <c r="H33" s="36">
        <f>'2.2. 20'!Y33</f>
        <v>5.9994285714285711</v>
      </c>
      <c r="I33" s="36">
        <f>'2.3. 20'!L33</f>
        <v>0.43529411764705883</v>
      </c>
      <c r="J33" s="36">
        <f t="shared" si="2"/>
        <v>2.7715104946674747</v>
      </c>
    </row>
    <row r="34" spans="1:1025" ht="15.75" x14ac:dyDescent="0.25">
      <c r="A34" s="23">
        <v>28</v>
      </c>
      <c r="B34" s="26" t="s">
        <v>161</v>
      </c>
      <c r="C34" s="77">
        <v>0</v>
      </c>
      <c r="D34" s="78">
        <v>0</v>
      </c>
      <c r="E34" s="36">
        <f t="shared" si="0"/>
        <v>0</v>
      </c>
      <c r="F34" s="36">
        <f t="shared" si="1"/>
        <v>0</v>
      </c>
      <c r="G34" s="36">
        <f>'2.1. 20'!AB34</f>
        <v>4.3053314943523926</v>
      </c>
      <c r="H34" s="36">
        <f>'2.2. 20'!Y34</f>
        <v>2</v>
      </c>
      <c r="I34" s="36">
        <f>'2.3. 20'!L34</f>
        <v>0.57142857142857151</v>
      </c>
      <c r="J34" s="36">
        <f t="shared" si="2"/>
        <v>1.7191900164452409</v>
      </c>
    </row>
    <row r="35" spans="1:1025" ht="15.75" x14ac:dyDescent="0.25">
      <c r="A35" s="23">
        <v>29</v>
      </c>
      <c r="B35" s="26" t="s">
        <v>162</v>
      </c>
      <c r="C35" s="77">
        <v>0</v>
      </c>
      <c r="D35" s="78">
        <v>0</v>
      </c>
      <c r="E35" s="36">
        <f t="shared" si="0"/>
        <v>0</v>
      </c>
      <c r="F35" s="36">
        <f t="shared" si="1"/>
        <v>0</v>
      </c>
      <c r="G35" s="36">
        <f>'2.1. 20'!AB35</f>
        <v>9.7064444444444433</v>
      </c>
      <c r="H35" s="36">
        <f>'2.2. 20'!Y35</f>
        <v>2.0256363636363641</v>
      </c>
      <c r="I35" s="36">
        <f>'2.3. 20'!L35</f>
        <v>0.5535714285714286</v>
      </c>
      <c r="J35" s="36">
        <f t="shared" si="2"/>
        <v>3.0714130591630591</v>
      </c>
    </row>
    <row r="36" spans="1:1025" ht="15.75" x14ac:dyDescent="0.25">
      <c r="A36" s="23">
        <v>30</v>
      </c>
      <c r="B36" s="26" t="s">
        <v>163</v>
      </c>
      <c r="C36" s="77">
        <v>0</v>
      </c>
      <c r="D36" s="78">
        <v>0</v>
      </c>
      <c r="E36" s="36">
        <f t="shared" si="0"/>
        <v>0</v>
      </c>
      <c r="F36" s="36">
        <f t="shared" si="1"/>
        <v>0</v>
      </c>
      <c r="G36" s="36">
        <f>'2.1. 20'!AB36</f>
        <v>4.8081689644504824</v>
      </c>
      <c r="H36" s="36">
        <f>'2.2. 20'!Y36</f>
        <v>2.1454545454545451</v>
      </c>
      <c r="I36" s="36">
        <f>'2.3. 20'!L36</f>
        <v>1.2000000000000002</v>
      </c>
      <c r="J36" s="36">
        <f t="shared" si="2"/>
        <v>2.038405877476257</v>
      </c>
    </row>
    <row r="37" spans="1:1025" ht="15.75" x14ac:dyDescent="0.25">
      <c r="A37" s="23">
        <v>31</v>
      </c>
      <c r="B37" s="26" t="s">
        <v>164</v>
      </c>
      <c r="C37" s="77">
        <v>0</v>
      </c>
      <c r="D37" s="78">
        <v>0</v>
      </c>
      <c r="E37" s="36">
        <f t="shared" si="0"/>
        <v>0</v>
      </c>
      <c r="F37" s="36">
        <f t="shared" si="1"/>
        <v>0</v>
      </c>
      <c r="G37" s="36">
        <f>'2.1. 20'!AB37</f>
        <v>4.1055582286376193</v>
      </c>
      <c r="H37" s="36">
        <f>'2.2. 20'!Y37</f>
        <v>2.5</v>
      </c>
      <c r="I37" s="36">
        <f>'2.3. 20'!L37</f>
        <v>0.4285714285714286</v>
      </c>
      <c r="J37" s="36">
        <f t="shared" si="2"/>
        <v>1.758532414302262</v>
      </c>
    </row>
    <row r="38" spans="1:1025" ht="15.75" x14ac:dyDescent="0.25">
      <c r="A38" s="23">
        <v>32</v>
      </c>
      <c r="B38" s="26" t="s">
        <v>165</v>
      </c>
      <c r="C38" s="77">
        <v>0</v>
      </c>
      <c r="D38" s="78">
        <v>0</v>
      </c>
      <c r="E38" s="36">
        <f t="shared" si="0"/>
        <v>0</v>
      </c>
      <c r="F38" s="36">
        <f t="shared" si="1"/>
        <v>0</v>
      </c>
      <c r="G38" s="36">
        <f>'2.1. 20'!AB38</f>
        <v>5.2332396759767779</v>
      </c>
      <c r="H38" s="36"/>
      <c r="I38" s="36">
        <f>'2.3. 20'!L38</f>
        <v>1.0029411764705882</v>
      </c>
      <c r="J38" s="36">
        <f t="shared" si="2"/>
        <v>2.0787269508157888</v>
      </c>
    </row>
    <row r="39" spans="1:1025" ht="15.75" x14ac:dyDescent="0.25">
      <c r="A39" s="23">
        <v>33</v>
      </c>
      <c r="B39" s="26" t="s">
        <v>166</v>
      </c>
      <c r="C39" s="77">
        <v>0</v>
      </c>
      <c r="D39" s="78">
        <v>0</v>
      </c>
      <c r="E39" s="36">
        <f t="shared" si="0"/>
        <v>0</v>
      </c>
      <c r="F39" s="36">
        <f t="shared" si="1"/>
        <v>0</v>
      </c>
      <c r="G39" s="36">
        <f>'2.1. 20'!AB39</f>
        <v>3.4575596816976124</v>
      </c>
      <c r="H39" s="36">
        <f>'2.2. 20'!Y39</f>
        <v>-0.79999999999999982</v>
      </c>
      <c r="I39" s="36">
        <f>'2.3. 20'!L39</f>
        <v>0.2678571428571429</v>
      </c>
      <c r="J39" s="36">
        <f t="shared" si="2"/>
        <v>0.73135420613868884</v>
      </c>
    </row>
    <row r="40" spans="1:1025" ht="15.75" x14ac:dyDescent="0.25">
      <c r="A40" s="23">
        <v>34</v>
      </c>
      <c r="B40" s="26" t="s">
        <v>167</v>
      </c>
      <c r="C40" s="77">
        <v>0</v>
      </c>
      <c r="D40" s="78">
        <v>0</v>
      </c>
      <c r="E40" s="36">
        <f t="shared" si="0"/>
        <v>0</v>
      </c>
      <c r="F40" s="36">
        <f t="shared" si="1"/>
        <v>0</v>
      </c>
      <c r="G40" s="36">
        <f>'2.1. 20'!AB40</f>
        <v>8.1806746581452572</v>
      </c>
      <c r="H40" s="36">
        <f>'2.2. 20'!Y40</f>
        <v>-0.35599999999999987</v>
      </c>
      <c r="I40" s="36">
        <f>'2.3. 20'!L40</f>
        <v>0.61746987951807231</v>
      </c>
      <c r="J40" s="36">
        <f t="shared" si="2"/>
        <v>2.1105361344158324</v>
      </c>
    </row>
    <row r="41" spans="1:1025" ht="15.75" x14ac:dyDescent="0.25">
      <c r="A41" s="23">
        <v>35</v>
      </c>
      <c r="B41" s="26" t="s">
        <v>168</v>
      </c>
      <c r="C41" s="77">
        <v>0</v>
      </c>
      <c r="D41" s="78">
        <v>0</v>
      </c>
      <c r="E41" s="36">
        <f t="shared" si="0"/>
        <v>0</v>
      </c>
      <c r="F41" s="36">
        <f t="shared" si="1"/>
        <v>0</v>
      </c>
      <c r="G41" s="36">
        <f>'2.1. 20'!AB41</f>
        <v>4.6571615117353495</v>
      </c>
      <c r="H41" s="36">
        <f>'2.2. 20'!Y41</f>
        <v>1.1440000000000001</v>
      </c>
      <c r="I41" s="36">
        <f>'2.3. 20'!L41</f>
        <v>1.1964285714285716</v>
      </c>
      <c r="J41" s="36">
        <f t="shared" si="2"/>
        <v>1.7493975207909802</v>
      </c>
    </row>
    <row r="42" spans="1:1025" s="76" customFormat="1" ht="15.75" x14ac:dyDescent="0.25">
      <c r="A42" s="125">
        <v>36</v>
      </c>
      <c r="B42" s="87" t="s">
        <v>169</v>
      </c>
      <c r="C42" s="77">
        <v>0</v>
      </c>
      <c r="D42" s="78">
        <v>0</v>
      </c>
      <c r="E42" s="36">
        <f t="shared" si="0"/>
        <v>0</v>
      </c>
      <c r="F42" s="36">
        <f t="shared" si="1"/>
        <v>0</v>
      </c>
      <c r="G42" s="36">
        <f>'2.1. 20'!AB42</f>
        <v>4.1573034842810124</v>
      </c>
      <c r="H42" s="36">
        <f>'2.2. 20'!Y42</f>
        <v>-1.3026666666666666</v>
      </c>
      <c r="I42" s="36">
        <f>'2.3. 20'!L42</f>
        <v>1.0941176470588234</v>
      </c>
      <c r="J42" s="36">
        <f t="shared" si="2"/>
        <v>0.98718861616829234</v>
      </c>
    </row>
    <row r="43" spans="1:1025" ht="15.75" x14ac:dyDescent="0.25">
      <c r="A43" s="23">
        <v>37</v>
      </c>
      <c r="B43" s="26" t="s">
        <v>170</v>
      </c>
      <c r="C43" s="77">
        <v>0</v>
      </c>
      <c r="D43" s="78">
        <v>0</v>
      </c>
      <c r="E43" s="36">
        <f t="shared" si="0"/>
        <v>0</v>
      </c>
      <c r="F43" s="36">
        <f t="shared" si="1"/>
        <v>0</v>
      </c>
      <c r="G43" s="36">
        <f>'2.1. 20'!AB43</f>
        <v>9.4818716241377921</v>
      </c>
      <c r="H43" s="36">
        <f>'2.2. 20'!Y43</f>
        <v>2.2285614035087726</v>
      </c>
      <c r="I43" s="36">
        <f>'2.3. 20'!L43</f>
        <v>1.2650602409638556</v>
      </c>
      <c r="J43" s="36">
        <f t="shared" si="2"/>
        <v>3.2438733171526049</v>
      </c>
    </row>
    <row r="44" spans="1:1025" customFormat="1" ht="16.5" thickBot="1" x14ac:dyDescent="0.3">
      <c r="A44" s="143">
        <v>38</v>
      </c>
      <c r="B44" s="144" t="s">
        <v>171</v>
      </c>
      <c r="C44" s="77">
        <v>0</v>
      </c>
      <c r="D44" s="78">
        <v>0</v>
      </c>
      <c r="E44" s="36">
        <f t="shared" si="0"/>
        <v>0</v>
      </c>
      <c r="F44" s="36">
        <f t="shared" si="1"/>
        <v>0</v>
      </c>
      <c r="G44" s="36">
        <f>'2.1. 20'!AB44</f>
        <v>6.7601498407422795</v>
      </c>
      <c r="H44" s="36">
        <f>'2.2. 20'!Y44</f>
        <v>5.1666666666666679</v>
      </c>
      <c r="I44" s="36">
        <v>0.69799999999999995</v>
      </c>
      <c r="J44" s="499">
        <f>AVERAGE(F44:I44)</f>
        <v>3.1562041268522369</v>
      </c>
      <c r="K44" s="147"/>
      <c r="L44" s="147"/>
      <c r="M44" s="514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  <c r="ALL44" s="147"/>
      <c r="ALM44" s="147"/>
      <c r="ALN44" s="147"/>
      <c r="ALO44" s="147"/>
      <c r="ALP44" s="147"/>
      <c r="ALQ44" s="147"/>
      <c r="ALR44" s="147"/>
      <c r="ALS44" s="147"/>
      <c r="ALT44" s="147"/>
      <c r="ALU44" s="147"/>
      <c r="ALV44" s="147"/>
      <c r="ALW44" s="147"/>
      <c r="ALX44" s="147"/>
      <c r="ALY44" s="147"/>
      <c r="ALZ44" s="147"/>
      <c r="AMA44" s="147"/>
      <c r="AMB44" s="147"/>
      <c r="AMC44" s="147"/>
      <c r="AMD44" s="147"/>
      <c r="AME44" s="147"/>
      <c r="AMF44" s="147"/>
      <c r="AMG44" s="147"/>
      <c r="AMH44" s="147"/>
      <c r="AMI44" s="147"/>
      <c r="AMJ44" s="147"/>
      <c r="AMK44" s="147"/>
    </row>
    <row r="45" spans="1:1025" ht="19.5" thickBot="1" x14ac:dyDescent="0.3">
      <c r="A45" s="745" t="s">
        <v>118</v>
      </c>
      <c r="B45" s="746"/>
      <c r="C45" s="496">
        <f>AVERAGE(C7:C44)</f>
        <v>0</v>
      </c>
      <c r="D45" s="496">
        <f>AVERAGE(D7:D44)</f>
        <v>0</v>
      </c>
      <c r="E45" s="496">
        <f t="shared" ref="E45:I45" si="3">AVERAGE(E7:E44)</f>
        <v>0</v>
      </c>
      <c r="F45" s="496">
        <f t="shared" si="3"/>
        <v>0</v>
      </c>
      <c r="G45" s="496">
        <f t="shared" si="3"/>
        <v>5.8368832317845776</v>
      </c>
      <c r="H45" s="496">
        <f t="shared" si="3"/>
        <v>2.1244441550255497</v>
      </c>
      <c r="I45" s="498">
        <f t="shared" si="3"/>
        <v>0.79887656804996343</v>
      </c>
      <c r="J45" s="500">
        <f>AVERAGE(J7:J44)</f>
        <v>2.1651150783759832</v>
      </c>
    </row>
    <row r="48" spans="1:1025" ht="25.5" x14ac:dyDescent="0.25">
      <c r="A48" s="23">
        <v>1</v>
      </c>
      <c r="B48" s="24" t="s">
        <v>174</v>
      </c>
      <c r="C48" s="77"/>
      <c r="D48" s="78"/>
      <c r="E48" s="36"/>
      <c r="F48" s="36"/>
      <c r="G48" s="36">
        <f>'2.1. 20'!AB48</f>
        <v>4.0331125827814569</v>
      </c>
      <c r="H48" s="36">
        <f>'2.2. 20'!Y48</f>
        <v>0</v>
      </c>
      <c r="I48" s="36">
        <f>'2.3. 20'!L48</f>
        <v>2.1486486486486487</v>
      </c>
      <c r="J48" s="36">
        <f>AVERAGE(F48:I48)</f>
        <v>2.0605870771433685</v>
      </c>
    </row>
    <row r="49" spans="1:10" ht="25.5" x14ac:dyDescent="0.25">
      <c r="A49" s="23">
        <v>2</v>
      </c>
      <c r="B49" s="24" t="s">
        <v>175</v>
      </c>
      <c r="C49" s="77"/>
      <c r="D49" s="78"/>
      <c r="E49" s="36"/>
      <c r="F49" s="36"/>
      <c r="G49" s="36">
        <f>'2.1. 20'!AB49</f>
        <v>1.4049586776859504</v>
      </c>
      <c r="H49" s="36">
        <f>'2.2. 20'!Y49</f>
        <v>0</v>
      </c>
      <c r="I49" s="36">
        <f>'2.3. 20'!L49</f>
        <v>1.0874999999999999</v>
      </c>
      <c r="J49" s="36">
        <f t="shared" ref="J49:J50" si="4">AVERAGE(F49:I49)</f>
        <v>0.83081955922865003</v>
      </c>
    </row>
    <row r="50" spans="1:10" ht="26.25" thickBot="1" x14ac:dyDescent="0.3">
      <c r="A50" s="23">
        <v>3</v>
      </c>
      <c r="B50" s="24" t="s">
        <v>176</v>
      </c>
      <c r="C50" s="77"/>
      <c r="D50" s="78"/>
      <c r="E50" s="36"/>
      <c r="F50" s="36"/>
      <c r="G50" s="36">
        <f>'2.1. 20'!AB50</f>
        <v>1.48</v>
      </c>
      <c r="H50" s="36">
        <f>'2.2. 20'!Y50</f>
        <v>0</v>
      </c>
      <c r="I50" s="36">
        <f>'2.3. 20'!L50</f>
        <v>0.90766358463726893</v>
      </c>
      <c r="J50" s="499">
        <f t="shared" si="4"/>
        <v>0.79588786154575641</v>
      </c>
    </row>
    <row r="51" spans="1:10" ht="19.5" thickBot="1" x14ac:dyDescent="0.35">
      <c r="A51" s="745" t="s">
        <v>118</v>
      </c>
      <c r="B51" s="746"/>
      <c r="C51" s="494"/>
      <c r="D51" s="494"/>
      <c r="E51" s="494"/>
      <c r="F51" s="494"/>
      <c r="G51" s="496">
        <f>AVERAGE(G48:G50)</f>
        <v>2.3060237534891357</v>
      </c>
      <c r="H51" s="496">
        <f t="shared" ref="H51:I51" si="5">AVERAGE(H48:H50)</f>
        <v>0</v>
      </c>
      <c r="I51" s="498">
        <f t="shared" si="5"/>
        <v>1.3812707444286392</v>
      </c>
      <c r="J51" s="501">
        <f>AVERAGE(J48:J50)</f>
        <v>1.2290981659725917</v>
      </c>
    </row>
  </sheetData>
  <sheetProtection algorithmName="SHA-512" hashValue="JAzhIFpao4gNki6pxRjufst5b924e30V9DaaS3cDyQHfgDG/g6I+RlI4R79LIrzYwP8GutV7izkqb9mhLDZpTw==" saltValue="YrrZxkvzmDqLYlIzj+BXCw==" spinCount="100000" sheet="1" objects="1" selectLockedCells="1" selectUnlockedCells="1"/>
  <mergeCells count="10">
    <mergeCell ref="A51:B51"/>
    <mergeCell ref="J5:J6"/>
    <mergeCell ref="A45:B45"/>
    <mergeCell ref="C4:D4"/>
    <mergeCell ref="C5:D5"/>
    <mergeCell ref="B1:F1"/>
    <mergeCell ref="B2:F2"/>
    <mergeCell ref="A4:A6"/>
    <mergeCell ref="B4:B6"/>
    <mergeCell ref="E4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J50"/>
  <sheetViews>
    <sheetView topLeftCell="A5" zoomScale="80" zoomScaleNormal="80" workbookViewId="0">
      <selection activeCell="A23" sqref="A23:XFD23"/>
    </sheetView>
  </sheetViews>
  <sheetFormatPr defaultColWidth="8.85546875" defaultRowHeight="15" x14ac:dyDescent="0.25"/>
  <cols>
    <col min="1" max="1" width="10.28515625" style="107" customWidth="1"/>
    <col min="2" max="2" width="38.85546875" style="107" customWidth="1"/>
    <col min="3" max="3" width="28" style="107" customWidth="1"/>
    <col min="4" max="4" width="14.5703125" style="107" customWidth="1"/>
    <col min="5" max="5" width="13.85546875" style="107" customWidth="1"/>
    <col min="6" max="6" width="19.42578125" style="107" customWidth="1"/>
    <col min="7" max="7" width="10.28515625" style="107" customWidth="1"/>
    <col min="8" max="8" width="9.5703125" style="107" customWidth="1"/>
    <col min="9" max="9" width="6.42578125" style="122" customWidth="1"/>
    <col min="10" max="11" width="6.42578125" style="107" customWidth="1"/>
    <col min="12" max="12" width="6.42578125" style="122" customWidth="1"/>
    <col min="13" max="13" width="6.85546875" style="107" customWidth="1"/>
    <col min="14" max="14" width="8.5703125" style="107" customWidth="1"/>
    <col min="15" max="15" width="8.140625" style="122" customWidth="1"/>
    <col min="16" max="16" width="12.28515625" style="122" customWidth="1"/>
    <col min="17" max="17" width="11.7109375" style="122" customWidth="1"/>
    <col min="18" max="18" width="13.140625" style="122" customWidth="1"/>
    <col min="19" max="19" width="12.42578125" style="122" customWidth="1"/>
    <col min="20" max="20" width="13.28515625" style="424" customWidth="1"/>
    <col min="21" max="21" width="12.7109375" style="424" customWidth="1"/>
    <col min="22" max="22" width="13.7109375" style="122" customWidth="1"/>
    <col min="23" max="23" width="11.7109375" style="122" customWidth="1"/>
    <col min="24" max="24" width="16" style="107" customWidth="1"/>
    <col min="25" max="25" width="20.7109375" style="107" customWidth="1"/>
    <col min="26" max="16384" width="8.85546875" style="107"/>
  </cols>
  <sheetData>
    <row r="1" spans="1:25" ht="15.75" x14ac:dyDescent="0.25">
      <c r="A1" s="769"/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769"/>
      <c r="X1" s="115"/>
    </row>
    <row r="2" spans="1:25" ht="15.75" x14ac:dyDescent="0.25">
      <c r="A2" s="769"/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115"/>
    </row>
    <row r="3" spans="1:25" ht="15.75" thickBot="1" x14ac:dyDescent="0.3"/>
    <row r="4" spans="1:25" ht="61.15" customHeight="1" x14ac:dyDescent="0.25">
      <c r="A4" s="594" t="s">
        <v>3</v>
      </c>
      <c r="B4" s="590" t="s">
        <v>4</v>
      </c>
      <c r="C4" s="475" t="s">
        <v>130</v>
      </c>
      <c r="D4" s="770" t="s">
        <v>16</v>
      </c>
      <c r="E4" s="771"/>
      <c r="F4" s="771"/>
      <c r="G4" s="770" t="s">
        <v>131</v>
      </c>
      <c r="H4" s="770"/>
      <c r="I4" s="771"/>
      <c r="J4" s="771"/>
      <c r="K4" s="771"/>
      <c r="L4" s="771"/>
      <c r="M4" s="771"/>
      <c r="N4" s="771"/>
      <c r="O4" s="771"/>
      <c r="P4" s="770" t="s">
        <v>35</v>
      </c>
      <c r="Q4" s="770"/>
      <c r="R4" s="770"/>
      <c r="S4" s="772"/>
      <c r="T4" s="770" t="s">
        <v>132</v>
      </c>
      <c r="U4" s="772"/>
      <c r="V4" s="771"/>
      <c r="W4" s="771"/>
      <c r="X4" s="765" t="s">
        <v>271</v>
      </c>
      <c r="Y4" s="767" t="s">
        <v>272</v>
      </c>
    </row>
    <row r="5" spans="1:25" ht="69.75" customHeight="1" x14ac:dyDescent="0.25">
      <c r="A5" s="595"/>
      <c r="B5" s="591"/>
      <c r="C5" s="763" t="s">
        <v>208</v>
      </c>
      <c r="D5" s="763" t="s">
        <v>133</v>
      </c>
      <c r="E5" s="763" t="s">
        <v>134</v>
      </c>
      <c r="F5" s="763" t="s">
        <v>135</v>
      </c>
      <c r="G5" s="763" t="s">
        <v>136</v>
      </c>
      <c r="H5" s="763"/>
      <c r="I5" s="763"/>
      <c r="J5" s="763" t="s">
        <v>207</v>
      </c>
      <c r="K5" s="764"/>
      <c r="L5" s="764"/>
      <c r="M5" s="763" t="s">
        <v>206</v>
      </c>
      <c r="N5" s="778"/>
      <c r="O5" s="764"/>
      <c r="P5" s="773" t="s">
        <v>205</v>
      </c>
      <c r="Q5" s="774"/>
      <c r="R5" s="773" t="s">
        <v>204</v>
      </c>
      <c r="S5" s="774" t="s">
        <v>137</v>
      </c>
      <c r="T5" s="775" t="s">
        <v>203</v>
      </c>
      <c r="U5" s="776"/>
      <c r="V5" s="773" t="s">
        <v>202</v>
      </c>
      <c r="W5" s="777"/>
      <c r="X5" s="766"/>
      <c r="Y5" s="768"/>
    </row>
    <row r="6" spans="1:25" ht="15.75" x14ac:dyDescent="0.25">
      <c r="A6" s="595"/>
      <c r="B6" s="591"/>
      <c r="C6" s="764"/>
      <c r="D6" s="764"/>
      <c r="E6" s="764"/>
      <c r="F6" s="764"/>
      <c r="G6" s="357" t="s">
        <v>10</v>
      </c>
      <c r="H6" s="358" t="s">
        <v>11</v>
      </c>
      <c r="I6" s="78" t="s">
        <v>12</v>
      </c>
      <c r="J6" s="358" t="s">
        <v>10</v>
      </c>
      <c r="K6" s="358" t="s">
        <v>11</v>
      </c>
      <c r="L6" s="78" t="s">
        <v>12</v>
      </c>
      <c r="M6" s="358" t="s">
        <v>10</v>
      </c>
      <c r="N6" s="358" t="s">
        <v>11</v>
      </c>
      <c r="O6" s="78" t="s">
        <v>12</v>
      </c>
      <c r="P6" s="78" t="s">
        <v>201</v>
      </c>
      <c r="Q6" s="78" t="s">
        <v>200</v>
      </c>
      <c r="R6" s="78" t="s">
        <v>201</v>
      </c>
      <c r="S6" s="78" t="s">
        <v>200</v>
      </c>
      <c r="T6" s="422" t="s">
        <v>201</v>
      </c>
      <c r="U6" s="422" t="s">
        <v>200</v>
      </c>
      <c r="V6" s="78" t="s">
        <v>201</v>
      </c>
      <c r="W6" s="78" t="s">
        <v>200</v>
      </c>
      <c r="X6" s="766"/>
      <c r="Y6" s="768"/>
    </row>
    <row r="7" spans="1:25" x14ac:dyDescent="0.25">
      <c r="A7" s="403">
        <v>1</v>
      </c>
      <c r="B7" s="182" t="s">
        <v>139</v>
      </c>
      <c r="C7" s="78">
        <v>1.371</v>
      </c>
      <c r="D7" s="103">
        <v>28</v>
      </c>
      <c r="E7" s="103">
        <v>1</v>
      </c>
      <c r="F7" s="78">
        <v>1</v>
      </c>
      <c r="G7" s="104">
        <v>120</v>
      </c>
      <c r="H7" s="104">
        <v>129</v>
      </c>
      <c r="I7" s="104">
        <v>28</v>
      </c>
      <c r="J7" s="104">
        <v>23</v>
      </c>
      <c r="K7" s="104">
        <v>39</v>
      </c>
      <c r="L7" s="104">
        <v>15</v>
      </c>
      <c r="M7" s="78">
        <v>0</v>
      </c>
      <c r="N7" s="78">
        <v>0</v>
      </c>
      <c r="O7" s="78">
        <v>0</v>
      </c>
      <c r="P7" s="78">
        <v>3.5379999999999998</v>
      </c>
      <c r="Q7" s="78">
        <v>3.4620000000000002</v>
      </c>
      <c r="R7" s="78">
        <v>3.5329999999999999</v>
      </c>
      <c r="S7" s="78">
        <v>3.4670000000000001</v>
      </c>
      <c r="T7" s="422"/>
      <c r="U7" s="422"/>
      <c r="V7" s="78">
        <v>3.5710000000000002</v>
      </c>
      <c r="W7" s="78">
        <v>3</v>
      </c>
      <c r="X7" s="376">
        <v>2</v>
      </c>
      <c r="Y7" s="467">
        <v>1</v>
      </c>
    </row>
    <row r="8" spans="1:25" x14ac:dyDescent="0.25">
      <c r="A8" s="403">
        <v>2</v>
      </c>
      <c r="B8" s="182" t="s">
        <v>140</v>
      </c>
      <c r="C8" s="78">
        <v>0.97199999999999998</v>
      </c>
      <c r="D8" s="103">
        <v>47</v>
      </c>
      <c r="E8" s="103">
        <v>0</v>
      </c>
      <c r="F8" s="78">
        <v>1</v>
      </c>
      <c r="G8" s="104">
        <v>254</v>
      </c>
      <c r="H8" s="104">
        <v>405</v>
      </c>
      <c r="I8" s="104">
        <v>61</v>
      </c>
      <c r="J8" s="104">
        <v>58</v>
      </c>
      <c r="K8" s="104">
        <v>75</v>
      </c>
      <c r="L8" s="104">
        <v>31</v>
      </c>
      <c r="M8" s="78">
        <v>0</v>
      </c>
      <c r="N8" s="78">
        <v>0</v>
      </c>
      <c r="O8" s="78">
        <v>0</v>
      </c>
      <c r="P8" s="78">
        <v>3.8</v>
      </c>
      <c r="Q8" s="78">
        <v>3.6</v>
      </c>
      <c r="R8" s="78">
        <v>4.1500000000000004</v>
      </c>
      <c r="S8" s="78">
        <v>3.8</v>
      </c>
      <c r="T8" s="422"/>
      <c r="U8" s="422"/>
      <c r="V8" s="78">
        <v>65</v>
      </c>
      <c r="W8" s="105">
        <v>37</v>
      </c>
      <c r="X8" s="213">
        <v>2</v>
      </c>
      <c r="Y8" s="467">
        <v>1</v>
      </c>
    </row>
    <row r="9" spans="1:25" ht="24.75" customHeight="1" x14ac:dyDescent="0.25">
      <c r="A9" s="403">
        <v>3</v>
      </c>
      <c r="B9" s="182" t="s">
        <v>141</v>
      </c>
      <c r="C9" s="78">
        <v>1.0009999999999999</v>
      </c>
      <c r="D9" s="103">
        <v>53</v>
      </c>
      <c r="E9" s="103">
        <v>1</v>
      </c>
      <c r="F9" s="78">
        <v>1</v>
      </c>
      <c r="G9" s="104">
        <v>316</v>
      </c>
      <c r="H9" s="104">
        <v>319</v>
      </c>
      <c r="I9" s="104">
        <v>69</v>
      </c>
      <c r="J9" s="104">
        <v>69</v>
      </c>
      <c r="K9" s="104">
        <v>69</v>
      </c>
      <c r="L9" s="104">
        <v>34</v>
      </c>
      <c r="M9" s="78">
        <v>0</v>
      </c>
      <c r="N9" s="78">
        <v>0</v>
      </c>
      <c r="O9" s="78">
        <v>0</v>
      </c>
      <c r="P9" s="78">
        <v>3.75</v>
      </c>
      <c r="Q9" s="78">
        <v>3.63</v>
      </c>
      <c r="R9" s="78">
        <v>4</v>
      </c>
      <c r="S9" s="78">
        <v>3.5579999999999998</v>
      </c>
      <c r="T9" s="422"/>
      <c r="U9" s="422"/>
      <c r="V9" s="78">
        <v>66</v>
      </c>
      <c r="W9" s="130" t="s">
        <v>286</v>
      </c>
      <c r="X9" s="377">
        <v>2</v>
      </c>
      <c r="Y9" s="467">
        <v>1</v>
      </c>
    </row>
    <row r="10" spans="1:25" x14ac:dyDescent="0.25">
      <c r="A10" s="403">
        <v>4</v>
      </c>
      <c r="B10" s="182" t="s">
        <v>142</v>
      </c>
      <c r="C10" s="78">
        <v>0.9</v>
      </c>
      <c r="D10" s="103">
        <v>50</v>
      </c>
      <c r="E10" s="103">
        <v>0</v>
      </c>
      <c r="F10" s="78">
        <v>1</v>
      </c>
      <c r="G10" s="104">
        <v>301</v>
      </c>
      <c r="H10" s="104">
        <v>330</v>
      </c>
      <c r="I10" s="104">
        <v>29</v>
      </c>
      <c r="J10" s="104">
        <v>74</v>
      </c>
      <c r="K10" s="104">
        <v>57</v>
      </c>
      <c r="L10" s="104">
        <v>29</v>
      </c>
      <c r="M10" s="78">
        <v>0</v>
      </c>
      <c r="N10" s="78">
        <v>0</v>
      </c>
      <c r="O10" s="78">
        <v>0</v>
      </c>
      <c r="P10" s="78">
        <v>3.7469999999999999</v>
      </c>
      <c r="Q10" s="78">
        <v>3.702</v>
      </c>
      <c r="R10" s="78">
        <v>3.6150000000000002</v>
      </c>
      <c r="S10" s="78">
        <v>3.6920000000000002</v>
      </c>
      <c r="T10" s="422"/>
      <c r="U10" s="422"/>
      <c r="V10" s="78">
        <v>71</v>
      </c>
      <c r="W10" s="78">
        <v>43</v>
      </c>
      <c r="X10" s="213">
        <v>2</v>
      </c>
      <c r="Y10" s="467">
        <v>1</v>
      </c>
    </row>
    <row r="11" spans="1:25" s="76" customFormat="1" x14ac:dyDescent="0.25">
      <c r="A11" s="154">
        <v>5</v>
      </c>
      <c r="B11" s="359" t="s">
        <v>143</v>
      </c>
      <c r="C11" s="155">
        <v>0.85</v>
      </c>
      <c r="D11" s="103">
        <v>31</v>
      </c>
      <c r="E11" s="103">
        <v>0</v>
      </c>
      <c r="F11" s="78">
        <v>1</v>
      </c>
      <c r="G11" s="104">
        <v>191</v>
      </c>
      <c r="H11" s="104">
        <v>171</v>
      </c>
      <c r="I11" s="104">
        <v>22</v>
      </c>
      <c r="J11" s="104">
        <v>46</v>
      </c>
      <c r="K11" s="104">
        <v>33</v>
      </c>
      <c r="L11" s="104">
        <v>9</v>
      </c>
      <c r="M11" s="78">
        <v>0</v>
      </c>
      <c r="N11" s="78">
        <v>0</v>
      </c>
      <c r="O11" s="78">
        <v>0</v>
      </c>
      <c r="P11" s="78">
        <v>3.65</v>
      </c>
      <c r="Q11" s="78">
        <v>3.6</v>
      </c>
      <c r="R11" s="78">
        <v>3.56</v>
      </c>
      <c r="S11" s="78">
        <v>3.7</v>
      </c>
      <c r="T11" s="422"/>
      <c r="U11" s="422"/>
      <c r="V11" s="78">
        <v>3.25</v>
      </c>
      <c r="W11" s="78">
        <v>0</v>
      </c>
      <c r="X11" s="78">
        <v>1</v>
      </c>
      <c r="Y11" s="467">
        <v>1</v>
      </c>
    </row>
    <row r="12" spans="1:25" ht="25.5" x14ac:dyDescent="0.25">
      <c r="A12" s="403">
        <v>6</v>
      </c>
      <c r="B12" s="182" t="s">
        <v>177</v>
      </c>
      <c r="C12" s="78">
        <v>1</v>
      </c>
      <c r="D12" s="103">
        <v>73</v>
      </c>
      <c r="E12" s="103">
        <v>3</v>
      </c>
      <c r="F12" s="131">
        <v>1</v>
      </c>
      <c r="G12" s="104">
        <v>508</v>
      </c>
      <c r="H12" s="104">
        <v>521</v>
      </c>
      <c r="I12" s="104">
        <v>101</v>
      </c>
      <c r="J12" s="104">
        <v>120</v>
      </c>
      <c r="K12" s="104">
        <v>92</v>
      </c>
      <c r="L12" s="104">
        <v>44</v>
      </c>
      <c r="M12" s="78">
        <v>0</v>
      </c>
      <c r="N12" s="78">
        <v>0</v>
      </c>
      <c r="O12" s="78">
        <v>0</v>
      </c>
      <c r="P12" s="78">
        <v>4.2</v>
      </c>
      <c r="Q12" s="78">
        <v>3.5</v>
      </c>
      <c r="R12" s="78">
        <v>4</v>
      </c>
      <c r="S12" s="78">
        <v>3.8</v>
      </c>
      <c r="T12" s="422"/>
      <c r="U12" s="422"/>
      <c r="V12" s="78">
        <v>80</v>
      </c>
      <c r="W12" s="78">
        <v>37</v>
      </c>
      <c r="X12" s="213">
        <v>2</v>
      </c>
      <c r="Y12" s="467">
        <v>1</v>
      </c>
    </row>
    <row r="13" spans="1:25" x14ac:dyDescent="0.25">
      <c r="A13" s="403">
        <v>7</v>
      </c>
      <c r="B13" s="183" t="s">
        <v>144</v>
      </c>
      <c r="C13" s="78">
        <v>1.8</v>
      </c>
      <c r="D13" s="103">
        <v>30</v>
      </c>
      <c r="E13" s="103">
        <v>3</v>
      </c>
      <c r="F13" s="78">
        <v>1</v>
      </c>
      <c r="G13" s="104">
        <v>146</v>
      </c>
      <c r="H13" s="104">
        <v>131</v>
      </c>
      <c r="I13" s="104">
        <v>23</v>
      </c>
      <c r="J13" s="104">
        <v>34</v>
      </c>
      <c r="K13" s="104">
        <v>29</v>
      </c>
      <c r="L13" s="104">
        <v>11</v>
      </c>
      <c r="M13" s="78">
        <v>0</v>
      </c>
      <c r="N13" s="78">
        <v>0</v>
      </c>
      <c r="O13" s="78">
        <v>0</v>
      </c>
      <c r="P13" s="78">
        <v>3.286</v>
      </c>
      <c r="Q13" s="78">
        <v>3.286</v>
      </c>
      <c r="R13" s="78">
        <v>3.5449999999999999</v>
      </c>
      <c r="S13" s="78">
        <v>4</v>
      </c>
      <c r="T13" s="422"/>
      <c r="U13" s="422"/>
      <c r="V13" s="78">
        <v>4</v>
      </c>
      <c r="W13" s="133">
        <v>4</v>
      </c>
      <c r="X13" s="213">
        <v>2</v>
      </c>
      <c r="Y13" s="467">
        <v>1</v>
      </c>
    </row>
    <row r="14" spans="1:25" ht="15.75" x14ac:dyDescent="0.25">
      <c r="A14" s="403">
        <v>8</v>
      </c>
      <c r="B14" s="182" t="s">
        <v>145</v>
      </c>
      <c r="C14" s="78">
        <v>1</v>
      </c>
      <c r="D14" s="103">
        <v>20</v>
      </c>
      <c r="E14" s="103">
        <v>1</v>
      </c>
      <c r="F14" s="78">
        <v>1</v>
      </c>
      <c r="G14" s="104">
        <v>82</v>
      </c>
      <c r="H14" s="104">
        <v>90</v>
      </c>
      <c r="I14" s="104">
        <v>13</v>
      </c>
      <c r="J14" s="104">
        <v>14</v>
      </c>
      <c r="K14" s="104">
        <v>14</v>
      </c>
      <c r="L14" s="104"/>
      <c r="M14" s="78">
        <v>0</v>
      </c>
      <c r="N14" s="78">
        <v>0</v>
      </c>
      <c r="O14" s="78"/>
      <c r="P14" s="78">
        <v>3.3570000000000002</v>
      </c>
      <c r="Q14" s="78" t="s">
        <v>290</v>
      </c>
      <c r="R14" s="78"/>
      <c r="S14" s="78"/>
      <c r="T14" s="422"/>
      <c r="U14" s="422"/>
      <c r="V14" s="78"/>
      <c r="W14" s="78"/>
      <c r="X14" s="378">
        <v>2</v>
      </c>
      <c r="Y14" s="476">
        <v>1</v>
      </c>
    </row>
    <row r="15" spans="1:25" x14ac:dyDescent="0.25">
      <c r="A15" s="403">
        <v>9</v>
      </c>
      <c r="B15" s="182" t="s">
        <v>146</v>
      </c>
      <c r="C15" s="78">
        <v>2.5390000000000001</v>
      </c>
      <c r="D15" s="103">
        <v>21</v>
      </c>
      <c r="E15" s="103">
        <v>1</v>
      </c>
      <c r="F15" s="78">
        <v>1</v>
      </c>
      <c r="G15" s="104">
        <v>71</v>
      </c>
      <c r="H15" s="104">
        <v>75</v>
      </c>
      <c r="I15" s="104"/>
      <c r="J15" s="104">
        <v>22</v>
      </c>
      <c r="K15" s="104">
        <v>18</v>
      </c>
      <c r="L15" s="104"/>
      <c r="M15" s="78">
        <v>0</v>
      </c>
      <c r="N15" s="78">
        <v>0</v>
      </c>
      <c r="O15" s="78"/>
      <c r="P15" s="78">
        <v>3.45</v>
      </c>
      <c r="Q15" s="78">
        <v>3.32</v>
      </c>
      <c r="R15" s="78"/>
      <c r="S15" s="78"/>
      <c r="T15" s="422"/>
      <c r="U15" s="422"/>
      <c r="V15" s="78"/>
      <c r="W15" s="78"/>
      <c r="X15" s="213">
        <v>1.5</v>
      </c>
      <c r="Y15" s="476">
        <v>1</v>
      </c>
    </row>
    <row r="16" spans="1:25" x14ac:dyDescent="0.25">
      <c r="A16" s="403">
        <v>10</v>
      </c>
      <c r="B16" s="182" t="s">
        <v>172</v>
      </c>
      <c r="C16" s="78">
        <v>546</v>
      </c>
      <c r="D16" s="103">
        <v>16</v>
      </c>
      <c r="E16" s="103">
        <v>0</v>
      </c>
      <c r="F16" s="78">
        <v>1</v>
      </c>
      <c r="G16" s="104">
        <v>57</v>
      </c>
      <c r="H16" s="104">
        <v>48</v>
      </c>
      <c r="I16" s="104"/>
      <c r="J16" s="104">
        <v>10</v>
      </c>
      <c r="K16" s="104">
        <v>10</v>
      </c>
      <c r="L16" s="104"/>
      <c r="M16" s="78">
        <v>0</v>
      </c>
      <c r="N16" s="78">
        <v>0</v>
      </c>
      <c r="O16" s="78"/>
      <c r="P16" s="78">
        <v>3.4</v>
      </c>
      <c r="Q16" s="78">
        <v>3.2</v>
      </c>
      <c r="R16" s="78"/>
      <c r="S16" s="78"/>
      <c r="T16" s="422"/>
      <c r="U16" s="422"/>
      <c r="V16" s="78"/>
      <c r="W16" s="78"/>
      <c r="X16" s="213">
        <v>1.5</v>
      </c>
      <c r="Y16" s="476">
        <v>1</v>
      </c>
    </row>
    <row r="17" spans="1:25" x14ac:dyDescent="0.25">
      <c r="A17" s="403">
        <v>11</v>
      </c>
      <c r="B17" s="182" t="s">
        <v>147</v>
      </c>
      <c r="C17" s="78">
        <v>1.61</v>
      </c>
      <c r="D17" s="103">
        <v>38</v>
      </c>
      <c r="E17" s="103">
        <v>1</v>
      </c>
      <c r="F17" s="78">
        <v>1</v>
      </c>
      <c r="G17" s="104">
        <v>177</v>
      </c>
      <c r="H17" s="104">
        <v>248</v>
      </c>
      <c r="I17" s="104">
        <v>59</v>
      </c>
      <c r="J17" s="104">
        <v>34</v>
      </c>
      <c r="K17" s="104">
        <v>39</v>
      </c>
      <c r="L17" s="104">
        <v>20</v>
      </c>
      <c r="M17" s="78">
        <v>0</v>
      </c>
      <c r="N17" s="78">
        <v>0</v>
      </c>
      <c r="O17" s="78">
        <v>0</v>
      </c>
      <c r="P17" s="78">
        <v>3.9</v>
      </c>
      <c r="Q17" s="78">
        <v>3.4</v>
      </c>
      <c r="R17" s="78">
        <v>3.7</v>
      </c>
      <c r="S17" s="78">
        <v>3.625</v>
      </c>
      <c r="T17" s="422"/>
      <c r="U17" s="422"/>
      <c r="V17" s="78">
        <v>59</v>
      </c>
      <c r="W17" s="78">
        <v>31</v>
      </c>
      <c r="X17" s="213">
        <v>1.5</v>
      </c>
      <c r="Y17" s="467">
        <v>1</v>
      </c>
    </row>
    <row r="18" spans="1:25" ht="25.5" x14ac:dyDescent="0.25">
      <c r="A18" s="403">
        <v>12</v>
      </c>
      <c r="B18" s="182" t="s">
        <v>178</v>
      </c>
      <c r="C18" s="78">
        <v>0.85</v>
      </c>
      <c r="D18" s="103">
        <v>36</v>
      </c>
      <c r="E18" s="103">
        <v>0</v>
      </c>
      <c r="F18" s="78">
        <v>1</v>
      </c>
      <c r="G18" s="104">
        <v>144</v>
      </c>
      <c r="H18" s="104">
        <v>140</v>
      </c>
      <c r="I18" s="104">
        <v>24</v>
      </c>
      <c r="J18" s="104">
        <v>32</v>
      </c>
      <c r="K18" s="104">
        <v>26</v>
      </c>
      <c r="L18" s="104">
        <v>12</v>
      </c>
      <c r="M18" s="78">
        <v>0</v>
      </c>
      <c r="N18" s="78">
        <v>0</v>
      </c>
      <c r="O18" s="78">
        <v>0</v>
      </c>
      <c r="P18" s="78">
        <v>3.7</v>
      </c>
      <c r="Q18" s="78">
        <v>3.6</v>
      </c>
      <c r="R18" s="78">
        <v>4</v>
      </c>
      <c r="S18" s="78">
        <v>3.7</v>
      </c>
      <c r="T18" s="422"/>
      <c r="U18" s="422"/>
      <c r="V18" s="422"/>
      <c r="W18" s="422"/>
      <c r="X18" s="379">
        <v>1.5</v>
      </c>
      <c r="Y18" s="467">
        <v>1</v>
      </c>
    </row>
    <row r="19" spans="1:25" x14ac:dyDescent="0.25">
      <c r="A19" s="403">
        <v>13</v>
      </c>
      <c r="B19" s="182" t="s">
        <v>148</v>
      </c>
      <c r="C19" s="78">
        <v>1.3720000000000001</v>
      </c>
      <c r="D19" s="103">
        <v>26</v>
      </c>
      <c r="E19" s="103">
        <v>1</v>
      </c>
      <c r="F19" s="78">
        <v>1</v>
      </c>
      <c r="G19" s="104">
        <v>106</v>
      </c>
      <c r="H19" s="104">
        <v>100</v>
      </c>
      <c r="I19" s="104">
        <v>28</v>
      </c>
      <c r="J19" s="104">
        <v>28</v>
      </c>
      <c r="K19" s="104">
        <v>20</v>
      </c>
      <c r="L19" s="104">
        <v>11</v>
      </c>
      <c r="M19" s="78">
        <v>0</v>
      </c>
      <c r="N19" s="78">
        <v>0</v>
      </c>
      <c r="O19" s="78">
        <v>0</v>
      </c>
      <c r="P19" s="78">
        <v>3.55</v>
      </c>
      <c r="Q19" s="78">
        <v>3.6</v>
      </c>
      <c r="R19" s="78">
        <v>3.55</v>
      </c>
      <c r="S19" s="78">
        <v>3.45</v>
      </c>
      <c r="T19" s="422"/>
      <c r="U19" s="422"/>
      <c r="V19" s="422"/>
      <c r="W19" s="422"/>
      <c r="X19" s="213">
        <v>1.5</v>
      </c>
      <c r="Y19" s="476">
        <v>1</v>
      </c>
    </row>
    <row r="20" spans="1:25" x14ac:dyDescent="0.25">
      <c r="A20" s="403">
        <v>14</v>
      </c>
      <c r="B20" s="182" t="s">
        <v>173</v>
      </c>
      <c r="C20" s="78">
        <v>0.93</v>
      </c>
      <c r="D20" s="103">
        <v>21</v>
      </c>
      <c r="E20" s="103">
        <v>7</v>
      </c>
      <c r="F20" s="78">
        <v>1</v>
      </c>
      <c r="G20" s="104">
        <v>86</v>
      </c>
      <c r="H20" s="104">
        <v>82</v>
      </c>
      <c r="I20" s="104"/>
      <c r="J20" s="104">
        <v>17</v>
      </c>
      <c r="K20" s="104">
        <v>17</v>
      </c>
      <c r="L20" s="104"/>
      <c r="M20" s="78">
        <v>0</v>
      </c>
      <c r="N20" s="78">
        <v>0</v>
      </c>
      <c r="O20" s="78"/>
      <c r="P20" s="78">
        <v>3.6</v>
      </c>
      <c r="Q20" s="78">
        <v>3.7</v>
      </c>
      <c r="R20" s="78"/>
      <c r="S20" s="78"/>
      <c r="T20" s="422"/>
      <c r="U20" s="422"/>
      <c r="V20" s="78"/>
      <c r="W20" s="78"/>
      <c r="X20" s="106">
        <v>1</v>
      </c>
      <c r="Y20" s="467">
        <v>1</v>
      </c>
    </row>
    <row r="21" spans="1:25" x14ac:dyDescent="0.25">
      <c r="A21" s="403">
        <v>15</v>
      </c>
      <c r="B21" s="182" t="s">
        <v>149</v>
      </c>
      <c r="C21" s="78">
        <v>1.008</v>
      </c>
      <c r="D21" s="103">
        <v>29</v>
      </c>
      <c r="E21" s="103">
        <v>2</v>
      </c>
      <c r="F21" s="78">
        <v>1</v>
      </c>
      <c r="G21" s="104">
        <v>87</v>
      </c>
      <c r="H21" s="104">
        <v>71</v>
      </c>
      <c r="I21" s="104">
        <v>7</v>
      </c>
      <c r="J21" s="104">
        <v>20</v>
      </c>
      <c r="K21" s="104">
        <v>12</v>
      </c>
      <c r="L21" s="104">
        <v>7</v>
      </c>
      <c r="M21" s="78">
        <v>0</v>
      </c>
      <c r="N21" s="78">
        <v>0</v>
      </c>
      <c r="O21" s="78">
        <v>0</v>
      </c>
      <c r="P21" s="78">
        <v>3.92</v>
      </c>
      <c r="Q21" s="78">
        <v>3.83</v>
      </c>
      <c r="R21" s="78">
        <v>3.6</v>
      </c>
      <c r="S21" s="78">
        <v>3.7</v>
      </c>
      <c r="T21" s="422"/>
      <c r="U21" s="422"/>
      <c r="V21" s="422"/>
      <c r="W21" s="422"/>
      <c r="X21" s="213">
        <v>2</v>
      </c>
      <c r="Y21" s="476">
        <v>1</v>
      </c>
    </row>
    <row r="22" spans="1:25" s="8" customFormat="1" x14ac:dyDescent="0.25">
      <c r="A22" s="403">
        <v>16</v>
      </c>
      <c r="B22" s="182" t="s">
        <v>150</v>
      </c>
      <c r="C22" s="78">
        <v>1.042</v>
      </c>
      <c r="D22" s="103">
        <v>32</v>
      </c>
      <c r="E22" s="103">
        <v>1</v>
      </c>
      <c r="F22" s="78">
        <v>1</v>
      </c>
      <c r="G22" s="104">
        <v>194</v>
      </c>
      <c r="H22" s="104">
        <v>194</v>
      </c>
      <c r="I22" s="104">
        <v>32</v>
      </c>
      <c r="J22" s="104">
        <v>43</v>
      </c>
      <c r="K22" s="104">
        <v>38</v>
      </c>
      <c r="L22" s="104">
        <v>19</v>
      </c>
      <c r="M22" s="78">
        <v>0</v>
      </c>
      <c r="N22" s="78">
        <v>0</v>
      </c>
      <c r="O22" s="78">
        <v>0</v>
      </c>
      <c r="P22" s="78">
        <v>3.6</v>
      </c>
      <c r="Q22" s="78">
        <v>3.8</v>
      </c>
      <c r="R22" s="78">
        <v>3.8</v>
      </c>
      <c r="S22" s="78">
        <v>3.8</v>
      </c>
      <c r="T22" s="422"/>
      <c r="U22" s="422"/>
      <c r="V22" s="78">
        <v>58</v>
      </c>
      <c r="W22" s="78">
        <v>48</v>
      </c>
      <c r="X22" s="379">
        <v>1.5</v>
      </c>
      <c r="Y22" s="476">
        <v>1</v>
      </c>
    </row>
    <row r="23" spans="1:25" x14ac:dyDescent="0.25">
      <c r="A23" s="403">
        <v>17</v>
      </c>
      <c r="B23" s="182" t="s">
        <v>151</v>
      </c>
      <c r="C23" s="78">
        <v>1.5</v>
      </c>
      <c r="D23" s="103">
        <v>31</v>
      </c>
      <c r="E23" s="103">
        <v>0</v>
      </c>
      <c r="F23" s="78">
        <v>1</v>
      </c>
      <c r="G23" s="104">
        <v>154</v>
      </c>
      <c r="H23" s="104">
        <v>196</v>
      </c>
      <c r="I23" s="104">
        <v>25</v>
      </c>
      <c r="J23" s="104">
        <v>35</v>
      </c>
      <c r="K23" s="104">
        <v>30</v>
      </c>
      <c r="L23" s="104">
        <v>10</v>
      </c>
      <c r="M23" s="78">
        <v>0</v>
      </c>
      <c r="N23" s="78">
        <v>0</v>
      </c>
      <c r="O23" s="78">
        <v>0</v>
      </c>
      <c r="P23" s="78">
        <v>3.5</v>
      </c>
      <c r="Q23" s="78">
        <v>3.4</v>
      </c>
      <c r="R23" s="78">
        <v>4.0999999999999996</v>
      </c>
      <c r="S23" s="78">
        <v>4</v>
      </c>
      <c r="T23" s="422"/>
      <c r="U23" s="422"/>
      <c r="V23" s="422"/>
      <c r="W23" s="422"/>
      <c r="X23" s="213">
        <v>2</v>
      </c>
      <c r="Y23" s="467">
        <v>1</v>
      </c>
    </row>
    <row r="24" spans="1:25" x14ac:dyDescent="0.25">
      <c r="A24" s="403">
        <v>18</v>
      </c>
      <c r="B24" s="182" t="s">
        <v>152</v>
      </c>
      <c r="C24" s="78">
        <v>0.874</v>
      </c>
      <c r="D24" s="103">
        <v>34</v>
      </c>
      <c r="E24" s="103">
        <v>1</v>
      </c>
      <c r="F24" s="78">
        <v>1</v>
      </c>
      <c r="G24" s="104">
        <v>240</v>
      </c>
      <c r="H24" s="104">
        <v>188</v>
      </c>
      <c r="I24" s="104">
        <v>30</v>
      </c>
      <c r="J24" s="104">
        <v>57</v>
      </c>
      <c r="K24" s="104">
        <v>28</v>
      </c>
      <c r="L24" s="104">
        <v>16</v>
      </c>
      <c r="M24" s="78">
        <v>0</v>
      </c>
      <c r="N24" s="78">
        <v>0</v>
      </c>
      <c r="O24" s="78">
        <v>0</v>
      </c>
      <c r="P24" s="78">
        <v>3.5350000000000001</v>
      </c>
      <c r="Q24" s="78">
        <v>3.7320000000000002</v>
      </c>
      <c r="R24" s="78">
        <v>3.75</v>
      </c>
      <c r="S24" s="78">
        <v>3.6869999999999998</v>
      </c>
      <c r="T24" s="422"/>
      <c r="U24" s="422"/>
      <c r="V24" s="78">
        <v>63</v>
      </c>
      <c r="W24" s="78">
        <v>51</v>
      </c>
      <c r="X24" s="213">
        <v>1</v>
      </c>
      <c r="Y24" s="467">
        <v>1</v>
      </c>
    </row>
    <row r="25" spans="1:25" x14ac:dyDescent="0.25">
      <c r="A25" s="403">
        <v>19</v>
      </c>
      <c r="B25" s="182" t="s">
        <v>153</v>
      </c>
      <c r="C25" s="78">
        <v>1</v>
      </c>
      <c r="D25" s="103">
        <v>42</v>
      </c>
      <c r="E25" s="103">
        <v>5</v>
      </c>
      <c r="F25" s="78">
        <v>1</v>
      </c>
      <c r="G25" s="104">
        <v>184</v>
      </c>
      <c r="H25" s="104">
        <v>254</v>
      </c>
      <c r="I25" s="104">
        <v>35</v>
      </c>
      <c r="J25" s="104">
        <v>54</v>
      </c>
      <c r="K25" s="104">
        <v>44</v>
      </c>
      <c r="L25" s="104">
        <v>15</v>
      </c>
      <c r="M25" s="78">
        <v>0</v>
      </c>
      <c r="N25" s="78">
        <v>0</v>
      </c>
      <c r="O25" s="78">
        <v>0</v>
      </c>
      <c r="P25" s="78">
        <v>3.84</v>
      </c>
      <c r="Q25" s="78">
        <v>3.67</v>
      </c>
      <c r="R25" s="78">
        <v>3.33</v>
      </c>
      <c r="S25" s="78">
        <v>3.47</v>
      </c>
      <c r="T25" s="422"/>
      <c r="U25" s="422"/>
      <c r="V25" s="78">
        <v>58</v>
      </c>
      <c r="W25" s="78">
        <v>22</v>
      </c>
      <c r="X25" s="213">
        <v>2</v>
      </c>
      <c r="Y25" s="467">
        <v>1</v>
      </c>
    </row>
    <row r="26" spans="1:25" x14ac:dyDescent="0.25">
      <c r="A26" s="403">
        <v>20</v>
      </c>
      <c r="B26" s="182" t="s">
        <v>154</v>
      </c>
      <c r="C26" s="78">
        <v>0.85799999999999998</v>
      </c>
      <c r="D26" s="103">
        <v>51</v>
      </c>
      <c r="E26" s="103">
        <v>2</v>
      </c>
      <c r="F26" s="78">
        <v>1</v>
      </c>
      <c r="G26" s="104">
        <v>326</v>
      </c>
      <c r="H26" s="104">
        <v>343</v>
      </c>
      <c r="I26" s="104">
        <v>49</v>
      </c>
      <c r="J26" s="104">
        <v>72</v>
      </c>
      <c r="K26" s="104">
        <v>64</v>
      </c>
      <c r="L26" s="104">
        <v>18</v>
      </c>
      <c r="M26" s="78">
        <v>0</v>
      </c>
      <c r="N26" s="78">
        <v>0</v>
      </c>
      <c r="O26" s="78">
        <v>0</v>
      </c>
      <c r="P26" s="78">
        <v>3.609</v>
      </c>
      <c r="Q26" s="78">
        <v>3.6840000000000002</v>
      </c>
      <c r="R26" s="78">
        <v>4</v>
      </c>
      <c r="S26" s="78">
        <v>3.8130000000000002</v>
      </c>
      <c r="T26" s="422"/>
      <c r="U26" s="422"/>
      <c r="V26" s="78">
        <v>63</v>
      </c>
      <c r="W26" s="78">
        <v>40</v>
      </c>
      <c r="X26" s="106">
        <v>1</v>
      </c>
      <c r="Y26" s="467">
        <v>1</v>
      </c>
    </row>
    <row r="27" spans="1:25" x14ac:dyDescent="0.25">
      <c r="A27" s="403">
        <v>21</v>
      </c>
      <c r="B27" s="182" t="s">
        <v>155</v>
      </c>
      <c r="C27" s="78">
        <v>0.86099999999999999</v>
      </c>
      <c r="D27" s="103">
        <v>30</v>
      </c>
      <c r="E27" s="103">
        <v>0</v>
      </c>
      <c r="F27" s="78">
        <v>1</v>
      </c>
      <c r="G27" s="104">
        <v>127</v>
      </c>
      <c r="H27" s="104">
        <v>134</v>
      </c>
      <c r="I27" s="104">
        <v>20</v>
      </c>
      <c r="J27" s="104">
        <v>26</v>
      </c>
      <c r="K27" s="104">
        <v>24</v>
      </c>
      <c r="L27" s="104">
        <v>11</v>
      </c>
      <c r="M27" s="78">
        <v>0</v>
      </c>
      <c r="N27" s="78">
        <v>0</v>
      </c>
      <c r="O27" s="78">
        <v>0</v>
      </c>
      <c r="P27" s="78">
        <v>3.875</v>
      </c>
      <c r="Q27" s="78">
        <v>3.5409999999999999</v>
      </c>
      <c r="R27" s="78">
        <v>4.3639999999999999</v>
      </c>
      <c r="S27" s="78">
        <v>4</v>
      </c>
      <c r="T27" s="422"/>
      <c r="U27" s="422"/>
      <c r="V27" s="78">
        <v>4.8</v>
      </c>
      <c r="W27" s="78">
        <v>4</v>
      </c>
      <c r="X27" s="213">
        <v>1.5</v>
      </c>
      <c r="Y27" s="467">
        <v>1</v>
      </c>
    </row>
    <row r="28" spans="1:25" x14ac:dyDescent="0.25">
      <c r="A28" s="403">
        <v>22</v>
      </c>
      <c r="B28" s="182" t="s">
        <v>277</v>
      </c>
      <c r="C28" s="78">
        <v>3.6480000000000001</v>
      </c>
      <c r="D28" s="103">
        <v>31</v>
      </c>
      <c r="E28" s="103">
        <v>2</v>
      </c>
      <c r="F28" s="78">
        <v>1</v>
      </c>
      <c r="G28" s="104">
        <v>140</v>
      </c>
      <c r="H28" s="104">
        <v>142</v>
      </c>
      <c r="I28" s="104">
        <v>31</v>
      </c>
      <c r="J28" s="104">
        <v>34</v>
      </c>
      <c r="K28" s="104">
        <v>31</v>
      </c>
      <c r="L28" s="104">
        <v>16</v>
      </c>
      <c r="M28" s="78">
        <v>0</v>
      </c>
      <c r="N28" s="78">
        <v>0</v>
      </c>
      <c r="O28" s="78">
        <v>0</v>
      </c>
      <c r="P28" s="78">
        <v>3.7</v>
      </c>
      <c r="Q28" s="78">
        <v>3.8</v>
      </c>
      <c r="R28" s="78">
        <v>4</v>
      </c>
      <c r="S28" s="78">
        <v>4</v>
      </c>
      <c r="T28" s="422"/>
      <c r="U28" s="422"/>
      <c r="V28" s="78">
        <v>55.5</v>
      </c>
      <c r="W28" s="422"/>
      <c r="X28" s="213">
        <v>2</v>
      </c>
      <c r="Y28" s="467">
        <v>1</v>
      </c>
    </row>
    <row r="29" spans="1:25" x14ac:dyDescent="0.25">
      <c r="A29" s="403">
        <v>23</v>
      </c>
      <c r="B29" s="182" t="s">
        <v>156</v>
      </c>
      <c r="C29" s="78">
        <v>0.73699999999999999</v>
      </c>
      <c r="D29" s="103">
        <v>21</v>
      </c>
      <c r="E29" s="103">
        <v>1</v>
      </c>
      <c r="F29" s="78">
        <v>1</v>
      </c>
      <c r="G29" s="104">
        <v>100</v>
      </c>
      <c r="H29" s="104">
        <v>94</v>
      </c>
      <c r="I29" s="104">
        <v>27</v>
      </c>
      <c r="J29" s="104">
        <v>29</v>
      </c>
      <c r="K29" s="104">
        <v>18</v>
      </c>
      <c r="L29" s="104">
        <v>11</v>
      </c>
      <c r="M29" s="78">
        <v>0</v>
      </c>
      <c r="N29" s="78">
        <v>0</v>
      </c>
      <c r="O29" s="78">
        <v>0</v>
      </c>
      <c r="P29" s="78">
        <v>3.6</v>
      </c>
      <c r="Q29" s="78">
        <v>3.6</v>
      </c>
      <c r="R29" s="78">
        <v>4.0999999999999996</v>
      </c>
      <c r="S29" s="78">
        <v>3.5</v>
      </c>
      <c r="T29" s="422"/>
      <c r="U29" s="422"/>
      <c r="V29" s="78"/>
      <c r="W29" s="78"/>
      <c r="X29" s="213">
        <v>1.5</v>
      </c>
      <c r="Y29" s="476">
        <v>1</v>
      </c>
    </row>
    <row r="30" spans="1:25" x14ac:dyDescent="0.25">
      <c r="A30" s="403">
        <v>24</v>
      </c>
      <c r="B30" s="182" t="s">
        <v>157</v>
      </c>
      <c r="C30" s="78">
        <v>1.01</v>
      </c>
      <c r="D30" s="103">
        <v>32</v>
      </c>
      <c r="E30" s="103">
        <v>2</v>
      </c>
      <c r="F30" s="78">
        <v>1</v>
      </c>
      <c r="G30" s="104">
        <v>137</v>
      </c>
      <c r="H30" s="104">
        <v>192</v>
      </c>
      <c r="I30" s="104">
        <v>43</v>
      </c>
      <c r="J30" s="104">
        <v>44</v>
      </c>
      <c r="K30" s="104">
        <v>39</v>
      </c>
      <c r="L30" s="104">
        <v>17</v>
      </c>
      <c r="M30" s="78">
        <v>0</v>
      </c>
      <c r="N30" s="78">
        <v>0</v>
      </c>
      <c r="O30" s="78">
        <v>0</v>
      </c>
      <c r="P30" s="78">
        <v>3.8460000000000001</v>
      </c>
      <c r="Q30" s="78">
        <v>3.7429999999999999</v>
      </c>
      <c r="R30" s="78">
        <v>3.9409999999999998</v>
      </c>
      <c r="S30" s="78">
        <v>3.5289999999999999</v>
      </c>
      <c r="T30" s="422"/>
      <c r="U30" s="422"/>
      <c r="V30" s="78">
        <v>54</v>
      </c>
      <c r="W30" s="78">
        <v>50</v>
      </c>
      <c r="X30" s="213">
        <v>2</v>
      </c>
      <c r="Y30" s="467">
        <v>1</v>
      </c>
    </row>
    <row r="31" spans="1:25" x14ac:dyDescent="0.25">
      <c r="A31" s="403">
        <v>25</v>
      </c>
      <c r="B31" s="182" t="s">
        <v>159</v>
      </c>
      <c r="C31" s="78">
        <v>1.633</v>
      </c>
      <c r="D31" s="103">
        <v>30</v>
      </c>
      <c r="E31" s="103">
        <v>1</v>
      </c>
      <c r="F31" s="78">
        <v>1</v>
      </c>
      <c r="G31" s="104">
        <v>145</v>
      </c>
      <c r="H31" s="104">
        <v>125</v>
      </c>
      <c r="I31" s="104">
        <v>14</v>
      </c>
      <c r="J31" s="104">
        <v>32</v>
      </c>
      <c r="K31" s="104">
        <v>23</v>
      </c>
      <c r="L31" s="104">
        <v>7</v>
      </c>
      <c r="M31" s="78">
        <v>0</v>
      </c>
      <c r="N31" s="78">
        <v>0</v>
      </c>
      <c r="O31" s="78">
        <v>0</v>
      </c>
      <c r="P31" s="78">
        <v>3.4</v>
      </c>
      <c r="Q31" s="78">
        <v>3.4</v>
      </c>
      <c r="R31" s="78">
        <v>3.8</v>
      </c>
      <c r="S31" s="78">
        <v>4</v>
      </c>
      <c r="T31" s="422"/>
      <c r="U31" s="422"/>
      <c r="V31" s="78">
        <v>56</v>
      </c>
      <c r="W31" s="78">
        <v>33</v>
      </c>
      <c r="X31" s="213">
        <v>0.25</v>
      </c>
      <c r="Y31" s="476">
        <v>1</v>
      </c>
    </row>
    <row r="32" spans="1:25" x14ac:dyDescent="0.25">
      <c r="A32" s="403">
        <v>26</v>
      </c>
      <c r="B32" s="182" t="s">
        <v>160</v>
      </c>
      <c r="C32" s="106">
        <v>0.89</v>
      </c>
      <c r="D32" s="134">
        <v>37</v>
      </c>
      <c r="E32" s="134">
        <v>0</v>
      </c>
      <c r="F32" s="106">
        <v>1</v>
      </c>
      <c r="G32" s="135">
        <v>163</v>
      </c>
      <c r="H32" s="135">
        <v>267</v>
      </c>
      <c r="I32" s="104">
        <v>63</v>
      </c>
      <c r="J32" s="135">
        <v>28</v>
      </c>
      <c r="K32" s="135">
        <v>44</v>
      </c>
      <c r="L32" s="104">
        <v>27</v>
      </c>
      <c r="M32" s="78">
        <v>0</v>
      </c>
      <c r="N32" s="106">
        <v>0</v>
      </c>
      <c r="O32" s="78">
        <v>0</v>
      </c>
      <c r="P32" s="78">
        <v>3.6589999999999998</v>
      </c>
      <c r="Q32" s="78">
        <v>3.4319999999999999</v>
      </c>
      <c r="R32" s="78">
        <v>3.9620000000000002</v>
      </c>
      <c r="S32" s="78">
        <v>4.2220000000000004</v>
      </c>
      <c r="T32" s="422"/>
      <c r="U32" s="422"/>
      <c r="V32" s="78">
        <v>58.615000000000002</v>
      </c>
      <c r="W32" s="78">
        <v>58.713999999999999</v>
      </c>
      <c r="X32" s="213">
        <v>2</v>
      </c>
      <c r="Y32" s="467">
        <v>1</v>
      </c>
    </row>
    <row r="33" spans="1:1024" x14ac:dyDescent="0.25">
      <c r="A33" s="403">
        <v>27</v>
      </c>
      <c r="B33" s="182" t="s">
        <v>158</v>
      </c>
      <c r="C33" s="106">
        <v>1</v>
      </c>
      <c r="D33" s="134">
        <v>31</v>
      </c>
      <c r="E33" s="134">
        <v>1</v>
      </c>
      <c r="F33" s="106">
        <v>1</v>
      </c>
      <c r="G33" s="135">
        <v>218</v>
      </c>
      <c r="H33" s="135">
        <v>219</v>
      </c>
      <c r="I33" s="104">
        <v>13</v>
      </c>
      <c r="J33" s="135">
        <v>67</v>
      </c>
      <c r="K33" s="135">
        <v>31</v>
      </c>
      <c r="L33" s="104">
        <v>7</v>
      </c>
      <c r="M33" s="78">
        <v>0</v>
      </c>
      <c r="N33" s="106">
        <v>1</v>
      </c>
      <c r="O33" s="78">
        <v>1</v>
      </c>
      <c r="P33" s="78">
        <v>0.51600000000000001</v>
      </c>
      <c r="Q33" s="78">
        <v>0.54800000000000004</v>
      </c>
      <c r="R33" s="78">
        <v>1</v>
      </c>
      <c r="S33" s="78">
        <v>0.71399999999999997</v>
      </c>
      <c r="T33" s="422"/>
      <c r="U33" s="422"/>
      <c r="V33" s="78">
        <v>68</v>
      </c>
      <c r="W33" s="78" t="s">
        <v>293</v>
      </c>
      <c r="X33" s="106">
        <v>1</v>
      </c>
      <c r="Y33" s="476">
        <v>1</v>
      </c>
    </row>
    <row r="34" spans="1:1024" s="8" customFormat="1" x14ac:dyDescent="0.25">
      <c r="A34" s="403">
        <v>28</v>
      </c>
      <c r="B34" s="182" t="s">
        <v>161</v>
      </c>
      <c r="C34" s="78">
        <v>1.18</v>
      </c>
      <c r="D34" s="103">
        <v>30</v>
      </c>
      <c r="E34" s="103">
        <v>0</v>
      </c>
      <c r="F34" s="78">
        <v>1</v>
      </c>
      <c r="G34" s="104">
        <v>164</v>
      </c>
      <c r="H34" s="104">
        <v>183</v>
      </c>
      <c r="I34" s="104">
        <v>24</v>
      </c>
      <c r="J34" s="104">
        <v>34</v>
      </c>
      <c r="K34" s="104">
        <v>32</v>
      </c>
      <c r="L34" s="104">
        <v>8</v>
      </c>
      <c r="M34" s="78">
        <v>0</v>
      </c>
      <c r="N34" s="78">
        <v>0</v>
      </c>
      <c r="O34" s="78">
        <v>0</v>
      </c>
      <c r="P34" s="78">
        <v>3.6</v>
      </c>
      <c r="Q34" s="78">
        <v>3.5</v>
      </c>
      <c r="R34" s="78">
        <v>4.4000000000000004</v>
      </c>
      <c r="S34" s="78">
        <v>4</v>
      </c>
      <c r="T34" s="422"/>
      <c r="U34" s="422"/>
      <c r="V34" s="78">
        <v>4</v>
      </c>
      <c r="W34" s="457"/>
      <c r="X34" s="106"/>
      <c r="Y34" s="476">
        <v>1</v>
      </c>
    </row>
    <row r="35" spans="1:1024" s="8" customFormat="1" x14ac:dyDescent="0.25">
      <c r="A35" s="403">
        <v>29</v>
      </c>
      <c r="B35" s="182" t="s">
        <v>162</v>
      </c>
      <c r="C35" s="78">
        <v>0.82299999999999995</v>
      </c>
      <c r="D35" s="103">
        <v>51</v>
      </c>
      <c r="E35" s="103">
        <v>1</v>
      </c>
      <c r="F35" s="78">
        <v>1</v>
      </c>
      <c r="G35" s="104">
        <v>366</v>
      </c>
      <c r="H35" s="104">
        <v>322</v>
      </c>
      <c r="I35" s="104">
        <v>32</v>
      </c>
      <c r="J35" s="104">
        <v>73</v>
      </c>
      <c r="K35" s="104">
        <v>51</v>
      </c>
      <c r="L35" s="104">
        <v>11</v>
      </c>
      <c r="M35" s="78">
        <v>0</v>
      </c>
      <c r="N35" s="78">
        <v>0</v>
      </c>
      <c r="O35" s="78">
        <v>0</v>
      </c>
      <c r="P35" s="78">
        <v>3.51</v>
      </c>
      <c r="Q35" s="78">
        <v>3.9609999999999999</v>
      </c>
      <c r="R35" s="78">
        <v>3.9089999999999998</v>
      </c>
      <c r="S35" s="78">
        <v>4</v>
      </c>
      <c r="T35" s="422"/>
      <c r="U35" s="422"/>
      <c r="V35" s="78">
        <v>3.9089999999999998</v>
      </c>
      <c r="W35" s="78">
        <v>2.8</v>
      </c>
      <c r="X35" s="213">
        <v>2</v>
      </c>
      <c r="Y35" s="467">
        <v>1</v>
      </c>
    </row>
    <row r="36" spans="1:1024" s="8" customFormat="1" x14ac:dyDescent="0.25">
      <c r="A36" s="403">
        <v>30</v>
      </c>
      <c r="B36" s="182" t="s">
        <v>163</v>
      </c>
      <c r="C36" s="78">
        <v>1.7</v>
      </c>
      <c r="D36" s="103">
        <v>38</v>
      </c>
      <c r="E36" s="103">
        <v>1</v>
      </c>
      <c r="F36" s="78">
        <v>1</v>
      </c>
      <c r="G36" s="104">
        <v>170</v>
      </c>
      <c r="H36" s="104">
        <v>172</v>
      </c>
      <c r="I36" s="104">
        <v>28</v>
      </c>
      <c r="J36" s="104">
        <v>42</v>
      </c>
      <c r="K36" s="104">
        <v>28</v>
      </c>
      <c r="L36" s="104">
        <v>13</v>
      </c>
      <c r="M36" s="78">
        <v>0</v>
      </c>
      <c r="N36" s="78">
        <v>0</v>
      </c>
      <c r="O36" s="78">
        <v>0</v>
      </c>
      <c r="P36" s="78">
        <v>3.46</v>
      </c>
      <c r="Q36" s="78">
        <v>3.5</v>
      </c>
      <c r="R36" s="78">
        <v>3.9</v>
      </c>
      <c r="S36" s="78">
        <v>4.2</v>
      </c>
      <c r="T36" s="422"/>
      <c r="U36" s="422"/>
      <c r="V36" s="78">
        <v>4.0759999999999996</v>
      </c>
      <c r="W36" s="78">
        <v>3</v>
      </c>
      <c r="X36" s="379">
        <v>2</v>
      </c>
      <c r="Y36" s="467">
        <v>1</v>
      </c>
    </row>
    <row r="37" spans="1:1024" s="8" customFormat="1" x14ac:dyDescent="0.25">
      <c r="A37" s="403">
        <v>31</v>
      </c>
      <c r="B37" s="182" t="s">
        <v>164</v>
      </c>
      <c r="C37" s="78">
        <v>1.1200000000000001</v>
      </c>
      <c r="D37" s="103">
        <v>39</v>
      </c>
      <c r="E37" s="103">
        <v>1</v>
      </c>
      <c r="F37" s="78">
        <v>1</v>
      </c>
      <c r="G37" s="104">
        <v>116</v>
      </c>
      <c r="H37" s="104">
        <v>106</v>
      </c>
      <c r="I37" s="104">
        <v>29</v>
      </c>
      <c r="J37" s="104">
        <v>24</v>
      </c>
      <c r="K37" s="104">
        <v>18</v>
      </c>
      <c r="L37" s="104">
        <v>6</v>
      </c>
      <c r="M37" s="78">
        <v>0</v>
      </c>
      <c r="N37" s="78">
        <v>0</v>
      </c>
      <c r="O37" s="78">
        <v>0</v>
      </c>
      <c r="P37" s="78">
        <v>3.66</v>
      </c>
      <c r="Q37" s="78">
        <v>3.33</v>
      </c>
      <c r="R37" s="78">
        <v>4.16</v>
      </c>
      <c r="S37" s="78">
        <v>4.4000000000000004</v>
      </c>
      <c r="T37" s="422"/>
      <c r="U37" s="422"/>
      <c r="V37" s="78">
        <v>61</v>
      </c>
      <c r="W37" s="78">
        <v>62</v>
      </c>
      <c r="X37" s="213">
        <v>2</v>
      </c>
      <c r="Y37" s="476">
        <v>1</v>
      </c>
    </row>
    <row r="38" spans="1:1024" s="8" customFormat="1" x14ac:dyDescent="0.25">
      <c r="A38" s="23">
        <v>32</v>
      </c>
      <c r="B38" s="28" t="s">
        <v>165</v>
      </c>
      <c r="C38" s="94">
        <v>1.7629999999999999</v>
      </c>
      <c r="D38" s="418">
        <v>39</v>
      </c>
      <c r="E38" s="418">
        <v>1</v>
      </c>
      <c r="F38" s="94">
        <v>1</v>
      </c>
      <c r="G38" s="419">
        <v>151</v>
      </c>
      <c r="H38" s="419">
        <v>129</v>
      </c>
      <c r="I38" s="419"/>
      <c r="J38" s="419">
        <v>29</v>
      </c>
      <c r="K38" s="419">
        <v>21</v>
      </c>
      <c r="L38" s="419"/>
      <c r="M38" s="78">
        <v>0</v>
      </c>
      <c r="N38" s="94">
        <v>0</v>
      </c>
      <c r="O38" s="94"/>
      <c r="P38" s="94">
        <v>3.4</v>
      </c>
      <c r="Q38" s="94">
        <v>3.35</v>
      </c>
      <c r="R38" s="94"/>
      <c r="S38" s="94"/>
      <c r="T38" s="308"/>
      <c r="U38" s="308"/>
      <c r="V38" s="94"/>
      <c r="W38" s="94"/>
      <c r="X38" s="420">
        <v>1</v>
      </c>
      <c r="Y38" s="477">
        <v>0</v>
      </c>
    </row>
    <row r="39" spans="1:1024" s="8" customFormat="1" x14ac:dyDescent="0.25">
      <c r="A39" s="403">
        <v>33</v>
      </c>
      <c r="B39" s="182" t="s">
        <v>166</v>
      </c>
      <c r="C39" s="78">
        <v>0.80800000000000005</v>
      </c>
      <c r="D39" s="103">
        <v>23</v>
      </c>
      <c r="E39" s="103">
        <v>1</v>
      </c>
      <c r="F39" s="78">
        <v>1</v>
      </c>
      <c r="G39" s="104">
        <v>127</v>
      </c>
      <c r="H39" s="104">
        <v>121</v>
      </c>
      <c r="I39" s="104">
        <v>13</v>
      </c>
      <c r="J39" s="104">
        <v>44</v>
      </c>
      <c r="K39" s="104">
        <v>15</v>
      </c>
      <c r="L39" s="104">
        <v>7</v>
      </c>
      <c r="M39" s="78">
        <v>0</v>
      </c>
      <c r="N39" s="78">
        <v>0</v>
      </c>
      <c r="O39" s="78">
        <v>0</v>
      </c>
      <c r="P39" s="78">
        <v>3.7</v>
      </c>
      <c r="Q39" s="78">
        <v>3.8</v>
      </c>
      <c r="R39" s="78">
        <v>3.7</v>
      </c>
      <c r="S39" s="78">
        <v>3.7</v>
      </c>
      <c r="T39" s="422"/>
      <c r="U39" s="422"/>
      <c r="V39" s="78">
        <v>44.5</v>
      </c>
      <c r="W39" s="78">
        <v>2</v>
      </c>
      <c r="X39" s="213">
        <v>2</v>
      </c>
      <c r="Y39" s="467">
        <v>1</v>
      </c>
    </row>
    <row r="40" spans="1:1024" s="8" customFormat="1" x14ac:dyDescent="0.25">
      <c r="A40" s="403">
        <v>34</v>
      </c>
      <c r="B40" s="182" t="s">
        <v>167</v>
      </c>
      <c r="C40" s="78">
        <v>0.8</v>
      </c>
      <c r="D40" s="103">
        <v>32</v>
      </c>
      <c r="E40" s="103">
        <v>0</v>
      </c>
      <c r="F40" s="78">
        <v>1</v>
      </c>
      <c r="G40" s="104">
        <v>193</v>
      </c>
      <c r="H40" s="104">
        <v>179</v>
      </c>
      <c r="I40" s="104">
        <v>27</v>
      </c>
      <c r="J40" s="104">
        <v>36</v>
      </c>
      <c r="K40" s="104">
        <v>29</v>
      </c>
      <c r="L40" s="104">
        <v>10</v>
      </c>
      <c r="M40" s="78">
        <v>0</v>
      </c>
      <c r="N40" s="78">
        <v>0</v>
      </c>
      <c r="O40" s="78">
        <v>0</v>
      </c>
      <c r="P40" s="78">
        <v>3.75</v>
      </c>
      <c r="Q40" s="78">
        <v>3.464</v>
      </c>
      <c r="R40" s="78">
        <v>4</v>
      </c>
      <c r="S40" s="78">
        <v>3.6669999999999998</v>
      </c>
      <c r="T40" s="422"/>
      <c r="U40" s="422"/>
      <c r="V40" s="78">
        <v>53.6</v>
      </c>
      <c r="W40" s="78">
        <v>0</v>
      </c>
      <c r="X40" s="379">
        <v>0.25</v>
      </c>
      <c r="Y40" s="476">
        <v>1</v>
      </c>
    </row>
    <row r="41" spans="1:1024" s="8" customFormat="1" x14ac:dyDescent="0.25">
      <c r="A41" s="403">
        <v>35</v>
      </c>
      <c r="B41" s="182" t="s">
        <v>168</v>
      </c>
      <c r="C41" s="78">
        <v>1.1850000000000001</v>
      </c>
      <c r="D41" s="103">
        <v>37</v>
      </c>
      <c r="E41" s="103">
        <v>1</v>
      </c>
      <c r="F41" s="78">
        <v>1</v>
      </c>
      <c r="G41" s="104">
        <v>186</v>
      </c>
      <c r="H41" s="104">
        <v>173</v>
      </c>
      <c r="I41" s="104">
        <v>24</v>
      </c>
      <c r="J41" s="104">
        <v>44</v>
      </c>
      <c r="K41" s="104">
        <v>27</v>
      </c>
      <c r="L41" s="104">
        <v>7</v>
      </c>
      <c r="M41" s="78">
        <v>0</v>
      </c>
      <c r="N41" s="78">
        <v>0</v>
      </c>
      <c r="O41" s="78">
        <v>0</v>
      </c>
      <c r="P41" s="78">
        <v>3.5190000000000001</v>
      </c>
      <c r="Q41" s="78">
        <v>3.556</v>
      </c>
      <c r="R41" s="78">
        <v>3.4289999999999998</v>
      </c>
      <c r="S41" s="78">
        <v>3.714</v>
      </c>
      <c r="T41" s="422"/>
      <c r="U41" s="422"/>
      <c r="V41" s="78">
        <v>53</v>
      </c>
      <c r="W41" s="78">
        <v>44</v>
      </c>
      <c r="X41" s="379">
        <v>2</v>
      </c>
      <c r="Y41" s="467">
        <v>1</v>
      </c>
    </row>
    <row r="42" spans="1:1024" s="76" customFormat="1" x14ac:dyDescent="0.25">
      <c r="A42" s="154">
        <v>36</v>
      </c>
      <c r="B42" s="359" t="s">
        <v>169</v>
      </c>
      <c r="C42" s="78">
        <v>1.45</v>
      </c>
      <c r="D42" s="103">
        <v>25</v>
      </c>
      <c r="E42" s="103">
        <v>2</v>
      </c>
      <c r="F42" s="78">
        <v>1</v>
      </c>
      <c r="G42" s="104">
        <v>87</v>
      </c>
      <c r="H42" s="104">
        <v>89</v>
      </c>
      <c r="I42" s="104">
        <v>27</v>
      </c>
      <c r="J42" s="104">
        <v>15</v>
      </c>
      <c r="K42" s="104">
        <v>18</v>
      </c>
      <c r="L42" s="104">
        <v>11</v>
      </c>
      <c r="M42" s="78">
        <v>0</v>
      </c>
      <c r="N42" s="78">
        <v>0</v>
      </c>
      <c r="O42" s="78">
        <v>0</v>
      </c>
      <c r="P42" s="78">
        <v>3.6</v>
      </c>
      <c r="Q42" s="78">
        <v>3.4449999999999998</v>
      </c>
      <c r="R42" s="78">
        <v>3.8</v>
      </c>
      <c r="S42" s="78">
        <v>3.4550000000000001</v>
      </c>
      <c r="T42" s="422"/>
      <c r="U42" s="422"/>
      <c r="V42" s="78">
        <v>54</v>
      </c>
      <c r="W42" s="78">
        <v>25</v>
      </c>
      <c r="X42" s="119">
        <v>2</v>
      </c>
      <c r="Y42" s="467">
        <v>1</v>
      </c>
    </row>
    <row r="43" spans="1:1024" s="8" customFormat="1" x14ac:dyDescent="0.25">
      <c r="A43" s="403">
        <v>37</v>
      </c>
      <c r="B43" s="182" t="s">
        <v>170</v>
      </c>
      <c r="C43" s="78">
        <v>0.9</v>
      </c>
      <c r="D43" s="103">
        <v>78</v>
      </c>
      <c r="E43" s="103">
        <v>2</v>
      </c>
      <c r="F43" s="78">
        <v>1</v>
      </c>
      <c r="G43" s="104">
        <v>527</v>
      </c>
      <c r="H43" s="104">
        <v>492</v>
      </c>
      <c r="I43" s="104">
        <v>84</v>
      </c>
      <c r="J43" s="104">
        <v>126</v>
      </c>
      <c r="K43" s="104">
        <v>98</v>
      </c>
      <c r="L43" s="104">
        <v>39</v>
      </c>
      <c r="M43" s="78">
        <v>0</v>
      </c>
      <c r="N43" s="78">
        <v>0</v>
      </c>
      <c r="O43" s="78">
        <v>0</v>
      </c>
      <c r="P43" s="78">
        <v>3.5350000000000001</v>
      </c>
      <c r="Q43" s="78">
        <v>3.63</v>
      </c>
      <c r="R43" s="78">
        <v>3.92</v>
      </c>
      <c r="S43" s="78">
        <v>4.3099999999999996</v>
      </c>
      <c r="T43" s="422"/>
      <c r="U43" s="422"/>
      <c r="V43" s="422"/>
      <c r="W43" s="422"/>
      <c r="X43" s="213">
        <v>1.5</v>
      </c>
      <c r="Y43" s="467">
        <v>1</v>
      </c>
    </row>
    <row r="44" spans="1:1024" customFormat="1" x14ac:dyDescent="0.25">
      <c r="A44" s="165">
        <v>38</v>
      </c>
      <c r="B44" s="186" t="s">
        <v>171</v>
      </c>
      <c r="C44" s="167">
        <v>1</v>
      </c>
      <c r="D44" s="166">
        <v>25</v>
      </c>
      <c r="E44" s="166">
        <v>1</v>
      </c>
      <c r="F44" s="167">
        <v>1</v>
      </c>
      <c r="G44" s="360">
        <v>99</v>
      </c>
      <c r="H44" s="360">
        <v>88</v>
      </c>
      <c r="I44" s="456">
        <v>16</v>
      </c>
      <c r="J44" s="360">
        <v>28</v>
      </c>
      <c r="K44" s="360">
        <v>15</v>
      </c>
      <c r="L44" s="456">
        <v>16</v>
      </c>
      <c r="M44" s="78">
        <v>0</v>
      </c>
      <c r="N44" s="167">
        <v>0</v>
      </c>
      <c r="O44" s="421">
        <v>0</v>
      </c>
      <c r="P44" s="421">
        <v>3.46</v>
      </c>
      <c r="Q44" s="421">
        <v>3.73</v>
      </c>
      <c r="R44" s="421">
        <v>3.625</v>
      </c>
      <c r="S44" s="421">
        <v>3.75</v>
      </c>
      <c r="T44" s="423"/>
      <c r="U44" s="423"/>
      <c r="V44" s="421">
        <v>4</v>
      </c>
      <c r="W44" s="421">
        <v>4</v>
      </c>
      <c r="X44" s="380">
        <v>2</v>
      </c>
      <c r="Y44" s="467">
        <v>1</v>
      </c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  <c r="ALL44" s="147"/>
      <c r="ALM44" s="147"/>
      <c r="ALN44" s="147"/>
      <c r="ALO44" s="147"/>
      <c r="ALP44" s="147"/>
      <c r="ALQ44" s="147"/>
      <c r="ALR44" s="147"/>
      <c r="ALS44" s="147"/>
      <c r="ALT44" s="147"/>
      <c r="ALU44" s="147"/>
      <c r="ALV44" s="147"/>
      <c r="ALW44" s="147"/>
      <c r="ALX44" s="147"/>
      <c r="ALY44" s="147"/>
      <c r="ALZ44" s="147"/>
      <c r="AMA44" s="147"/>
      <c r="AMB44" s="147"/>
      <c r="AMC44" s="147"/>
      <c r="AMD44" s="147"/>
      <c r="AME44" s="147"/>
      <c r="AMF44" s="147"/>
      <c r="AMG44" s="147"/>
      <c r="AMH44" s="147"/>
      <c r="AMI44" s="147"/>
      <c r="AMJ44" s="147"/>
    </row>
    <row r="45" spans="1:1024" ht="15.75" thickBot="1" x14ac:dyDescent="0.3">
      <c r="A45" s="468"/>
      <c r="B45" s="469"/>
      <c r="C45" s="470">
        <f>AVERAGE(C7:C44)</f>
        <v>15.552236842105261</v>
      </c>
      <c r="D45" s="478">
        <f>SUM(D7:D44)</f>
        <v>1338</v>
      </c>
      <c r="E45" s="478">
        <f>SUM(E7:E44)</f>
        <v>48</v>
      </c>
      <c r="F45" s="478">
        <f>SUM(F7:F44)</f>
        <v>38</v>
      </c>
      <c r="G45" s="478">
        <f t="shared" ref="G45:L45" si="0">SUM(G7:G44)</f>
        <v>6960</v>
      </c>
      <c r="H45" s="478">
        <f t="shared" si="0"/>
        <v>7262</v>
      </c>
      <c r="I45" s="478">
        <f t="shared" si="0"/>
        <v>1150</v>
      </c>
      <c r="J45" s="478">
        <f t="shared" si="0"/>
        <v>1617</v>
      </c>
      <c r="K45" s="478">
        <f t="shared" si="0"/>
        <v>1316</v>
      </c>
      <c r="L45" s="478">
        <f t="shared" si="0"/>
        <v>525</v>
      </c>
      <c r="M45" s="470">
        <f t="shared" ref="M45:O45" si="1">AVERAGE(M7:M44)</f>
        <v>0</v>
      </c>
      <c r="N45" s="470">
        <f t="shared" si="1"/>
        <v>2.6315789473684209E-2</v>
      </c>
      <c r="O45" s="470">
        <f t="shared" si="1"/>
        <v>3.0303030303030304E-2</v>
      </c>
      <c r="P45" s="470">
        <f>AVERAGE(P7:P44)</f>
        <v>3.5453157894736851</v>
      </c>
      <c r="Q45" s="470">
        <f t="shared" ref="Q45:S45" si="2">AVERAGE(Q7:Q44)</f>
        <v>3.4877297297297289</v>
      </c>
      <c r="R45" s="470">
        <f t="shared" si="2"/>
        <v>3.764939393939394</v>
      </c>
      <c r="S45" s="470">
        <f t="shared" si="2"/>
        <v>3.7097878787878789</v>
      </c>
      <c r="T45" s="473"/>
      <c r="U45" s="473"/>
      <c r="V45" s="470">
        <f>AVERAGE(V7:V44)</f>
        <v>43.437814814814814</v>
      </c>
      <c r="W45" s="470">
        <f>AVERAGE(W7:W44)</f>
        <v>26.283217391304348</v>
      </c>
      <c r="X45" s="470">
        <f>AVERAGE(X7:X44)</f>
        <v>1.6216216216216217</v>
      </c>
      <c r="Y45" s="479">
        <f>AVERAGE(Y7:Y44)</f>
        <v>0.97368421052631582</v>
      </c>
    </row>
    <row r="46" spans="1:1024" s="458" customFormat="1" ht="15.75" thickBot="1" x14ac:dyDescent="0.3">
      <c r="I46" s="121"/>
      <c r="L46" s="121"/>
      <c r="O46" s="121"/>
      <c r="P46" s="121"/>
      <c r="Q46" s="121"/>
      <c r="R46" s="121"/>
      <c r="S46" s="121"/>
      <c r="T46" s="459"/>
      <c r="U46" s="459"/>
      <c r="V46" s="121"/>
      <c r="W46" s="121"/>
    </row>
    <row r="47" spans="1:1024" s="8" customFormat="1" ht="25.5" x14ac:dyDescent="0.25">
      <c r="A47" s="402">
        <v>1</v>
      </c>
      <c r="B47" s="460" t="s">
        <v>174</v>
      </c>
      <c r="C47" s="461">
        <v>0.79400000000000004</v>
      </c>
      <c r="D47" s="462">
        <v>14</v>
      </c>
      <c r="E47" s="462">
        <v>1</v>
      </c>
      <c r="F47" s="461">
        <v>1</v>
      </c>
      <c r="G47" s="463">
        <v>151</v>
      </c>
      <c r="H47" s="463"/>
      <c r="I47" s="463"/>
      <c r="J47" s="463">
        <v>29</v>
      </c>
      <c r="K47" s="463"/>
      <c r="L47" s="463"/>
      <c r="M47" s="462"/>
      <c r="N47" s="461"/>
      <c r="O47" s="461"/>
      <c r="P47" s="461"/>
      <c r="Q47" s="461"/>
      <c r="R47" s="461"/>
      <c r="S47" s="461"/>
      <c r="T47" s="464"/>
      <c r="U47" s="464"/>
      <c r="V47" s="461"/>
      <c r="W47" s="461"/>
      <c r="X47" s="465">
        <v>0.25</v>
      </c>
      <c r="Y47" s="466"/>
    </row>
    <row r="48" spans="1:1024" s="8" customFormat="1" x14ac:dyDescent="0.25">
      <c r="A48" s="403">
        <v>2</v>
      </c>
      <c r="B48" s="182" t="s">
        <v>175</v>
      </c>
      <c r="C48" s="78">
        <v>0.83599999999999997</v>
      </c>
      <c r="D48" s="103">
        <v>15</v>
      </c>
      <c r="E48" s="103">
        <v>1</v>
      </c>
      <c r="F48" s="78">
        <v>1</v>
      </c>
      <c r="G48" s="104">
        <v>193</v>
      </c>
      <c r="H48" s="104"/>
      <c r="I48" s="104"/>
      <c r="J48" s="104">
        <v>44</v>
      </c>
      <c r="K48" s="104"/>
      <c r="L48" s="104"/>
      <c r="M48" s="103"/>
      <c r="N48" s="78"/>
      <c r="O48" s="78"/>
      <c r="P48" s="78"/>
      <c r="Q48" s="78"/>
      <c r="R48" s="78"/>
      <c r="S48" s="78"/>
      <c r="T48" s="422"/>
      <c r="U48" s="422"/>
      <c r="V48" s="78"/>
      <c r="W48" s="78"/>
      <c r="X48" s="213">
        <v>1.5</v>
      </c>
      <c r="Y48" s="467"/>
    </row>
    <row r="49" spans="1:25" s="8" customFormat="1" ht="25.5" x14ac:dyDescent="0.25">
      <c r="A49" s="403">
        <v>3</v>
      </c>
      <c r="B49" s="182" t="s">
        <v>176</v>
      </c>
      <c r="C49" s="78">
        <v>0.95</v>
      </c>
      <c r="D49" s="103">
        <v>15</v>
      </c>
      <c r="E49" s="103">
        <v>2</v>
      </c>
      <c r="F49" s="78">
        <v>1</v>
      </c>
      <c r="G49" s="104">
        <v>99</v>
      </c>
      <c r="H49" s="104"/>
      <c r="I49" s="104"/>
      <c r="J49" s="104">
        <v>15</v>
      </c>
      <c r="K49" s="104"/>
      <c r="L49" s="104"/>
      <c r="M49" s="103"/>
      <c r="N49" s="78"/>
      <c r="O49" s="78"/>
      <c r="P49" s="78"/>
      <c r="Q49" s="78"/>
      <c r="R49" s="78"/>
      <c r="S49" s="78"/>
      <c r="T49" s="422"/>
      <c r="U49" s="422"/>
      <c r="V49" s="78"/>
      <c r="W49" s="78"/>
      <c r="X49" s="213">
        <v>0.5</v>
      </c>
      <c r="Y49" s="467"/>
    </row>
    <row r="50" spans="1:25" ht="15.75" thickBot="1" x14ac:dyDescent="0.3">
      <c r="A50" s="468"/>
      <c r="B50" s="469"/>
      <c r="C50" s="470">
        <f>AVERAGE(C47:C49)</f>
        <v>0.86</v>
      </c>
      <c r="D50" s="471">
        <f>SUM(D47:D49)</f>
        <v>44</v>
      </c>
      <c r="E50" s="471">
        <f t="shared" ref="E50:J50" si="3">SUM(E47:E49)</f>
        <v>4</v>
      </c>
      <c r="F50" s="471">
        <f t="shared" si="3"/>
        <v>3</v>
      </c>
      <c r="G50" s="471">
        <f t="shared" si="3"/>
        <v>443</v>
      </c>
      <c r="H50" s="471"/>
      <c r="I50" s="471"/>
      <c r="J50" s="471">
        <f t="shared" si="3"/>
        <v>88</v>
      </c>
      <c r="K50" s="469"/>
      <c r="L50" s="472"/>
      <c r="M50" s="469"/>
      <c r="N50" s="469"/>
      <c r="O50" s="472"/>
      <c r="P50" s="472"/>
      <c r="Q50" s="472"/>
      <c r="R50" s="472"/>
      <c r="S50" s="472"/>
      <c r="T50" s="473"/>
      <c r="U50" s="473"/>
      <c r="V50" s="472"/>
      <c r="W50" s="472"/>
      <c r="X50" s="470">
        <f>AVERAGE(X47:X49)</f>
        <v>0.75</v>
      </c>
      <c r="Y50" s="474"/>
    </row>
  </sheetData>
  <sheetProtection algorithmName="SHA-512" hashValue="fno/qXOx2x0IUVXaBy+PNwghqnsKHYXfBzjzP0hIfl2CQmf/VgX5KFdNJ2gwI+d3797vafsZOxAxpFd/CQWycA==" saltValue="xgIT0JxvkI/UyT+ZfulCtA==" spinCount="100000" sheet="1" objects="1" selectLockedCells="1" selectUnlockedCells="1"/>
  <mergeCells count="21">
    <mergeCell ref="X4:X6"/>
    <mergeCell ref="Y4:Y6"/>
    <mergeCell ref="A1:W1"/>
    <mergeCell ref="A2:W2"/>
    <mergeCell ref="A4:A6"/>
    <mergeCell ref="B4:B6"/>
    <mergeCell ref="D4:F4"/>
    <mergeCell ref="G4:O4"/>
    <mergeCell ref="P4:S4"/>
    <mergeCell ref="T4:W4"/>
    <mergeCell ref="P5:Q5"/>
    <mergeCell ref="R5:S5"/>
    <mergeCell ref="T5:U5"/>
    <mergeCell ref="V5:W5"/>
    <mergeCell ref="C5:C6"/>
    <mergeCell ref="M5:O5"/>
    <mergeCell ref="J5:L5"/>
    <mergeCell ref="D5:D6"/>
    <mergeCell ref="E5:E6"/>
    <mergeCell ref="F5:F6"/>
    <mergeCell ref="G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K59"/>
  <sheetViews>
    <sheetView zoomScale="70" zoomScaleNormal="70" workbookViewId="0">
      <pane ySplit="7" topLeftCell="A34" activePane="bottomLeft" state="frozen"/>
      <selection activeCell="B38" sqref="B38"/>
      <selection pane="bottomLeft" activeCell="B38" sqref="B38"/>
    </sheetView>
  </sheetViews>
  <sheetFormatPr defaultColWidth="8.85546875" defaultRowHeight="15" x14ac:dyDescent="0.25"/>
  <cols>
    <col min="1" max="1" width="7.140625" style="2" customWidth="1"/>
    <col min="2" max="2" width="35.85546875" style="22" customWidth="1"/>
    <col min="3" max="3" width="6.28515625" style="2" customWidth="1"/>
    <col min="4" max="4" width="5.5703125" style="2" customWidth="1"/>
    <col min="5" max="7" width="5.85546875" style="2" customWidth="1"/>
    <col min="8" max="8" width="7" style="2" customWidth="1"/>
    <col min="9" max="9" width="9.140625" style="2" customWidth="1"/>
    <col min="10" max="10" width="7.85546875" style="2" customWidth="1"/>
    <col min="11" max="11" width="7.7109375" style="2" customWidth="1"/>
    <col min="12" max="12" width="8.5703125" style="2" customWidth="1"/>
    <col min="13" max="13" width="11.85546875" style="2" customWidth="1"/>
    <col min="14" max="15" width="8.42578125" style="2" customWidth="1"/>
    <col min="16" max="16" width="9.42578125" style="2" customWidth="1"/>
    <col min="17" max="18" width="11.28515625" style="2" customWidth="1"/>
    <col min="19" max="19" width="10.140625" style="2" customWidth="1"/>
    <col min="20" max="20" width="16.28515625" style="2" customWidth="1"/>
    <col min="21" max="22" width="12.7109375" style="2" customWidth="1"/>
    <col min="23" max="23" width="9" style="2" customWidth="1"/>
    <col min="24" max="24" width="9.140625" style="2" customWidth="1"/>
    <col min="25" max="25" width="10.140625" style="2" customWidth="1"/>
    <col min="26" max="26" width="0.140625" style="2" customWidth="1"/>
    <col min="27" max="16384" width="8.85546875" style="2"/>
  </cols>
  <sheetData>
    <row r="1" spans="1:25" ht="15.75" x14ac:dyDescent="0.25">
      <c r="A1" s="592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1"/>
      <c r="Y1" s="1"/>
    </row>
    <row r="2" spans="1:25" ht="15.75" x14ac:dyDescent="0.25">
      <c r="A2" s="592" t="s">
        <v>1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1"/>
      <c r="Y2" s="1"/>
    </row>
    <row r="3" spans="1:25" ht="15.75" x14ac:dyDescent="0.25">
      <c r="A3" s="593" t="s">
        <v>2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3"/>
      <c r="Y3" s="3"/>
    </row>
    <row r="4" spans="1:25" ht="15.75" thickBot="1" x14ac:dyDescent="0.3"/>
    <row r="5" spans="1:25" ht="61.15" customHeight="1" x14ac:dyDescent="0.25">
      <c r="A5" s="594" t="s">
        <v>3</v>
      </c>
      <c r="B5" s="590" t="s">
        <v>4</v>
      </c>
      <c r="C5" s="590" t="s">
        <v>138</v>
      </c>
      <c r="D5" s="590"/>
      <c r="E5" s="590"/>
      <c r="F5" s="590" t="s">
        <v>122</v>
      </c>
      <c r="G5" s="596"/>
      <c r="H5" s="596"/>
      <c r="I5" s="590" t="s">
        <v>65</v>
      </c>
      <c r="J5" s="590"/>
      <c r="K5" s="590"/>
      <c r="L5" s="590" t="s">
        <v>69</v>
      </c>
      <c r="M5" s="590"/>
      <c r="N5" s="590"/>
      <c r="O5" s="590"/>
      <c r="P5" s="590"/>
      <c r="Q5" s="590"/>
      <c r="R5" s="187"/>
      <c r="S5" s="590" t="s">
        <v>76</v>
      </c>
      <c r="T5" s="590"/>
      <c r="U5" s="590" t="s">
        <v>77</v>
      </c>
      <c r="V5" s="590" t="s">
        <v>217</v>
      </c>
      <c r="W5" s="188" t="s">
        <v>95</v>
      </c>
      <c r="X5" s="189" t="s">
        <v>30</v>
      </c>
    </row>
    <row r="6" spans="1:25" ht="21.6" customHeight="1" x14ac:dyDescent="0.25">
      <c r="A6" s="595"/>
      <c r="B6" s="591"/>
      <c r="C6" s="591"/>
      <c r="D6" s="591"/>
      <c r="E6" s="591"/>
      <c r="F6" s="597"/>
      <c r="G6" s="597"/>
      <c r="H6" s="597"/>
      <c r="I6" s="5" t="s">
        <v>66</v>
      </c>
      <c r="J6" s="5" t="s">
        <v>67</v>
      </c>
      <c r="K6" s="5" t="s">
        <v>68</v>
      </c>
      <c r="L6" s="4" t="s">
        <v>5</v>
      </c>
      <c r="M6" s="5" t="s">
        <v>6</v>
      </c>
      <c r="N6" s="5" t="s">
        <v>7</v>
      </c>
      <c r="O6" s="5" t="s">
        <v>71</v>
      </c>
      <c r="P6" s="5" t="s">
        <v>73</v>
      </c>
      <c r="Q6" s="5" t="s">
        <v>74</v>
      </c>
      <c r="R6" s="5" t="s">
        <v>215</v>
      </c>
      <c r="S6" s="5" t="s">
        <v>8</v>
      </c>
      <c r="T6" s="5" t="s">
        <v>9</v>
      </c>
      <c r="U6" s="591"/>
      <c r="V6" s="591"/>
      <c r="W6" s="181"/>
      <c r="X6" s="191"/>
    </row>
    <row r="7" spans="1:25" ht="25.15" customHeight="1" x14ac:dyDescent="0.25">
      <c r="A7" s="595"/>
      <c r="B7" s="591"/>
      <c r="C7" s="5" t="s">
        <v>10</v>
      </c>
      <c r="D7" s="5" t="s">
        <v>11</v>
      </c>
      <c r="E7" s="5" t="s">
        <v>12</v>
      </c>
      <c r="F7" s="5" t="s">
        <v>10</v>
      </c>
      <c r="G7" s="5" t="s">
        <v>11</v>
      </c>
      <c r="H7" s="5" t="s">
        <v>12</v>
      </c>
      <c r="I7" s="5" t="s">
        <v>10</v>
      </c>
      <c r="J7" s="5" t="s">
        <v>11</v>
      </c>
      <c r="K7" s="5" t="s">
        <v>12</v>
      </c>
      <c r="L7" s="5" t="s">
        <v>10</v>
      </c>
      <c r="M7" s="5" t="s">
        <v>13</v>
      </c>
      <c r="N7" s="5" t="s">
        <v>14</v>
      </c>
      <c r="O7" s="5" t="s">
        <v>70</v>
      </c>
      <c r="P7" s="5" t="s">
        <v>72</v>
      </c>
      <c r="Q7" s="5" t="s">
        <v>75</v>
      </c>
      <c r="R7" s="5" t="s">
        <v>216</v>
      </c>
      <c r="S7" s="5" t="s">
        <v>117</v>
      </c>
      <c r="T7" s="5" t="s">
        <v>15</v>
      </c>
      <c r="U7" s="591"/>
      <c r="V7" s="591"/>
      <c r="W7" s="181"/>
      <c r="X7" s="191" t="s">
        <v>94</v>
      </c>
    </row>
    <row r="8" spans="1:25" ht="20.25" customHeight="1" x14ac:dyDescent="0.25">
      <c r="A8" s="101">
        <v>1</v>
      </c>
      <c r="B8" s="182" t="s">
        <v>139</v>
      </c>
      <c r="C8" s="120">
        <v>1</v>
      </c>
      <c r="D8" s="120">
        <v>1</v>
      </c>
      <c r="E8" s="120">
        <v>1</v>
      </c>
      <c r="F8" s="120">
        <v>1</v>
      </c>
      <c r="G8" s="120">
        <v>1</v>
      </c>
      <c r="H8" s="120">
        <v>1</v>
      </c>
      <c r="I8" s="95">
        <v>0.84</v>
      </c>
      <c r="J8" s="95">
        <v>0.86</v>
      </c>
      <c r="K8" s="95">
        <v>0.96</v>
      </c>
      <c r="L8" s="110">
        <v>0.55000000000000004</v>
      </c>
      <c r="M8" s="110">
        <v>0.68</v>
      </c>
      <c r="N8" s="171">
        <v>0.48799999999999999</v>
      </c>
      <c r="O8" s="110">
        <v>0.6</v>
      </c>
      <c r="P8" s="110">
        <v>0.65</v>
      </c>
      <c r="Q8" s="110">
        <v>0.42</v>
      </c>
      <c r="R8" s="110">
        <v>0.1</v>
      </c>
      <c r="S8" s="110">
        <v>0.8</v>
      </c>
      <c r="T8" s="110">
        <v>0.8</v>
      </c>
      <c r="U8" s="95">
        <v>0.4</v>
      </c>
      <c r="V8" s="95">
        <v>1</v>
      </c>
      <c r="W8" s="111">
        <f>AVERAGE(I8:V8)</f>
        <v>0.65342857142857136</v>
      </c>
      <c r="X8" s="192">
        <f>W8*1.5</f>
        <v>0.98014285714285698</v>
      </c>
      <c r="Y8" s="7"/>
    </row>
    <row r="9" spans="1:25" ht="20.25" customHeight="1" x14ac:dyDescent="0.25">
      <c r="A9" s="101">
        <v>2</v>
      </c>
      <c r="B9" s="182" t="s">
        <v>140</v>
      </c>
      <c r="C9" s="153">
        <v>1</v>
      </c>
      <c r="D9" s="153">
        <v>1</v>
      </c>
      <c r="E9" s="153">
        <v>1</v>
      </c>
      <c r="F9" s="120">
        <v>1</v>
      </c>
      <c r="G9" s="120">
        <v>1</v>
      </c>
      <c r="H9" s="120">
        <v>1</v>
      </c>
      <c r="I9" s="95">
        <v>0.999</v>
      </c>
      <c r="J9" s="95">
        <v>0.998</v>
      </c>
      <c r="K9" s="95">
        <v>0.998</v>
      </c>
      <c r="L9" s="95">
        <v>0.82199999999999995</v>
      </c>
      <c r="M9" s="95">
        <v>1</v>
      </c>
      <c r="N9" s="170">
        <v>0.73</v>
      </c>
      <c r="O9" s="95">
        <v>0.69</v>
      </c>
      <c r="P9" s="95">
        <v>0.875</v>
      </c>
      <c r="Q9" s="95">
        <v>0.83</v>
      </c>
      <c r="R9" s="95">
        <v>0.5</v>
      </c>
      <c r="S9" s="95">
        <v>0.85</v>
      </c>
      <c r="T9" s="95">
        <v>1</v>
      </c>
      <c r="U9" s="95">
        <v>0.79100000000000004</v>
      </c>
      <c r="V9" s="95">
        <v>1</v>
      </c>
      <c r="W9" s="111">
        <f t="shared" ref="W9:W45" si="0">AVERAGE(I9:V9)</f>
        <v>0.8630714285714286</v>
      </c>
      <c r="X9" s="192">
        <f t="shared" ref="X9:X45" si="1">W9*1.5</f>
        <v>1.2946071428571428</v>
      </c>
      <c r="Y9" s="7"/>
    </row>
    <row r="10" spans="1:25" ht="20.25" customHeight="1" x14ac:dyDescent="0.25">
      <c r="A10" s="101">
        <v>3</v>
      </c>
      <c r="B10" s="182" t="s">
        <v>141</v>
      </c>
      <c r="C10" s="153">
        <v>1</v>
      </c>
      <c r="D10" s="153">
        <v>1</v>
      </c>
      <c r="E10" s="153">
        <v>1</v>
      </c>
      <c r="F10" s="120">
        <v>1</v>
      </c>
      <c r="G10" s="120">
        <v>1</v>
      </c>
      <c r="H10" s="120">
        <v>1</v>
      </c>
      <c r="I10" s="95">
        <v>0.94</v>
      </c>
      <c r="J10" s="95">
        <v>0.99</v>
      </c>
      <c r="K10" s="95">
        <v>0.95</v>
      </c>
      <c r="L10" s="95">
        <v>0.7</v>
      </c>
      <c r="M10" s="95">
        <v>0.87</v>
      </c>
      <c r="N10" s="170">
        <v>0.53</v>
      </c>
      <c r="O10" s="95">
        <v>0.76</v>
      </c>
      <c r="P10" s="95">
        <v>0.8</v>
      </c>
      <c r="Q10" s="95">
        <v>0.6</v>
      </c>
      <c r="R10" s="95">
        <v>0.5</v>
      </c>
      <c r="S10" s="95">
        <v>0.78</v>
      </c>
      <c r="T10" s="95">
        <v>0.6</v>
      </c>
      <c r="U10" s="95">
        <v>0.62</v>
      </c>
      <c r="V10" s="95">
        <v>1</v>
      </c>
      <c r="W10" s="111">
        <f t="shared" si="0"/>
        <v>0.7599999999999999</v>
      </c>
      <c r="X10" s="192">
        <f t="shared" si="1"/>
        <v>1.1399999999999999</v>
      </c>
      <c r="Y10" s="7"/>
    </row>
    <row r="11" spans="1:25" ht="20.25" customHeight="1" x14ac:dyDescent="0.25">
      <c r="A11" s="101">
        <v>4</v>
      </c>
      <c r="B11" s="182" t="s">
        <v>142</v>
      </c>
      <c r="C11" s="153">
        <v>1</v>
      </c>
      <c r="D11" s="153">
        <v>1</v>
      </c>
      <c r="E11" s="153">
        <v>1</v>
      </c>
      <c r="F11" s="153">
        <v>1</v>
      </c>
      <c r="G11" s="153">
        <v>1</v>
      </c>
      <c r="H11" s="153">
        <v>1</v>
      </c>
      <c r="I11" s="95">
        <v>1</v>
      </c>
      <c r="J11" s="95">
        <v>1</v>
      </c>
      <c r="K11" s="95">
        <v>1</v>
      </c>
      <c r="L11" s="95" t="s">
        <v>287</v>
      </c>
      <c r="M11" s="95">
        <v>0.82499999999999996</v>
      </c>
      <c r="N11" s="170">
        <v>0.63</v>
      </c>
      <c r="O11" s="95">
        <v>0.71</v>
      </c>
      <c r="P11" s="95">
        <v>0.8</v>
      </c>
      <c r="Q11" s="95">
        <v>0.6</v>
      </c>
      <c r="R11" s="95">
        <v>0.47499999999999998</v>
      </c>
      <c r="S11" s="95">
        <v>0.88</v>
      </c>
      <c r="T11" s="95">
        <v>0.1</v>
      </c>
      <c r="U11" s="95">
        <v>0.91</v>
      </c>
      <c r="V11" s="95">
        <v>1</v>
      </c>
      <c r="W11" s="111">
        <f t="shared" si="0"/>
        <v>0.76384615384615384</v>
      </c>
      <c r="X11" s="192">
        <f t="shared" si="1"/>
        <v>1.1457692307692309</v>
      </c>
      <c r="Y11" s="7"/>
    </row>
    <row r="12" spans="1:25" s="142" customFormat="1" ht="20.25" customHeight="1" x14ac:dyDescent="0.25">
      <c r="A12" s="403">
        <v>5</v>
      </c>
      <c r="B12" s="217" t="s">
        <v>143</v>
      </c>
      <c r="C12" s="120">
        <v>1</v>
      </c>
      <c r="D12" s="120">
        <v>1</v>
      </c>
      <c r="E12" s="120">
        <v>1</v>
      </c>
      <c r="F12" s="120">
        <v>1</v>
      </c>
      <c r="G12" s="120">
        <v>1</v>
      </c>
      <c r="H12" s="120">
        <v>1</v>
      </c>
      <c r="I12" s="155">
        <v>0.98</v>
      </c>
      <c r="J12" s="155">
        <v>0.98</v>
      </c>
      <c r="K12" s="155">
        <v>0.98</v>
      </c>
      <c r="L12" s="155">
        <v>0.6</v>
      </c>
      <c r="M12" s="155">
        <v>0.65</v>
      </c>
      <c r="N12" s="155">
        <v>0.40300000000000002</v>
      </c>
      <c r="O12" s="155">
        <v>0.45</v>
      </c>
      <c r="P12" s="155">
        <v>0.8</v>
      </c>
      <c r="Q12" s="155">
        <v>0.45</v>
      </c>
      <c r="R12" s="95">
        <v>0.6</v>
      </c>
      <c r="S12" s="95">
        <v>0.3</v>
      </c>
      <c r="T12" s="95">
        <v>0.35</v>
      </c>
      <c r="U12" s="170">
        <v>0.35</v>
      </c>
      <c r="V12" s="95">
        <v>1</v>
      </c>
      <c r="W12" s="111">
        <f t="shared" si="0"/>
        <v>0.63521428571428562</v>
      </c>
      <c r="X12" s="192">
        <f t="shared" si="1"/>
        <v>0.95282142857142849</v>
      </c>
      <c r="Y12" s="141"/>
    </row>
    <row r="13" spans="1:25" ht="27" customHeight="1" x14ac:dyDescent="0.25">
      <c r="A13" s="101">
        <v>6</v>
      </c>
      <c r="B13" s="182" t="s">
        <v>177</v>
      </c>
      <c r="C13" s="120">
        <v>1</v>
      </c>
      <c r="D13" s="120">
        <v>1</v>
      </c>
      <c r="E13" s="120">
        <v>1</v>
      </c>
      <c r="F13" s="120">
        <v>1</v>
      </c>
      <c r="G13" s="120">
        <v>1</v>
      </c>
      <c r="H13" s="120">
        <v>1</v>
      </c>
      <c r="I13" s="95">
        <v>1</v>
      </c>
      <c r="J13" s="95">
        <v>0.999</v>
      </c>
      <c r="K13" s="95">
        <v>0.998</v>
      </c>
      <c r="L13" s="110">
        <v>0.35</v>
      </c>
      <c r="M13" s="110">
        <v>0.59599999999999997</v>
      </c>
      <c r="N13" s="110">
        <v>0.66200000000000003</v>
      </c>
      <c r="O13" s="110">
        <v>0.86399999999999999</v>
      </c>
      <c r="P13" s="110">
        <v>0.8</v>
      </c>
      <c r="Q13" s="110">
        <v>0.63</v>
      </c>
      <c r="R13" s="95">
        <v>0.72</v>
      </c>
      <c r="S13" s="110">
        <v>0.8</v>
      </c>
      <c r="T13" s="110">
        <v>0.6</v>
      </c>
      <c r="U13" s="110">
        <v>0.33300000000000002</v>
      </c>
      <c r="V13" s="95">
        <v>1</v>
      </c>
      <c r="W13" s="111">
        <f t="shared" si="0"/>
        <v>0.73942857142857144</v>
      </c>
      <c r="X13" s="192">
        <f t="shared" si="1"/>
        <v>1.1091428571428572</v>
      </c>
      <c r="Y13" s="7"/>
    </row>
    <row r="14" spans="1:25" ht="20.25" customHeight="1" x14ac:dyDescent="0.25">
      <c r="A14" s="101">
        <v>7</v>
      </c>
      <c r="B14" s="183" t="s">
        <v>144</v>
      </c>
      <c r="C14" s="184">
        <v>1</v>
      </c>
      <c r="D14" s="184">
        <v>1</v>
      </c>
      <c r="E14" s="184">
        <v>1</v>
      </c>
      <c r="F14" s="184">
        <v>1</v>
      </c>
      <c r="G14" s="184">
        <v>1</v>
      </c>
      <c r="H14" s="184">
        <v>1</v>
      </c>
      <c r="I14" s="95">
        <v>1</v>
      </c>
      <c r="J14" s="95">
        <v>1</v>
      </c>
      <c r="K14" s="95">
        <v>1</v>
      </c>
      <c r="L14" s="110">
        <v>0.8</v>
      </c>
      <c r="M14" s="110">
        <v>0.6</v>
      </c>
      <c r="N14" s="171">
        <v>0.44</v>
      </c>
      <c r="O14" s="110">
        <v>0.85899999999999999</v>
      </c>
      <c r="P14" s="110">
        <v>0.69</v>
      </c>
      <c r="Q14" s="110">
        <v>0.8</v>
      </c>
      <c r="R14" s="95">
        <v>0.51</v>
      </c>
      <c r="S14" s="110">
        <v>0.81</v>
      </c>
      <c r="T14" s="110">
        <v>0.47</v>
      </c>
      <c r="U14" s="110">
        <v>0.61599999999999999</v>
      </c>
      <c r="V14" s="155">
        <v>1</v>
      </c>
      <c r="W14" s="111">
        <f t="shared" si="0"/>
        <v>0.75678571428571417</v>
      </c>
      <c r="X14" s="192">
        <f t="shared" si="1"/>
        <v>1.1351785714285714</v>
      </c>
      <c r="Y14" s="7"/>
    </row>
    <row r="15" spans="1:25" s="113" customFormat="1" ht="20.25" customHeight="1" x14ac:dyDescent="0.25">
      <c r="A15" s="101">
        <v>8</v>
      </c>
      <c r="B15" s="182" t="s">
        <v>145</v>
      </c>
      <c r="C15" s="184">
        <v>1</v>
      </c>
      <c r="D15" s="184">
        <v>1</v>
      </c>
      <c r="E15" s="185">
        <v>1</v>
      </c>
      <c r="F15" s="184">
        <v>1</v>
      </c>
      <c r="G15" s="184">
        <v>1</v>
      </c>
      <c r="H15" s="120">
        <v>0</v>
      </c>
      <c r="I15" s="95">
        <v>1</v>
      </c>
      <c r="J15" s="170">
        <v>0.96</v>
      </c>
      <c r="K15" s="110">
        <v>1</v>
      </c>
      <c r="L15" s="110">
        <v>0.52</v>
      </c>
      <c r="M15" s="171">
        <v>0.51</v>
      </c>
      <c r="N15" s="171">
        <v>0.37</v>
      </c>
      <c r="O15" s="171">
        <v>0.59</v>
      </c>
      <c r="P15" s="95">
        <v>0.7</v>
      </c>
      <c r="Q15" s="110">
        <v>0.8</v>
      </c>
      <c r="R15" s="95">
        <v>0.6</v>
      </c>
      <c r="S15" s="110">
        <v>0.55000000000000004</v>
      </c>
      <c r="T15" s="110">
        <v>0.65</v>
      </c>
      <c r="U15" s="171">
        <v>0.85</v>
      </c>
      <c r="V15" s="95">
        <v>1</v>
      </c>
      <c r="W15" s="111">
        <f t="shared" si="0"/>
        <v>0.72142857142857142</v>
      </c>
      <c r="X15" s="192">
        <f t="shared" si="1"/>
        <v>1.0821428571428571</v>
      </c>
      <c r="Y15" s="112"/>
    </row>
    <row r="16" spans="1:25" ht="20.25" customHeight="1" x14ac:dyDescent="0.25">
      <c r="A16" s="101">
        <v>9</v>
      </c>
      <c r="B16" s="182" t="s">
        <v>146</v>
      </c>
      <c r="C16" s="153">
        <v>1</v>
      </c>
      <c r="D16" s="153">
        <v>1</v>
      </c>
      <c r="E16" s="153">
        <v>1</v>
      </c>
      <c r="F16" s="153">
        <v>1</v>
      </c>
      <c r="G16" s="153">
        <v>1</v>
      </c>
      <c r="H16" s="153">
        <v>0</v>
      </c>
      <c r="I16" s="95">
        <v>0.98</v>
      </c>
      <c r="J16" s="95">
        <v>0.96</v>
      </c>
      <c r="K16" s="95">
        <v>1</v>
      </c>
      <c r="L16" s="95">
        <v>1</v>
      </c>
      <c r="M16" s="95">
        <v>0.43</v>
      </c>
      <c r="N16" s="170">
        <v>0.32</v>
      </c>
      <c r="O16" s="95">
        <v>0.42</v>
      </c>
      <c r="P16" s="95">
        <v>0.52</v>
      </c>
      <c r="Q16" s="95">
        <v>0.56000000000000005</v>
      </c>
      <c r="R16" s="95">
        <v>0.35</v>
      </c>
      <c r="S16" s="95">
        <v>0.7</v>
      </c>
      <c r="T16" s="95">
        <v>0</v>
      </c>
      <c r="U16" s="95">
        <v>0.64700000000000002</v>
      </c>
      <c r="V16" s="95">
        <v>1</v>
      </c>
      <c r="W16" s="111">
        <f t="shared" si="0"/>
        <v>0.63478571428571429</v>
      </c>
      <c r="X16" s="192">
        <f t="shared" si="1"/>
        <v>0.95217857142857143</v>
      </c>
      <c r="Y16" s="7"/>
    </row>
    <row r="17" spans="1:25" ht="20.25" customHeight="1" x14ac:dyDescent="0.25">
      <c r="A17" s="101">
        <v>10</v>
      </c>
      <c r="B17" s="182" t="s">
        <v>172</v>
      </c>
      <c r="C17" s="184">
        <v>1</v>
      </c>
      <c r="D17" s="184">
        <v>1</v>
      </c>
      <c r="E17" s="184"/>
      <c r="F17" s="120">
        <v>1</v>
      </c>
      <c r="G17" s="184">
        <v>1</v>
      </c>
      <c r="H17" s="184"/>
      <c r="I17" s="110">
        <v>0.96499999999999997</v>
      </c>
      <c r="J17" s="110">
        <v>0.98499999999999999</v>
      </c>
      <c r="K17" s="110"/>
      <c r="L17" s="110">
        <v>9.2999999999999999E-2</v>
      </c>
      <c r="M17" s="110">
        <v>0.44</v>
      </c>
      <c r="N17" s="110">
        <v>0.33800000000000002</v>
      </c>
      <c r="O17" s="171">
        <v>0.33</v>
      </c>
      <c r="P17" s="110">
        <v>0.4</v>
      </c>
      <c r="Q17" s="110">
        <v>0.183</v>
      </c>
      <c r="R17" s="110">
        <v>0.14499999999999999</v>
      </c>
      <c r="S17" s="110">
        <v>0.35</v>
      </c>
      <c r="T17" s="110">
        <v>0.35</v>
      </c>
      <c r="U17" s="110">
        <v>0.3</v>
      </c>
      <c r="V17" s="155">
        <v>0</v>
      </c>
      <c r="W17" s="111">
        <f t="shared" si="0"/>
        <v>0.37530769230769229</v>
      </c>
      <c r="X17" s="192">
        <f t="shared" si="1"/>
        <v>0.5629615384615384</v>
      </c>
      <c r="Y17" s="7"/>
    </row>
    <row r="18" spans="1:25" ht="20.25" customHeight="1" x14ac:dyDescent="0.25">
      <c r="A18" s="101">
        <v>11</v>
      </c>
      <c r="B18" s="182" t="s">
        <v>147</v>
      </c>
      <c r="C18" s="153">
        <v>1</v>
      </c>
      <c r="D18" s="153">
        <v>1</v>
      </c>
      <c r="E18" s="153">
        <v>1</v>
      </c>
      <c r="F18" s="153">
        <v>1</v>
      </c>
      <c r="G18" s="153">
        <v>1</v>
      </c>
      <c r="H18" s="153">
        <v>1</v>
      </c>
      <c r="I18" s="95">
        <v>0.99</v>
      </c>
      <c r="J18" s="95">
        <v>0.97</v>
      </c>
      <c r="K18" s="95">
        <v>1</v>
      </c>
      <c r="L18" s="95">
        <v>0.78</v>
      </c>
      <c r="M18" s="95">
        <v>0.82</v>
      </c>
      <c r="N18" s="95">
        <v>0.71</v>
      </c>
      <c r="O18" s="95">
        <v>0.81</v>
      </c>
      <c r="P18" s="95">
        <v>0.72</v>
      </c>
      <c r="Q18" s="95">
        <v>0.62</v>
      </c>
      <c r="R18" s="95">
        <v>0.65</v>
      </c>
      <c r="S18" s="95">
        <v>0.6</v>
      </c>
      <c r="T18" s="95">
        <v>0.6</v>
      </c>
      <c r="U18" s="95">
        <v>0.74</v>
      </c>
      <c r="V18" s="95">
        <v>1</v>
      </c>
      <c r="W18" s="111">
        <f t="shared" si="0"/>
        <v>0.78642857142857137</v>
      </c>
      <c r="X18" s="192">
        <f t="shared" si="1"/>
        <v>1.179642857142857</v>
      </c>
      <c r="Y18" s="7"/>
    </row>
    <row r="19" spans="1:25" ht="28.5" customHeight="1" x14ac:dyDescent="0.25">
      <c r="A19" s="101">
        <v>12</v>
      </c>
      <c r="B19" s="182" t="s">
        <v>178</v>
      </c>
      <c r="C19" s="153">
        <v>1</v>
      </c>
      <c r="D19" s="153">
        <v>1</v>
      </c>
      <c r="E19" s="153">
        <v>1</v>
      </c>
      <c r="F19" s="153">
        <v>1</v>
      </c>
      <c r="G19" s="153">
        <v>1</v>
      </c>
      <c r="H19" s="153">
        <v>1</v>
      </c>
      <c r="I19" s="95">
        <v>1</v>
      </c>
      <c r="J19" s="95">
        <v>1</v>
      </c>
      <c r="K19" s="95">
        <v>1</v>
      </c>
      <c r="L19" s="95">
        <v>0.87</v>
      </c>
      <c r="M19" s="95">
        <v>0.71</v>
      </c>
      <c r="N19" s="170">
        <v>0.51</v>
      </c>
      <c r="O19" s="170">
        <v>0.78</v>
      </c>
      <c r="P19" s="95">
        <v>0.85</v>
      </c>
      <c r="Q19" s="95">
        <v>0.83</v>
      </c>
      <c r="R19" s="95">
        <v>0</v>
      </c>
      <c r="S19" s="95">
        <v>0.83</v>
      </c>
      <c r="T19" s="95">
        <v>0.9</v>
      </c>
      <c r="U19" s="95">
        <v>0.8</v>
      </c>
      <c r="V19" s="95">
        <v>0</v>
      </c>
      <c r="W19" s="111">
        <f t="shared" si="0"/>
        <v>0.72</v>
      </c>
      <c r="X19" s="192">
        <f t="shared" si="1"/>
        <v>1.08</v>
      </c>
      <c r="Y19" s="7"/>
    </row>
    <row r="20" spans="1:25" ht="20.25" customHeight="1" x14ac:dyDescent="0.25">
      <c r="A20" s="101">
        <v>13</v>
      </c>
      <c r="B20" s="182" t="s">
        <v>291</v>
      </c>
      <c r="C20" s="153">
        <v>1</v>
      </c>
      <c r="D20" s="153">
        <v>1</v>
      </c>
      <c r="E20" s="153">
        <v>1</v>
      </c>
      <c r="F20" s="153">
        <v>1</v>
      </c>
      <c r="G20" s="153">
        <v>1</v>
      </c>
      <c r="H20" s="153">
        <v>1</v>
      </c>
      <c r="I20" s="95">
        <v>0.99</v>
      </c>
      <c r="J20" s="95">
        <v>0.92200000000000004</v>
      </c>
      <c r="K20" s="95">
        <v>0.96499999999999997</v>
      </c>
      <c r="L20" s="95">
        <v>0.65</v>
      </c>
      <c r="M20" s="95">
        <v>0.69</v>
      </c>
      <c r="N20" s="95">
        <v>0.5</v>
      </c>
      <c r="O20" s="92">
        <v>0.72</v>
      </c>
      <c r="P20" s="95">
        <v>0.83</v>
      </c>
      <c r="Q20" s="95">
        <v>0.41199999999999998</v>
      </c>
      <c r="R20" s="95">
        <v>0</v>
      </c>
      <c r="S20" s="95">
        <v>0.89</v>
      </c>
      <c r="T20" s="95">
        <v>0.81</v>
      </c>
      <c r="U20" s="95">
        <v>0.87</v>
      </c>
      <c r="V20" s="95">
        <v>1</v>
      </c>
      <c r="W20" s="111">
        <f t="shared" si="0"/>
        <v>0.73207142857142848</v>
      </c>
      <c r="X20" s="192">
        <f t="shared" si="1"/>
        <v>1.0981071428571427</v>
      </c>
      <c r="Y20" s="7"/>
    </row>
    <row r="21" spans="1:25" ht="20.25" customHeight="1" x14ac:dyDescent="0.25">
      <c r="A21" s="101">
        <v>14</v>
      </c>
      <c r="B21" s="182" t="s">
        <v>173</v>
      </c>
      <c r="C21" s="153">
        <v>1</v>
      </c>
      <c r="D21" s="153">
        <v>1</v>
      </c>
      <c r="E21" s="153"/>
      <c r="F21" s="153">
        <v>1</v>
      </c>
      <c r="G21" s="153">
        <v>1</v>
      </c>
      <c r="H21" s="153"/>
      <c r="I21" s="95">
        <v>0.97</v>
      </c>
      <c r="J21" s="95">
        <v>0.94</v>
      </c>
      <c r="K21" s="95"/>
      <c r="L21" s="95">
        <v>0.36</v>
      </c>
      <c r="M21" s="95">
        <v>0.45</v>
      </c>
      <c r="N21" s="95">
        <v>0.38</v>
      </c>
      <c r="O21" s="95">
        <v>0.37</v>
      </c>
      <c r="P21" s="170">
        <v>0.55000000000000004</v>
      </c>
      <c r="Q21" s="95">
        <v>0.24</v>
      </c>
      <c r="R21" s="95">
        <v>0.24</v>
      </c>
      <c r="S21" s="95">
        <v>0</v>
      </c>
      <c r="T21" s="95">
        <v>0.38</v>
      </c>
      <c r="U21" s="95">
        <v>0.53</v>
      </c>
      <c r="V21" s="95">
        <v>0</v>
      </c>
      <c r="W21" s="111">
        <f t="shared" si="0"/>
        <v>0.41615384615384621</v>
      </c>
      <c r="X21" s="192">
        <f t="shared" si="1"/>
        <v>0.62423076923076937</v>
      </c>
      <c r="Y21" s="7"/>
    </row>
    <row r="22" spans="1:25" ht="20.25" customHeight="1" x14ac:dyDescent="0.25">
      <c r="A22" s="101">
        <v>15</v>
      </c>
      <c r="B22" s="182" t="s">
        <v>149</v>
      </c>
      <c r="C22" s="156">
        <v>1</v>
      </c>
      <c r="D22" s="156">
        <v>1</v>
      </c>
      <c r="E22" s="156">
        <v>1</v>
      </c>
      <c r="F22" s="156">
        <v>1</v>
      </c>
      <c r="G22" s="156">
        <v>1</v>
      </c>
      <c r="H22" s="156">
        <v>1</v>
      </c>
      <c r="I22" s="155">
        <v>1</v>
      </c>
      <c r="J22" s="155">
        <v>1</v>
      </c>
      <c r="K22" s="155">
        <v>1</v>
      </c>
      <c r="L22" s="155">
        <v>0.58399999999999996</v>
      </c>
      <c r="M22" s="155">
        <v>0.44</v>
      </c>
      <c r="N22" s="155">
        <v>0.41</v>
      </c>
      <c r="O22" s="155">
        <v>0.51</v>
      </c>
      <c r="P22" s="155">
        <v>0.65</v>
      </c>
      <c r="Q22" s="155">
        <v>0.32</v>
      </c>
      <c r="R22" s="155">
        <v>0.41</v>
      </c>
      <c r="S22" s="155">
        <v>0.43</v>
      </c>
      <c r="T22" s="157">
        <v>0.3</v>
      </c>
      <c r="U22" s="155">
        <v>0.35</v>
      </c>
      <c r="V22" s="155">
        <v>1</v>
      </c>
      <c r="W22" s="111">
        <f t="shared" si="0"/>
        <v>0.60028571428571431</v>
      </c>
      <c r="X22" s="192">
        <f t="shared" si="1"/>
        <v>0.90042857142857147</v>
      </c>
      <c r="Y22" s="7"/>
    </row>
    <row r="23" spans="1:25" ht="20.25" customHeight="1" x14ac:dyDescent="0.25">
      <c r="A23" s="101">
        <v>16</v>
      </c>
      <c r="B23" s="182" t="s">
        <v>150</v>
      </c>
      <c r="C23" s="153">
        <v>1</v>
      </c>
      <c r="D23" s="153">
        <v>1</v>
      </c>
      <c r="E23" s="153">
        <v>1</v>
      </c>
      <c r="F23" s="153">
        <v>1</v>
      </c>
      <c r="G23" s="153">
        <v>1</v>
      </c>
      <c r="H23" s="153">
        <v>1</v>
      </c>
      <c r="I23" s="95">
        <v>0.96</v>
      </c>
      <c r="J23" s="95">
        <v>0.95</v>
      </c>
      <c r="K23" s="95">
        <v>1</v>
      </c>
      <c r="L23" s="110">
        <v>0.7</v>
      </c>
      <c r="M23" s="110">
        <v>0.68</v>
      </c>
      <c r="N23" s="110">
        <v>0.65</v>
      </c>
      <c r="O23" s="171">
        <v>0.65</v>
      </c>
      <c r="P23" s="110">
        <v>0.62</v>
      </c>
      <c r="Q23" s="110">
        <v>0.6</v>
      </c>
      <c r="R23" s="110">
        <v>0.6</v>
      </c>
      <c r="S23" s="110">
        <v>0.7</v>
      </c>
      <c r="T23" s="110">
        <v>1</v>
      </c>
      <c r="U23" s="95">
        <v>0.15</v>
      </c>
      <c r="V23" s="95">
        <v>1</v>
      </c>
      <c r="W23" s="111">
        <f t="shared" si="0"/>
        <v>0.73285714285714287</v>
      </c>
      <c r="X23" s="192">
        <f t="shared" si="1"/>
        <v>1.0992857142857142</v>
      </c>
      <c r="Y23" s="7"/>
    </row>
    <row r="24" spans="1:25" ht="20.25" customHeight="1" x14ac:dyDescent="0.25">
      <c r="A24" s="101">
        <v>17</v>
      </c>
      <c r="B24" s="182" t="s">
        <v>151</v>
      </c>
      <c r="C24" s="153">
        <v>1</v>
      </c>
      <c r="D24" s="153">
        <v>1</v>
      </c>
      <c r="E24" s="153">
        <v>1</v>
      </c>
      <c r="F24" s="153">
        <v>1</v>
      </c>
      <c r="G24" s="153">
        <v>1</v>
      </c>
      <c r="H24" s="153">
        <v>1</v>
      </c>
      <c r="I24" s="158">
        <v>0.97</v>
      </c>
      <c r="J24" s="158">
        <v>0.97</v>
      </c>
      <c r="K24" s="158">
        <v>0.1</v>
      </c>
      <c r="L24" s="158">
        <v>0.6</v>
      </c>
      <c r="M24" s="158">
        <v>0.57999999999999996</v>
      </c>
      <c r="N24" s="158">
        <v>0.53</v>
      </c>
      <c r="O24" s="399">
        <v>0.42</v>
      </c>
      <c r="P24" s="158">
        <v>0.55000000000000004</v>
      </c>
      <c r="Q24" s="158">
        <v>0.38</v>
      </c>
      <c r="R24" s="158">
        <v>0.51</v>
      </c>
      <c r="S24" s="158">
        <v>0.62</v>
      </c>
      <c r="T24" s="158">
        <v>0.25</v>
      </c>
      <c r="U24" s="158">
        <v>0.32</v>
      </c>
      <c r="V24" s="95">
        <v>1</v>
      </c>
      <c r="W24" s="111">
        <f t="shared" si="0"/>
        <v>0.55714285714285716</v>
      </c>
      <c r="X24" s="192">
        <f t="shared" si="1"/>
        <v>0.83571428571428574</v>
      </c>
      <c r="Y24" s="7"/>
    </row>
    <row r="25" spans="1:25" ht="20.25" customHeight="1" x14ac:dyDescent="0.25">
      <c r="A25" s="101">
        <v>18</v>
      </c>
      <c r="B25" s="182" t="s">
        <v>152</v>
      </c>
      <c r="C25" s="153">
        <v>1</v>
      </c>
      <c r="D25" s="153">
        <v>1</v>
      </c>
      <c r="E25" s="153">
        <v>1</v>
      </c>
      <c r="F25" s="153">
        <v>1</v>
      </c>
      <c r="G25" s="153">
        <v>1</v>
      </c>
      <c r="H25" s="153">
        <v>1</v>
      </c>
      <c r="I25" s="95">
        <v>0.96</v>
      </c>
      <c r="J25" s="95">
        <v>0.96</v>
      </c>
      <c r="K25" s="95">
        <v>1</v>
      </c>
      <c r="L25" s="95">
        <v>0.5</v>
      </c>
      <c r="M25" s="95">
        <v>0.79800000000000004</v>
      </c>
      <c r="N25" s="95">
        <v>0.36599999999999999</v>
      </c>
      <c r="O25" s="170">
        <v>0.28999999999999998</v>
      </c>
      <c r="P25" s="95">
        <v>0.5</v>
      </c>
      <c r="Q25" s="95">
        <v>0.37</v>
      </c>
      <c r="R25" s="95">
        <v>0.5</v>
      </c>
      <c r="S25" s="95">
        <v>0.65</v>
      </c>
      <c r="T25" s="95">
        <v>0.4</v>
      </c>
      <c r="U25" s="95">
        <v>0.2</v>
      </c>
      <c r="V25" s="170">
        <v>0</v>
      </c>
      <c r="W25" s="111">
        <f t="shared" si="0"/>
        <v>0.53528571428571436</v>
      </c>
      <c r="X25" s="192">
        <f t="shared" si="1"/>
        <v>0.80292857142857155</v>
      </c>
      <c r="Y25" s="7"/>
    </row>
    <row r="26" spans="1:25" ht="20.25" customHeight="1" x14ac:dyDescent="0.25">
      <c r="A26" s="101">
        <v>19</v>
      </c>
      <c r="B26" s="182" t="s">
        <v>153</v>
      </c>
      <c r="C26" s="120">
        <v>1</v>
      </c>
      <c r="D26" s="120">
        <v>1</v>
      </c>
      <c r="E26" s="120">
        <v>1</v>
      </c>
      <c r="F26" s="120">
        <v>1</v>
      </c>
      <c r="G26" s="120">
        <v>1</v>
      </c>
      <c r="H26" s="120">
        <v>1</v>
      </c>
      <c r="I26" s="95">
        <v>1</v>
      </c>
      <c r="J26" s="95">
        <v>0.98</v>
      </c>
      <c r="K26" s="92">
        <v>0.9</v>
      </c>
      <c r="L26" s="95">
        <v>0.9</v>
      </c>
      <c r="M26" s="95">
        <v>0.8</v>
      </c>
      <c r="N26" s="95">
        <v>0.8</v>
      </c>
      <c r="O26" s="170">
        <v>0.63</v>
      </c>
      <c r="P26" s="92">
        <v>0.75</v>
      </c>
      <c r="Q26" s="95">
        <v>0.57999999999999996</v>
      </c>
      <c r="R26" s="95">
        <v>0.9</v>
      </c>
      <c r="S26" s="92">
        <v>0.9</v>
      </c>
      <c r="T26" s="540">
        <v>0.1</v>
      </c>
      <c r="U26" s="92">
        <v>0.9</v>
      </c>
      <c r="V26" s="95">
        <v>1</v>
      </c>
      <c r="W26" s="111">
        <f t="shared" si="0"/>
        <v>0.79571428571428571</v>
      </c>
      <c r="X26" s="192">
        <f t="shared" si="1"/>
        <v>1.1935714285714285</v>
      </c>
      <c r="Y26" s="7"/>
    </row>
    <row r="27" spans="1:25" ht="20.25" customHeight="1" x14ac:dyDescent="0.25">
      <c r="A27" s="101">
        <v>20</v>
      </c>
      <c r="B27" s="182" t="s">
        <v>154</v>
      </c>
      <c r="C27" s="153">
        <v>1</v>
      </c>
      <c r="D27" s="153">
        <v>1</v>
      </c>
      <c r="E27" s="153">
        <v>1</v>
      </c>
      <c r="F27" s="153">
        <v>1</v>
      </c>
      <c r="G27" s="153">
        <v>1</v>
      </c>
      <c r="H27" s="153">
        <v>1</v>
      </c>
      <c r="I27" s="95">
        <v>0.99199999999999999</v>
      </c>
      <c r="J27" s="95">
        <v>0.96599999999999997</v>
      </c>
      <c r="K27" s="95">
        <v>0.998</v>
      </c>
      <c r="L27" s="95">
        <v>0.92400000000000004</v>
      </c>
      <c r="M27" s="95">
        <v>0.88600000000000001</v>
      </c>
      <c r="N27" s="170">
        <v>0.66400000000000003</v>
      </c>
      <c r="O27" s="95">
        <v>0.8</v>
      </c>
      <c r="P27" s="95">
        <v>0.88</v>
      </c>
      <c r="Q27" s="95">
        <v>0.71899999999999997</v>
      </c>
      <c r="R27" s="95">
        <v>0.72199999999999998</v>
      </c>
      <c r="S27" s="95">
        <v>0.78300000000000003</v>
      </c>
      <c r="T27" s="95">
        <v>0.85</v>
      </c>
      <c r="U27" s="95">
        <v>0.5</v>
      </c>
      <c r="V27" s="95">
        <v>1</v>
      </c>
      <c r="W27" s="111">
        <f t="shared" si="0"/>
        <v>0.83457142857142852</v>
      </c>
      <c r="X27" s="192">
        <f t="shared" si="1"/>
        <v>1.2518571428571428</v>
      </c>
      <c r="Y27" s="7"/>
    </row>
    <row r="28" spans="1:25" ht="20.25" customHeight="1" x14ac:dyDescent="0.25">
      <c r="A28" s="101">
        <v>21</v>
      </c>
      <c r="B28" s="182" t="s">
        <v>155</v>
      </c>
      <c r="C28" s="153">
        <v>1</v>
      </c>
      <c r="D28" s="153">
        <v>1</v>
      </c>
      <c r="E28" s="153">
        <v>1</v>
      </c>
      <c r="F28" s="153">
        <v>1</v>
      </c>
      <c r="G28" s="153">
        <v>1</v>
      </c>
      <c r="H28" s="153">
        <v>1</v>
      </c>
      <c r="I28" s="95">
        <v>0.83399999999999996</v>
      </c>
      <c r="J28" s="95">
        <v>0.84599999999999997</v>
      </c>
      <c r="K28" s="95">
        <v>0.98099999999999998</v>
      </c>
      <c r="L28" s="95">
        <v>0.52800000000000002</v>
      </c>
      <c r="M28" s="95">
        <v>0.7</v>
      </c>
      <c r="N28" s="95">
        <v>0.47299999999999998</v>
      </c>
      <c r="O28" s="170">
        <v>0.55000000000000004</v>
      </c>
      <c r="P28" s="95">
        <v>0.7</v>
      </c>
      <c r="Q28" s="95">
        <v>0.56000000000000005</v>
      </c>
      <c r="R28" s="95">
        <v>0.54</v>
      </c>
      <c r="S28" s="95">
        <v>0.21</v>
      </c>
      <c r="T28" s="170">
        <v>0.21</v>
      </c>
      <c r="U28" s="95">
        <v>0.56000000000000005</v>
      </c>
      <c r="V28" s="170">
        <v>0</v>
      </c>
      <c r="W28" s="111">
        <f t="shared" si="0"/>
        <v>0.54942857142857149</v>
      </c>
      <c r="X28" s="192">
        <f t="shared" si="1"/>
        <v>0.82414285714285729</v>
      </c>
      <c r="Y28" s="7"/>
    </row>
    <row r="29" spans="1:25" ht="20.25" customHeight="1" x14ac:dyDescent="0.25">
      <c r="A29" s="101">
        <v>22</v>
      </c>
      <c r="B29" s="182" t="s">
        <v>277</v>
      </c>
      <c r="C29" s="153">
        <v>1</v>
      </c>
      <c r="D29" s="153">
        <v>1</v>
      </c>
      <c r="E29" s="153">
        <v>1</v>
      </c>
      <c r="F29" s="153">
        <v>1</v>
      </c>
      <c r="G29" s="153">
        <v>1</v>
      </c>
      <c r="H29" s="153">
        <v>1</v>
      </c>
      <c r="I29" s="95">
        <v>0.83</v>
      </c>
      <c r="J29" s="95">
        <v>0.94499999999999995</v>
      </c>
      <c r="K29" s="95">
        <v>0.94</v>
      </c>
      <c r="L29" s="170">
        <v>0.73</v>
      </c>
      <c r="M29" s="95">
        <v>0.63</v>
      </c>
      <c r="N29" s="95">
        <v>0.64</v>
      </c>
      <c r="O29" s="170">
        <v>0.6</v>
      </c>
      <c r="P29" s="170">
        <v>0.75</v>
      </c>
      <c r="Q29" s="95">
        <v>0.46</v>
      </c>
      <c r="R29" s="95">
        <v>0.5</v>
      </c>
      <c r="S29" s="95">
        <v>0.8</v>
      </c>
      <c r="T29" s="95">
        <v>0.8</v>
      </c>
      <c r="U29" s="95">
        <v>0.65</v>
      </c>
      <c r="V29" s="95">
        <v>1</v>
      </c>
      <c r="W29" s="111">
        <f t="shared" si="0"/>
        <v>0.73392857142857149</v>
      </c>
      <c r="X29" s="192">
        <f t="shared" si="1"/>
        <v>1.1008928571428571</v>
      </c>
      <c r="Y29" s="7"/>
    </row>
    <row r="30" spans="1:25" ht="20.25" customHeight="1" x14ac:dyDescent="0.25">
      <c r="A30" s="101">
        <v>23</v>
      </c>
      <c r="B30" s="182" t="s">
        <v>156</v>
      </c>
      <c r="C30" s="120">
        <v>1</v>
      </c>
      <c r="D30" s="120">
        <v>1</v>
      </c>
      <c r="E30" s="120">
        <v>1</v>
      </c>
      <c r="F30" s="120">
        <v>1</v>
      </c>
      <c r="G30" s="120">
        <v>1</v>
      </c>
      <c r="H30" s="120">
        <v>1</v>
      </c>
      <c r="I30" s="159">
        <v>0.98</v>
      </c>
      <c r="J30" s="159">
        <v>0.96</v>
      </c>
      <c r="K30" s="159">
        <v>0.97</v>
      </c>
      <c r="L30" s="159">
        <v>0.2</v>
      </c>
      <c r="M30" s="159">
        <v>0.78</v>
      </c>
      <c r="N30" s="159">
        <v>0.42</v>
      </c>
      <c r="O30" s="400">
        <v>0.44</v>
      </c>
      <c r="P30" s="159">
        <v>0.73</v>
      </c>
      <c r="Q30" s="159">
        <v>0.61</v>
      </c>
      <c r="R30" s="155">
        <v>0.42</v>
      </c>
      <c r="S30" s="159">
        <v>0.5</v>
      </c>
      <c r="T30" s="159">
        <v>0.3</v>
      </c>
      <c r="U30" s="159">
        <v>0.5</v>
      </c>
      <c r="V30" s="155">
        <v>1</v>
      </c>
      <c r="W30" s="111">
        <f t="shared" si="0"/>
        <v>0.62928571428571434</v>
      </c>
      <c r="X30" s="192">
        <f t="shared" si="1"/>
        <v>0.94392857142857145</v>
      </c>
      <c r="Y30" s="7"/>
    </row>
    <row r="31" spans="1:25" ht="20.25" customHeight="1" x14ac:dyDescent="0.25">
      <c r="A31" s="101">
        <v>24</v>
      </c>
      <c r="B31" s="182" t="s">
        <v>157</v>
      </c>
      <c r="C31" s="153">
        <v>1</v>
      </c>
      <c r="D31" s="153">
        <v>1</v>
      </c>
      <c r="E31" s="153">
        <v>1</v>
      </c>
      <c r="F31" s="153">
        <v>1</v>
      </c>
      <c r="G31" s="153">
        <v>1</v>
      </c>
      <c r="H31" s="153">
        <v>1</v>
      </c>
      <c r="I31" s="95">
        <v>0.98099999999999998</v>
      </c>
      <c r="J31" s="95">
        <v>0.97599999999999998</v>
      </c>
      <c r="K31" s="95">
        <v>1</v>
      </c>
      <c r="L31" s="110">
        <v>0.6</v>
      </c>
      <c r="M31" s="110">
        <v>0.67</v>
      </c>
      <c r="N31" s="110">
        <v>0.56999999999999995</v>
      </c>
      <c r="O31" s="171">
        <v>0.65</v>
      </c>
      <c r="P31" s="110">
        <v>0.8</v>
      </c>
      <c r="Q31" s="110">
        <v>0.65</v>
      </c>
      <c r="R31" s="110">
        <v>0.5</v>
      </c>
      <c r="S31" s="110">
        <v>0.8</v>
      </c>
      <c r="T31" s="95">
        <v>0</v>
      </c>
      <c r="U31" s="95">
        <v>0.13600000000000001</v>
      </c>
      <c r="V31" s="95">
        <v>1</v>
      </c>
      <c r="W31" s="111">
        <f t="shared" si="0"/>
        <v>0.6666428571428572</v>
      </c>
      <c r="X31" s="192">
        <f t="shared" si="1"/>
        <v>0.99996428571428586</v>
      </c>
      <c r="Y31" s="7"/>
    </row>
    <row r="32" spans="1:25" ht="20.25" customHeight="1" x14ac:dyDescent="0.25">
      <c r="A32" s="101">
        <v>25</v>
      </c>
      <c r="B32" s="182" t="s">
        <v>159</v>
      </c>
      <c r="C32" s="153">
        <v>1</v>
      </c>
      <c r="D32" s="153">
        <v>1</v>
      </c>
      <c r="E32" s="153">
        <v>1</v>
      </c>
      <c r="F32" s="153">
        <v>1</v>
      </c>
      <c r="G32" s="153">
        <v>1</v>
      </c>
      <c r="H32" s="153">
        <v>1</v>
      </c>
      <c r="I32" s="95">
        <v>0.93400000000000005</v>
      </c>
      <c r="J32" s="95">
        <v>0.95599999999999996</v>
      </c>
      <c r="K32" s="95">
        <v>1</v>
      </c>
      <c r="L32" s="95">
        <v>0.65700000000000003</v>
      </c>
      <c r="M32" s="95">
        <v>0.434</v>
      </c>
      <c r="N32" s="95">
        <v>0.56000000000000005</v>
      </c>
      <c r="O32" s="95">
        <v>0.47499999999999998</v>
      </c>
      <c r="P32" s="95">
        <v>0.64300000000000002</v>
      </c>
      <c r="Q32" s="95">
        <v>0.7</v>
      </c>
      <c r="R32" s="95">
        <v>0.5</v>
      </c>
      <c r="S32" s="95">
        <v>0.42299999999999999</v>
      </c>
      <c r="T32" s="95">
        <v>0</v>
      </c>
      <c r="U32" s="95">
        <v>0.30099999999999999</v>
      </c>
      <c r="V32" s="95">
        <v>1</v>
      </c>
      <c r="W32" s="111">
        <f t="shared" si="0"/>
        <v>0.6130714285714286</v>
      </c>
      <c r="X32" s="192">
        <f t="shared" si="1"/>
        <v>0.91960714285714285</v>
      </c>
      <c r="Y32" s="7"/>
    </row>
    <row r="33" spans="1:1025" ht="20.25" customHeight="1" x14ac:dyDescent="0.25">
      <c r="A33" s="403">
        <v>26</v>
      </c>
      <c r="B33" s="182" t="s">
        <v>160</v>
      </c>
      <c r="C33" s="160">
        <v>1</v>
      </c>
      <c r="D33" s="160">
        <v>1</v>
      </c>
      <c r="E33" s="160">
        <v>1</v>
      </c>
      <c r="F33" s="160">
        <v>1</v>
      </c>
      <c r="G33" s="160">
        <v>1</v>
      </c>
      <c r="H33" s="160">
        <v>1</v>
      </c>
      <c r="I33" s="161">
        <v>0.98</v>
      </c>
      <c r="J33" s="161">
        <v>0.88</v>
      </c>
      <c r="K33" s="161">
        <v>0.95</v>
      </c>
      <c r="L33" s="161">
        <v>0.7</v>
      </c>
      <c r="M33" s="161">
        <v>0.7</v>
      </c>
      <c r="N33" s="161">
        <v>0.432</v>
      </c>
      <c r="O33" s="161">
        <v>0.44</v>
      </c>
      <c r="P33" s="161">
        <v>0.7</v>
      </c>
      <c r="Q33" s="161">
        <v>0.84</v>
      </c>
      <c r="R33" s="161">
        <v>0.6</v>
      </c>
      <c r="S33" s="161">
        <v>0.77</v>
      </c>
      <c r="T33" s="161">
        <v>0.77</v>
      </c>
      <c r="U33" s="161">
        <v>0.75</v>
      </c>
      <c r="V33" s="375">
        <v>0</v>
      </c>
      <c r="W33" s="111">
        <f t="shared" si="0"/>
        <v>0.67942857142857149</v>
      </c>
      <c r="X33" s="192">
        <f t="shared" si="1"/>
        <v>1.0191428571428571</v>
      </c>
      <c r="Y33" s="7"/>
    </row>
    <row r="34" spans="1:1025" ht="20.25" customHeight="1" x14ac:dyDescent="0.25">
      <c r="A34" s="403">
        <v>27</v>
      </c>
      <c r="B34" s="182" t="s">
        <v>158</v>
      </c>
      <c r="C34" s="162">
        <v>1</v>
      </c>
      <c r="D34" s="162">
        <v>1</v>
      </c>
      <c r="E34" s="162">
        <v>1</v>
      </c>
      <c r="F34" s="162">
        <v>1</v>
      </c>
      <c r="G34" s="162">
        <v>1</v>
      </c>
      <c r="H34" s="162">
        <v>1</v>
      </c>
      <c r="I34" s="163">
        <v>1</v>
      </c>
      <c r="J34" s="163">
        <v>1</v>
      </c>
      <c r="K34" s="163">
        <v>1</v>
      </c>
      <c r="L34" s="163">
        <v>0.98499999999999999</v>
      </c>
      <c r="M34" s="163">
        <v>0.79800000000000004</v>
      </c>
      <c r="N34" s="163">
        <v>0.51</v>
      </c>
      <c r="O34" s="163">
        <v>0.6</v>
      </c>
      <c r="P34" s="163">
        <v>0.9</v>
      </c>
      <c r="Q34" s="163">
        <v>0.90400000000000003</v>
      </c>
      <c r="R34" s="163">
        <v>0.65</v>
      </c>
      <c r="S34" s="163">
        <v>0.8</v>
      </c>
      <c r="T34" s="163">
        <v>0.2</v>
      </c>
      <c r="U34" s="164">
        <v>0.997</v>
      </c>
      <c r="V34" s="163">
        <v>1</v>
      </c>
      <c r="W34" s="111">
        <f t="shared" si="0"/>
        <v>0.81028571428571428</v>
      </c>
      <c r="X34" s="192">
        <f t="shared" si="1"/>
        <v>1.2154285714285713</v>
      </c>
      <c r="Y34" s="7"/>
    </row>
    <row r="35" spans="1:1025" ht="20.25" customHeight="1" x14ac:dyDescent="0.25">
      <c r="A35" s="101">
        <v>28</v>
      </c>
      <c r="B35" s="182" t="s">
        <v>161</v>
      </c>
      <c r="C35" s="120">
        <v>1</v>
      </c>
      <c r="D35" s="120">
        <v>1</v>
      </c>
      <c r="E35" s="120">
        <v>1</v>
      </c>
      <c r="F35" s="120">
        <v>1</v>
      </c>
      <c r="G35" s="120">
        <v>1</v>
      </c>
      <c r="H35" s="120">
        <v>1</v>
      </c>
      <c r="I35" s="110">
        <v>0.87</v>
      </c>
      <c r="J35" s="110">
        <v>0.89</v>
      </c>
      <c r="K35" s="110">
        <v>0.95</v>
      </c>
      <c r="L35" s="110">
        <v>0.7</v>
      </c>
      <c r="M35" s="110">
        <v>0.5</v>
      </c>
      <c r="N35" s="171">
        <v>0.54500000000000004</v>
      </c>
      <c r="O35" s="110">
        <v>0.4</v>
      </c>
      <c r="P35" s="110">
        <v>0.6</v>
      </c>
      <c r="Q35" s="110">
        <v>0.5</v>
      </c>
      <c r="R35" s="110">
        <v>0.5</v>
      </c>
      <c r="S35" s="110">
        <v>0.4</v>
      </c>
      <c r="T35" s="110">
        <v>0.4</v>
      </c>
      <c r="U35" s="95">
        <v>0.52</v>
      </c>
      <c r="V35" s="95">
        <v>1</v>
      </c>
      <c r="W35" s="111">
        <f t="shared" si="0"/>
        <v>0.62678571428571428</v>
      </c>
      <c r="X35" s="192">
        <f t="shared" si="1"/>
        <v>0.94017857142857142</v>
      </c>
      <c r="Y35" s="7"/>
    </row>
    <row r="36" spans="1:1025" ht="20.25" customHeight="1" x14ac:dyDescent="0.25">
      <c r="A36" s="101">
        <v>29</v>
      </c>
      <c r="B36" s="182" t="s">
        <v>162</v>
      </c>
      <c r="C36" s="153">
        <v>1</v>
      </c>
      <c r="D36" s="153">
        <v>1</v>
      </c>
      <c r="E36" s="153">
        <v>1</v>
      </c>
      <c r="F36" s="153">
        <v>1</v>
      </c>
      <c r="G36" s="153">
        <v>1</v>
      </c>
      <c r="H36" s="153">
        <v>1</v>
      </c>
      <c r="I36" s="95">
        <v>0.92500000000000004</v>
      </c>
      <c r="J36" s="95">
        <v>0.90100000000000002</v>
      </c>
      <c r="K36" s="95">
        <v>0.97499999999999998</v>
      </c>
      <c r="L36" s="95">
        <v>0.64800000000000002</v>
      </c>
      <c r="M36" s="95">
        <v>0.77900000000000003</v>
      </c>
      <c r="N36" s="95">
        <v>0.65900000000000003</v>
      </c>
      <c r="O36" s="170">
        <v>0.81</v>
      </c>
      <c r="P36" s="95">
        <v>0.64500000000000002</v>
      </c>
      <c r="Q36" s="95">
        <v>0.63600000000000001</v>
      </c>
      <c r="R36" s="95">
        <v>0.55600000000000005</v>
      </c>
      <c r="S36" s="95">
        <v>0.93500000000000005</v>
      </c>
      <c r="T36" s="95">
        <v>0.22500000000000001</v>
      </c>
      <c r="U36" s="95">
        <v>0.93500000000000005</v>
      </c>
      <c r="V36" s="95">
        <v>1</v>
      </c>
      <c r="W36" s="111">
        <f t="shared" si="0"/>
        <v>0.75921428571428584</v>
      </c>
      <c r="X36" s="192">
        <f t="shared" si="1"/>
        <v>1.1388214285714287</v>
      </c>
      <c r="Y36" s="7"/>
    </row>
    <row r="37" spans="1:1025" ht="20.25" customHeight="1" x14ac:dyDescent="0.25">
      <c r="A37" s="101">
        <v>30</v>
      </c>
      <c r="B37" s="182" t="s">
        <v>163</v>
      </c>
      <c r="C37" s="153">
        <v>1</v>
      </c>
      <c r="D37" s="153">
        <v>1</v>
      </c>
      <c r="E37" s="153">
        <v>1</v>
      </c>
      <c r="F37" s="153">
        <v>1</v>
      </c>
      <c r="G37" s="153">
        <v>1</v>
      </c>
      <c r="H37" s="153">
        <v>1</v>
      </c>
      <c r="I37" s="95">
        <v>1</v>
      </c>
      <c r="J37" s="95">
        <v>0.99</v>
      </c>
      <c r="K37" s="95">
        <v>0.99</v>
      </c>
      <c r="L37" s="95">
        <v>0.18</v>
      </c>
      <c r="M37" s="95">
        <v>0.45</v>
      </c>
      <c r="N37" s="95">
        <v>0.28999999999999998</v>
      </c>
      <c r="O37" s="170">
        <v>0.39</v>
      </c>
      <c r="P37" s="95">
        <v>0.6</v>
      </c>
      <c r="Q37" s="95">
        <v>0.35</v>
      </c>
      <c r="R37" s="95">
        <v>0.7</v>
      </c>
      <c r="S37" s="95">
        <v>0.45</v>
      </c>
      <c r="T37" s="95">
        <v>0.3</v>
      </c>
      <c r="U37" s="95">
        <v>0.65</v>
      </c>
      <c r="V37" s="95">
        <v>1</v>
      </c>
      <c r="W37" s="111">
        <f t="shared" si="0"/>
        <v>0.59571428571428575</v>
      </c>
      <c r="X37" s="192">
        <f t="shared" si="1"/>
        <v>0.89357142857142868</v>
      </c>
      <c r="Y37" s="7"/>
    </row>
    <row r="38" spans="1:1025" ht="20.25" customHeight="1" x14ac:dyDescent="0.25">
      <c r="A38" s="101">
        <v>31</v>
      </c>
      <c r="B38" s="182" t="s">
        <v>164</v>
      </c>
      <c r="C38" s="153">
        <v>1</v>
      </c>
      <c r="D38" s="153">
        <v>1</v>
      </c>
      <c r="E38" s="153">
        <v>1</v>
      </c>
      <c r="F38" s="153">
        <v>1</v>
      </c>
      <c r="G38" s="153">
        <v>1</v>
      </c>
      <c r="H38" s="153">
        <v>1</v>
      </c>
      <c r="I38" s="95">
        <v>0.98599999999999999</v>
      </c>
      <c r="J38" s="95">
        <v>0.97</v>
      </c>
      <c r="K38" s="95">
        <v>0.995</v>
      </c>
      <c r="L38" s="95">
        <v>0.31</v>
      </c>
      <c r="M38" s="95">
        <v>0.62</v>
      </c>
      <c r="N38" s="95">
        <v>0.495</v>
      </c>
      <c r="O38" s="170">
        <v>0.51</v>
      </c>
      <c r="P38" s="95">
        <v>0.6</v>
      </c>
      <c r="Q38" s="95">
        <v>0.65</v>
      </c>
      <c r="R38" s="95">
        <v>0.5</v>
      </c>
      <c r="S38" s="95">
        <v>0.5</v>
      </c>
      <c r="T38" s="95">
        <v>0.5</v>
      </c>
      <c r="U38" s="95">
        <v>0.28599999999999998</v>
      </c>
      <c r="V38" s="170">
        <v>0</v>
      </c>
      <c r="W38" s="111">
        <f t="shared" si="0"/>
        <v>0.56585714285714284</v>
      </c>
      <c r="X38" s="192">
        <f t="shared" si="1"/>
        <v>0.84878571428571425</v>
      </c>
      <c r="Y38" s="7"/>
    </row>
    <row r="39" spans="1:1025" ht="20.25" customHeight="1" x14ac:dyDescent="0.25">
      <c r="A39" s="101">
        <v>0.5</v>
      </c>
      <c r="B39" s="182" t="s">
        <v>165</v>
      </c>
      <c r="C39" s="156">
        <v>1</v>
      </c>
      <c r="D39" s="156">
        <v>1</v>
      </c>
      <c r="E39" s="156">
        <v>1</v>
      </c>
      <c r="F39" s="156">
        <v>1</v>
      </c>
      <c r="G39" s="156">
        <v>1</v>
      </c>
      <c r="H39" s="156">
        <v>1</v>
      </c>
      <c r="I39" s="155">
        <v>0.99</v>
      </c>
      <c r="J39" s="155">
        <v>0.99</v>
      </c>
      <c r="K39" s="155">
        <v>0.98</v>
      </c>
      <c r="L39" s="155">
        <v>0.42</v>
      </c>
      <c r="M39" s="155">
        <v>0.69699999999999995</v>
      </c>
      <c r="N39" s="155">
        <v>0.53800000000000003</v>
      </c>
      <c r="O39" s="169">
        <v>0.65</v>
      </c>
      <c r="P39" s="155">
        <v>0.73</v>
      </c>
      <c r="Q39" s="155">
        <v>0.59</v>
      </c>
      <c r="R39" s="155">
        <v>0</v>
      </c>
      <c r="S39" s="155">
        <v>4.8000000000000001E-2</v>
      </c>
      <c r="T39" s="157">
        <v>0.2</v>
      </c>
      <c r="U39" s="155">
        <v>0.70199999999999996</v>
      </c>
      <c r="V39" s="155">
        <v>0.5</v>
      </c>
      <c r="W39" s="111">
        <f t="shared" si="0"/>
        <v>0.57392857142857145</v>
      </c>
      <c r="X39" s="192">
        <f t="shared" si="1"/>
        <v>0.86089285714285713</v>
      </c>
      <c r="Y39" s="7"/>
    </row>
    <row r="40" spans="1:1025" ht="20.25" customHeight="1" x14ac:dyDescent="0.25">
      <c r="A40" s="101">
        <v>33</v>
      </c>
      <c r="B40" s="182" t="s">
        <v>166</v>
      </c>
      <c r="C40" s="153">
        <v>1</v>
      </c>
      <c r="D40" s="153">
        <v>1</v>
      </c>
      <c r="E40" s="153">
        <v>1</v>
      </c>
      <c r="F40" s="153">
        <v>1</v>
      </c>
      <c r="G40" s="153">
        <v>1</v>
      </c>
      <c r="H40" s="153">
        <v>1</v>
      </c>
      <c r="I40" s="95">
        <v>0.98</v>
      </c>
      <c r="J40" s="95">
        <v>0.98</v>
      </c>
      <c r="K40" s="95">
        <v>0.97</v>
      </c>
      <c r="L40" s="95">
        <v>0.91</v>
      </c>
      <c r="M40" s="95">
        <v>0.51</v>
      </c>
      <c r="N40" s="170">
        <v>0.49199999999999999</v>
      </c>
      <c r="O40" s="170">
        <v>0.52</v>
      </c>
      <c r="P40" s="170">
        <v>0.55000000000000004</v>
      </c>
      <c r="Q40" s="95">
        <v>0.45</v>
      </c>
      <c r="R40" s="95">
        <v>0.35</v>
      </c>
      <c r="S40" s="95">
        <v>0.7</v>
      </c>
      <c r="T40" s="95">
        <v>0.5</v>
      </c>
      <c r="U40" s="95">
        <v>0.62</v>
      </c>
      <c r="V40" s="95">
        <v>1</v>
      </c>
      <c r="W40" s="111">
        <f t="shared" si="0"/>
        <v>0.68085714285714283</v>
      </c>
      <c r="X40" s="192">
        <f t="shared" si="1"/>
        <v>1.0212857142857144</v>
      </c>
      <c r="Y40" s="7"/>
    </row>
    <row r="41" spans="1:1025" ht="20.25" customHeight="1" x14ac:dyDescent="0.25">
      <c r="A41" s="101">
        <v>34</v>
      </c>
      <c r="B41" s="182" t="s">
        <v>167</v>
      </c>
      <c r="C41" s="153">
        <v>1</v>
      </c>
      <c r="D41" s="153">
        <v>1</v>
      </c>
      <c r="E41" s="153">
        <v>1</v>
      </c>
      <c r="F41" s="153">
        <v>1</v>
      </c>
      <c r="G41" s="153">
        <v>1</v>
      </c>
      <c r="H41" s="153">
        <v>1</v>
      </c>
      <c r="I41" s="95">
        <v>0.85699999999999998</v>
      </c>
      <c r="J41" s="95">
        <v>0.89</v>
      </c>
      <c r="K41" s="95">
        <v>0.97099999999999997</v>
      </c>
      <c r="L41" s="95">
        <v>0.6</v>
      </c>
      <c r="M41" s="95">
        <v>0.59</v>
      </c>
      <c r="N41" s="95">
        <v>0.55500000000000005</v>
      </c>
      <c r="O41" s="170">
        <v>0.56999999999999995</v>
      </c>
      <c r="P41" s="95">
        <v>0.5</v>
      </c>
      <c r="Q41" s="95">
        <v>0.3</v>
      </c>
      <c r="R41" s="95">
        <v>0.4</v>
      </c>
      <c r="S41" s="95">
        <v>0.65</v>
      </c>
      <c r="T41" s="95">
        <v>0.5</v>
      </c>
      <c r="U41" s="95">
        <v>0.35</v>
      </c>
      <c r="V41" s="95">
        <v>1</v>
      </c>
      <c r="W41" s="111">
        <f t="shared" si="0"/>
        <v>0.62378571428571428</v>
      </c>
      <c r="X41" s="192">
        <f t="shared" si="1"/>
        <v>0.93567857142857136</v>
      </c>
      <c r="Y41" s="7"/>
    </row>
    <row r="42" spans="1:1025" ht="20.25" customHeight="1" x14ac:dyDescent="0.25">
      <c r="A42" s="101">
        <v>35</v>
      </c>
      <c r="B42" s="182" t="s">
        <v>168</v>
      </c>
      <c r="C42" s="153">
        <v>1</v>
      </c>
      <c r="D42" s="153">
        <v>1</v>
      </c>
      <c r="E42" s="153">
        <v>1</v>
      </c>
      <c r="F42" s="153">
        <v>1</v>
      </c>
      <c r="G42" s="153">
        <v>1</v>
      </c>
      <c r="H42" s="153">
        <v>1</v>
      </c>
      <c r="I42" s="95">
        <v>0.92400000000000004</v>
      </c>
      <c r="J42" s="95">
        <v>0.91800000000000004</v>
      </c>
      <c r="K42" s="95">
        <v>0.94</v>
      </c>
      <c r="L42" s="95">
        <v>0.6</v>
      </c>
      <c r="M42" s="95">
        <v>0.62</v>
      </c>
      <c r="N42" s="95">
        <v>0.45</v>
      </c>
      <c r="O42" s="95">
        <v>0.49</v>
      </c>
      <c r="P42" s="95">
        <v>0.88</v>
      </c>
      <c r="Q42" s="95">
        <v>0.7</v>
      </c>
      <c r="R42" s="95">
        <v>0.5</v>
      </c>
      <c r="S42" s="95">
        <v>0.55000000000000004</v>
      </c>
      <c r="T42" s="95">
        <v>0.65</v>
      </c>
      <c r="U42" s="95">
        <v>0.65</v>
      </c>
      <c r="V42" s="170">
        <v>0</v>
      </c>
      <c r="W42" s="111">
        <f t="shared" si="0"/>
        <v>0.63371428571428567</v>
      </c>
      <c r="X42" s="192">
        <f t="shared" si="1"/>
        <v>0.95057142857142851</v>
      </c>
      <c r="Y42" s="7"/>
    </row>
    <row r="43" spans="1:1025" s="142" customFormat="1" ht="20.25" customHeight="1" x14ac:dyDescent="0.25">
      <c r="A43" s="154">
        <v>36</v>
      </c>
      <c r="B43" s="182" t="s">
        <v>169</v>
      </c>
      <c r="C43" s="156">
        <v>1</v>
      </c>
      <c r="D43" s="156">
        <v>1</v>
      </c>
      <c r="E43" s="156">
        <v>1</v>
      </c>
      <c r="F43" s="156">
        <v>1</v>
      </c>
      <c r="G43" s="156">
        <v>1</v>
      </c>
      <c r="H43" s="156">
        <v>1</v>
      </c>
      <c r="I43" s="155">
        <v>0.85799999999999998</v>
      </c>
      <c r="J43" s="155">
        <v>0.9</v>
      </c>
      <c r="K43" s="155">
        <v>0.98</v>
      </c>
      <c r="L43" s="95">
        <v>0.6</v>
      </c>
      <c r="M43" s="95">
        <v>0.65</v>
      </c>
      <c r="N43" s="95">
        <v>0.65</v>
      </c>
      <c r="O43" s="170">
        <v>0.76</v>
      </c>
      <c r="P43" s="95">
        <v>0.8</v>
      </c>
      <c r="Q43" s="95">
        <v>0.51100000000000001</v>
      </c>
      <c r="R43" s="95">
        <v>0.5</v>
      </c>
      <c r="S43" s="95">
        <v>0.53</v>
      </c>
      <c r="T43" s="155">
        <v>0.53</v>
      </c>
      <c r="U43" s="155">
        <v>0.214</v>
      </c>
      <c r="V43" s="155">
        <v>1</v>
      </c>
      <c r="W43" s="111">
        <f t="shared" si="0"/>
        <v>0.67735714285714288</v>
      </c>
      <c r="X43" s="192">
        <f t="shared" si="1"/>
        <v>1.0160357142857144</v>
      </c>
      <c r="Y43" s="141"/>
    </row>
    <row r="44" spans="1:1025" ht="20.25" customHeight="1" x14ac:dyDescent="0.25">
      <c r="A44" s="101">
        <v>37</v>
      </c>
      <c r="B44" s="182" t="s">
        <v>170</v>
      </c>
      <c r="C44" s="153">
        <v>1</v>
      </c>
      <c r="D44" s="153">
        <v>1</v>
      </c>
      <c r="E44" s="153">
        <v>1</v>
      </c>
      <c r="F44" s="153">
        <v>1</v>
      </c>
      <c r="G44" s="153">
        <v>1</v>
      </c>
      <c r="H44" s="153">
        <v>1</v>
      </c>
      <c r="I44" s="95">
        <v>0.96</v>
      </c>
      <c r="J44" s="95">
        <v>0.99</v>
      </c>
      <c r="K44" s="95">
        <v>1</v>
      </c>
      <c r="L44" s="95">
        <v>0.66</v>
      </c>
      <c r="M44" s="95">
        <v>0.96</v>
      </c>
      <c r="N44" s="95">
        <v>0.73</v>
      </c>
      <c r="O44" s="170">
        <v>0.86</v>
      </c>
      <c r="P44" s="95">
        <v>0.85</v>
      </c>
      <c r="Q44" s="95">
        <v>0.75</v>
      </c>
      <c r="R44" s="95">
        <v>0.7</v>
      </c>
      <c r="S44" s="95">
        <v>0.65</v>
      </c>
      <c r="T44" s="95">
        <v>0.80800000000000005</v>
      </c>
      <c r="U44" s="95">
        <v>0.75</v>
      </c>
      <c r="V44" s="95">
        <v>1</v>
      </c>
      <c r="W44" s="111">
        <f t="shared" si="0"/>
        <v>0.83342857142857152</v>
      </c>
      <c r="X44" s="192">
        <f t="shared" si="1"/>
        <v>1.2501428571428572</v>
      </c>
      <c r="Y44" s="7"/>
    </row>
    <row r="45" spans="1:1025" customFormat="1" ht="20.25" customHeight="1" x14ac:dyDescent="0.25">
      <c r="A45" s="165">
        <v>38</v>
      </c>
      <c r="B45" s="186" t="s">
        <v>171</v>
      </c>
      <c r="C45" s="166">
        <v>1</v>
      </c>
      <c r="D45" s="166">
        <v>1</v>
      </c>
      <c r="E45" s="166">
        <v>1</v>
      </c>
      <c r="F45" s="166">
        <v>1</v>
      </c>
      <c r="G45" s="166">
        <v>1</v>
      </c>
      <c r="H45" s="166">
        <v>1</v>
      </c>
      <c r="I45" s="167">
        <v>0.84</v>
      </c>
      <c r="J45" s="167">
        <v>0.93400000000000005</v>
      </c>
      <c r="K45" s="167">
        <v>0.99</v>
      </c>
      <c r="L45" s="167">
        <v>0.61</v>
      </c>
      <c r="M45" s="167">
        <v>0.53</v>
      </c>
      <c r="N45" s="168">
        <v>0.40200000000000002</v>
      </c>
      <c r="O45" s="380">
        <v>0.32</v>
      </c>
      <c r="P45" s="167">
        <v>0.55000000000000004</v>
      </c>
      <c r="Q45" s="167">
        <v>0.3</v>
      </c>
      <c r="R45" s="167">
        <v>5.0000000000000001E-3</v>
      </c>
      <c r="S45" s="167">
        <v>0.6</v>
      </c>
      <c r="T45" s="167">
        <v>0</v>
      </c>
      <c r="U45" s="167">
        <v>0.82399999999999995</v>
      </c>
      <c r="V45" s="167">
        <v>1</v>
      </c>
      <c r="W45" s="111">
        <f t="shared" si="0"/>
        <v>0.56464285714285711</v>
      </c>
      <c r="X45" s="192">
        <f t="shared" si="1"/>
        <v>0.84696428571428561</v>
      </c>
      <c r="Y45" s="146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  <c r="GK45" s="147"/>
      <c r="GL45" s="147"/>
      <c r="GM45" s="147"/>
      <c r="GN45" s="147"/>
      <c r="GO45" s="147"/>
      <c r="GP45" s="147"/>
      <c r="GQ45" s="147"/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  <c r="IA45" s="147"/>
      <c r="IB45" s="147"/>
      <c r="IC45" s="147"/>
      <c r="ID45" s="147"/>
      <c r="IE45" s="147"/>
      <c r="IF45" s="147"/>
      <c r="IG45" s="147"/>
      <c r="IH45" s="147"/>
      <c r="II45" s="147"/>
      <c r="IJ45" s="147"/>
      <c r="IK45" s="147"/>
      <c r="IL45" s="147"/>
      <c r="IM45" s="147"/>
      <c r="IN45" s="147"/>
      <c r="IO45" s="147"/>
      <c r="IP45" s="147"/>
      <c r="IQ45" s="147"/>
      <c r="IR45" s="147"/>
      <c r="IS45" s="147"/>
      <c r="IT45" s="147"/>
      <c r="IU45" s="147"/>
      <c r="IV45" s="147"/>
      <c r="IW45" s="147"/>
      <c r="IX45" s="147"/>
      <c r="IY45" s="147"/>
      <c r="IZ45" s="147"/>
      <c r="JA45" s="147"/>
      <c r="JB45" s="147"/>
      <c r="JC45" s="147"/>
      <c r="JD45" s="147"/>
      <c r="JE45" s="147"/>
      <c r="JF45" s="147"/>
      <c r="JG45" s="147"/>
      <c r="JH45" s="147"/>
      <c r="JI45" s="147"/>
      <c r="JJ45" s="147"/>
      <c r="JK45" s="147"/>
      <c r="JL45" s="147"/>
      <c r="JM45" s="147"/>
      <c r="JN45" s="147"/>
      <c r="JO45" s="147"/>
      <c r="JP45" s="147"/>
      <c r="JQ45" s="147"/>
      <c r="JR45" s="147"/>
      <c r="JS45" s="147"/>
      <c r="JT45" s="147"/>
      <c r="JU45" s="147"/>
      <c r="JV45" s="147"/>
      <c r="JW45" s="147"/>
      <c r="JX45" s="147"/>
      <c r="JY45" s="147"/>
      <c r="JZ45" s="147"/>
      <c r="KA45" s="147"/>
      <c r="KB45" s="147"/>
      <c r="KC45" s="147"/>
      <c r="KD45" s="147"/>
      <c r="KE45" s="147"/>
      <c r="KF45" s="147"/>
      <c r="KG45" s="147"/>
      <c r="KH45" s="147"/>
      <c r="KI45" s="147"/>
      <c r="KJ45" s="147"/>
      <c r="KK45" s="147"/>
      <c r="KL45" s="147"/>
      <c r="KM45" s="147"/>
      <c r="KN45" s="147"/>
      <c r="KO45" s="147"/>
      <c r="KP45" s="147"/>
      <c r="KQ45" s="147"/>
      <c r="KR45" s="147"/>
      <c r="KS45" s="147"/>
      <c r="KT45" s="147"/>
      <c r="KU45" s="147"/>
      <c r="KV45" s="147"/>
      <c r="KW45" s="147"/>
      <c r="KX45" s="147"/>
      <c r="KY45" s="147"/>
      <c r="KZ45" s="147"/>
      <c r="LA45" s="147"/>
      <c r="LB45" s="147"/>
      <c r="LC45" s="147"/>
      <c r="LD45" s="147"/>
      <c r="LE45" s="147"/>
      <c r="LF45" s="147"/>
      <c r="LG45" s="147"/>
      <c r="LH45" s="147"/>
      <c r="LI45" s="147"/>
      <c r="LJ45" s="147"/>
      <c r="LK45" s="147"/>
      <c r="LL45" s="147"/>
      <c r="LM45" s="147"/>
      <c r="LN45" s="147"/>
      <c r="LO45" s="147"/>
      <c r="LP45" s="147"/>
      <c r="LQ45" s="147"/>
      <c r="LR45" s="147"/>
      <c r="LS45" s="147"/>
      <c r="LT45" s="147"/>
      <c r="LU45" s="147"/>
      <c r="LV45" s="147"/>
      <c r="LW45" s="147"/>
      <c r="LX45" s="147"/>
      <c r="LY45" s="147"/>
      <c r="LZ45" s="147"/>
      <c r="MA45" s="147"/>
      <c r="MB45" s="147"/>
      <c r="MC45" s="147"/>
      <c r="MD45" s="147"/>
      <c r="ME45" s="147"/>
      <c r="MF45" s="147"/>
      <c r="MG45" s="147"/>
      <c r="MH45" s="147"/>
      <c r="MI45" s="147"/>
      <c r="MJ45" s="147"/>
      <c r="MK45" s="147"/>
      <c r="ML45" s="147"/>
      <c r="MM45" s="147"/>
      <c r="MN45" s="147"/>
      <c r="MO45" s="147"/>
      <c r="MP45" s="147"/>
      <c r="MQ45" s="147"/>
      <c r="MR45" s="147"/>
      <c r="MS45" s="147"/>
      <c r="MT45" s="147"/>
      <c r="MU45" s="147"/>
      <c r="MV45" s="147"/>
      <c r="MW45" s="147"/>
      <c r="MX45" s="147"/>
      <c r="MY45" s="147"/>
      <c r="MZ45" s="147"/>
      <c r="NA45" s="147"/>
      <c r="NB45" s="147"/>
      <c r="NC45" s="147"/>
      <c r="ND45" s="147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7"/>
      <c r="NS45" s="147"/>
      <c r="NT45" s="147"/>
      <c r="NU45" s="147"/>
      <c r="NV45" s="147"/>
      <c r="NW45" s="147"/>
      <c r="NX45" s="147"/>
      <c r="NY45" s="147"/>
      <c r="NZ45" s="147"/>
      <c r="OA45" s="147"/>
      <c r="OB45" s="147"/>
      <c r="OC45" s="147"/>
      <c r="OD45" s="147"/>
      <c r="OE45" s="147"/>
      <c r="OF45" s="147"/>
      <c r="OG45" s="147"/>
      <c r="OH45" s="147"/>
      <c r="OI45" s="147"/>
      <c r="OJ45" s="147"/>
      <c r="OK45" s="147"/>
      <c r="OL45" s="147"/>
      <c r="OM45" s="147"/>
      <c r="ON45" s="147"/>
      <c r="OO45" s="147"/>
      <c r="OP45" s="147"/>
      <c r="OQ45" s="147"/>
      <c r="OR45" s="147"/>
      <c r="OS45" s="147"/>
      <c r="OT45" s="147"/>
      <c r="OU45" s="147"/>
      <c r="OV45" s="147"/>
      <c r="OW45" s="147"/>
      <c r="OX45" s="147"/>
      <c r="OY45" s="147"/>
      <c r="OZ45" s="147"/>
      <c r="PA45" s="147"/>
      <c r="PB45" s="147"/>
      <c r="PC45" s="147"/>
      <c r="PD45" s="147"/>
      <c r="PE45" s="147"/>
      <c r="PF45" s="147"/>
      <c r="PG45" s="147"/>
      <c r="PH45" s="147"/>
      <c r="PI45" s="147"/>
      <c r="PJ45" s="147"/>
      <c r="PK45" s="147"/>
      <c r="PL45" s="147"/>
      <c r="PM45" s="147"/>
      <c r="PN45" s="147"/>
      <c r="PO45" s="147"/>
      <c r="PP45" s="147"/>
      <c r="PQ45" s="147"/>
      <c r="PR45" s="147"/>
      <c r="PS45" s="147"/>
      <c r="PT45" s="147"/>
      <c r="PU45" s="147"/>
      <c r="PV45" s="147"/>
      <c r="PW45" s="147"/>
      <c r="PX45" s="147"/>
      <c r="PY45" s="147"/>
      <c r="PZ45" s="147"/>
      <c r="QA45" s="147"/>
      <c r="QB45" s="147"/>
      <c r="QC45" s="147"/>
      <c r="QD45" s="147"/>
      <c r="QE45" s="147"/>
      <c r="QF45" s="147"/>
      <c r="QG45" s="147"/>
      <c r="QH45" s="147"/>
      <c r="QI45" s="147"/>
      <c r="QJ45" s="147"/>
      <c r="QK45" s="147"/>
      <c r="QL45" s="147"/>
      <c r="QM45" s="147"/>
      <c r="QN45" s="147"/>
      <c r="QO45" s="147"/>
      <c r="QP45" s="147"/>
      <c r="QQ45" s="147"/>
      <c r="QR45" s="147"/>
      <c r="QS45" s="147"/>
      <c r="QT45" s="147"/>
      <c r="QU45" s="147"/>
      <c r="QV45" s="147"/>
      <c r="QW45" s="147"/>
      <c r="QX45" s="147"/>
      <c r="QY45" s="147"/>
      <c r="QZ45" s="147"/>
      <c r="RA45" s="147"/>
      <c r="RB45" s="147"/>
      <c r="RC45" s="147"/>
      <c r="RD45" s="147"/>
      <c r="RE45" s="147"/>
      <c r="RF45" s="147"/>
      <c r="RG45" s="147"/>
      <c r="RH45" s="147"/>
      <c r="RI45" s="147"/>
      <c r="RJ45" s="147"/>
      <c r="RK45" s="147"/>
      <c r="RL45" s="147"/>
      <c r="RM45" s="147"/>
      <c r="RN45" s="147"/>
      <c r="RO45" s="147"/>
      <c r="RP45" s="147"/>
      <c r="RQ45" s="147"/>
      <c r="RR45" s="147"/>
      <c r="RS45" s="147"/>
      <c r="RT45" s="147"/>
      <c r="RU45" s="147"/>
      <c r="RV45" s="147"/>
      <c r="RW45" s="147"/>
      <c r="RX45" s="147"/>
      <c r="RY45" s="147"/>
      <c r="RZ45" s="147"/>
      <c r="SA45" s="147"/>
      <c r="SB45" s="147"/>
      <c r="SC45" s="147"/>
      <c r="SD45" s="147"/>
      <c r="SE45" s="147"/>
      <c r="SF45" s="147"/>
      <c r="SG45" s="147"/>
      <c r="SH45" s="147"/>
      <c r="SI45" s="147"/>
      <c r="SJ45" s="147"/>
      <c r="SK45" s="147"/>
      <c r="SL45" s="147"/>
      <c r="SM45" s="147"/>
      <c r="SN45" s="147"/>
      <c r="SO45" s="147"/>
      <c r="SP45" s="147"/>
      <c r="SQ45" s="147"/>
      <c r="SR45" s="147"/>
      <c r="SS45" s="147"/>
      <c r="ST45" s="147"/>
      <c r="SU45" s="147"/>
      <c r="SV45" s="147"/>
      <c r="SW45" s="147"/>
      <c r="SX45" s="147"/>
      <c r="SY45" s="147"/>
      <c r="SZ45" s="147"/>
      <c r="TA45" s="147"/>
      <c r="TB45" s="147"/>
      <c r="TC45" s="147"/>
      <c r="TD45" s="147"/>
      <c r="TE45" s="147"/>
      <c r="TF45" s="147"/>
      <c r="TG45" s="147"/>
      <c r="TH45" s="147"/>
      <c r="TI45" s="147"/>
      <c r="TJ45" s="147"/>
      <c r="TK45" s="147"/>
      <c r="TL45" s="147"/>
      <c r="TM45" s="147"/>
      <c r="TN45" s="147"/>
      <c r="TO45" s="147"/>
      <c r="TP45" s="147"/>
      <c r="TQ45" s="147"/>
      <c r="TR45" s="147"/>
      <c r="TS45" s="147"/>
      <c r="TT45" s="147"/>
      <c r="TU45" s="147"/>
      <c r="TV45" s="147"/>
      <c r="TW45" s="147"/>
      <c r="TX45" s="147"/>
      <c r="TY45" s="147"/>
      <c r="TZ45" s="147"/>
      <c r="UA45" s="147"/>
      <c r="UB45" s="147"/>
      <c r="UC45" s="147"/>
      <c r="UD45" s="147"/>
      <c r="UE45" s="147"/>
      <c r="UF45" s="147"/>
      <c r="UG45" s="147"/>
      <c r="UH45" s="147"/>
      <c r="UI45" s="147"/>
      <c r="UJ45" s="147"/>
      <c r="UK45" s="147"/>
      <c r="UL45" s="147"/>
      <c r="UM45" s="147"/>
      <c r="UN45" s="147"/>
      <c r="UO45" s="147"/>
      <c r="UP45" s="147"/>
      <c r="UQ45" s="147"/>
      <c r="UR45" s="147"/>
      <c r="US45" s="147"/>
      <c r="UT45" s="147"/>
      <c r="UU45" s="147"/>
      <c r="UV45" s="147"/>
      <c r="UW45" s="147"/>
      <c r="UX45" s="147"/>
      <c r="UY45" s="147"/>
      <c r="UZ45" s="147"/>
      <c r="VA45" s="147"/>
      <c r="VB45" s="147"/>
      <c r="VC45" s="147"/>
      <c r="VD45" s="147"/>
      <c r="VE45" s="147"/>
      <c r="VF45" s="147"/>
      <c r="VG45" s="147"/>
      <c r="VH45" s="147"/>
      <c r="VI45" s="147"/>
      <c r="VJ45" s="147"/>
      <c r="VK45" s="147"/>
      <c r="VL45" s="147"/>
      <c r="VM45" s="147"/>
      <c r="VN45" s="147"/>
      <c r="VO45" s="147"/>
      <c r="VP45" s="147"/>
      <c r="VQ45" s="147"/>
      <c r="VR45" s="147"/>
      <c r="VS45" s="147"/>
      <c r="VT45" s="147"/>
      <c r="VU45" s="147"/>
      <c r="VV45" s="147"/>
      <c r="VW45" s="147"/>
      <c r="VX45" s="147"/>
      <c r="VY45" s="147"/>
      <c r="VZ45" s="147"/>
      <c r="WA45" s="147"/>
      <c r="WB45" s="147"/>
      <c r="WC45" s="147"/>
      <c r="WD45" s="147"/>
      <c r="WE45" s="147"/>
      <c r="WF45" s="147"/>
      <c r="WG45" s="147"/>
      <c r="WH45" s="147"/>
      <c r="WI45" s="147"/>
      <c r="WJ45" s="147"/>
      <c r="WK45" s="147"/>
      <c r="WL45" s="147"/>
      <c r="WM45" s="147"/>
      <c r="WN45" s="147"/>
      <c r="WO45" s="147"/>
      <c r="WP45" s="147"/>
      <c r="WQ45" s="147"/>
      <c r="WR45" s="147"/>
      <c r="WS45" s="147"/>
      <c r="WT45" s="147"/>
      <c r="WU45" s="147"/>
      <c r="WV45" s="147"/>
      <c r="WW45" s="147"/>
      <c r="WX45" s="147"/>
      <c r="WY45" s="147"/>
      <c r="WZ45" s="147"/>
      <c r="XA45" s="147"/>
      <c r="XB45" s="147"/>
      <c r="XC45" s="147"/>
      <c r="XD45" s="147"/>
      <c r="XE45" s="147"/>
      <c r="XF45" s="147"/>
      <c r="XG45" s="147"/>
      <c r="XH45" s="147"/>
      <c r="XI45" s="147"/>
      <c r="XJ45" s="147"/>
      <c r="XK45" s="147"/>
      <c r="XL45" s="147"/>
      <c r="XM45" s="147"/>
      <c r="XN45" s="147"/>
      <c r="XO45" s="147"/>
      <c r="XP45" s="147"/>
      <c r="XQ45" s="147"/>
      <c r="XR45" s="147"/>
      <c r="XS45" s="147"/>
      <c r="XT45" s="147"/>
      <c r="XU45" s="147"/>
      <c r="XV45" s="147"/>
      <c r="XW45" s="147"/>
      <c r="XX45" s="147"/>
      <c r="XY45" s="147"/>
      <c r="XZ45" s="147"/>
      <c r="YA45" s="147"/>
      <c r="YB45" s="147"/>
      <c r="YC45" s="147"/>
      <c r="YD45" s="147"/>
      <c r="YE45" s="147"/>
      <c r="YF45" s="147"/>
      <c r="YG45" s="147"/>
      <c r="YH45" s="147"/>
      <c r="YI45" s="147"/>
      <c r="YJ45" s="147"/>
      <c r="YK45" s="147"/>
      <c r="YL45" s="147"/>
      <c r="YM45" s="147"/>
      <c r="YN45" s="147"/>
      <c r="YO45" s="147"/>
      <c r="YP45" s="147"/>
      <c r="YQ45" s="147"/>
      <c r="YR45" s="147"/>
      <c r="YS45" s="147"/>
      <c r="YT45" s="147"/>
      <c r="YU45" s="147"/>
      <c r="YV45" s="147"/>
      <c r="YW45" s="147"/>
      <c r="YX45" s="147"/>
      <c r="YY45" s="147"/>
      <c r="YZ45" s="147"/>
      <c r="ZA45" s="147"/>
      <c r="ZB45" s="147"/>
      <c r="ZC45" s="147"/>
      <c r="ZD45" s="147"/>
      <c r="ZE45" s="147"/>
      <c r="ZF45" s="147"/>
      <c r="ZG45" s="147"/>
      <c r="ZH45" s="147"/>
      <c r="ZI45" s="147"/>
      <c r="ZJ45" s="147"/>
      <c r="ZK45" s="147"/>
      <c r="ZL45" s="147"/>
      <c r="ZM45" s="147"/>
      <c r="ZN45" s="147"/>
      <c r="ZO45" s="147"/>
      <c r="ZP45" s="147"/>
      <c r="ZQ45" s="147"/>
      <c r="ZR45" s="147"/>
      <c r="ZS45" s="147"/>
      <c r="ZT45" s="147"/>
      <c r="ZU45" s="147"/>
      <c r="ZV45" s="147"/>
      <c r="ZW45" s="147"/>
      <c r="ZX45" s="147"/>
      <c r="ZY45" s="147"/>
      <c r="ZZ45" s="147"/>
      <c r="AAA45" s="147"/>
      <c r="AAB45" s="147"/>
      <c r="AAC45" s="147"/>
      <c r="AAD45" s="147"/>
      <c r="AAE45" s="147"/>
      <c r="AAF45" s="147"/>
      <c r="AAG45" s="147"/>
      <c r="AAH45" s="147"/>
      <c r="AAI45" s="147"/>
      <c r="AAJ45" s="147"/>
      <c r="AAK45" s="147"/>
      <c r="AAL45" s="147"/>
      <c r="AAM45" s="147"/>
      <c r="AAN45" s="147"/>
      <c r="AAO45" s="147"/>
      <c r="AAP45" s="147"/>
      <c r="AAQ45" s="147"/>
      <c r="AAR45" s="147"/>
      <c r="AAS45" s="147"/>
      <c r="AAT45" s="147"/>
      <c r="AAU45" s="147"/>
      <c r="AAV45" s="147"/>
      <c r="AAW45" s="147"/>
      <c r="AAX45" s="147"/>
      <c r="AAY45" s="147"/>
      <c r="AAZ45" s="147"/>
      <c r="ABA45" s="147"/>
      <c r="ABB45" s="147"/>
      <c r="ABC45" s="147"/>
      <c r="ABD45" s="147"/>
      <c r="ABE45" s="147"/>
      <c r="ABF45" s="147"/>
      <c r="ABG45" s="147"/>
      <c r="ABH45" s="147"/>
      <c r="ABI45" s="147"/>
      <c r="ABJ45" s="147"/>
      <c r="ABK45" s="147"/>
      <c r="ABL45" s="147"/>
      <c r="ABM45" s="147"/>
      <c r="ABN45" s="147"/>
      <c r="ABO45" s="147"/>
      <c r="ABP45" s="147"/>
      <c r="ABQ45" s="147"/>
      <c r="ABR45" s="147"/>
      <c r="ABS45" s="147"/>
      <c r="ABT45" s="147"/>
      <c r="ABU45" s="147"/>
      <c r="ABV45" s="147"/>
      <c r="ABW45" s="147"/>
      <c r="ABX45" s="147"/>
      <c r="ABY45" s="147"/>
      <c r="ABZ45" s="147"/>
      <c r="ACA45" s="147"/>
      <c r="ACB45" s="147"/>
      <c r="ACC45" s="147"/>
      <c r="ACD45" s="147"/>
      <c r="ACE45" s="147"/>
      <c r="ACF45" s="147"/>
      <c r="ACG45" s="147"/>
      <c r="ACH45" s="147"/>
      <c r="ACI45" s="147"/>
      <c r="ACJ45" s="147"/>
      <c r="ACK45" s="147"/>
      <c r="ACL45" s="147"/>
      <c r="ACM45" s="147"/>
      <c r="ACN45" s="147"/>
      <c r="ACO45" s="147"/>
      <c r="ACP45" s="147"/>
      <c r="ACQ45" s="147"/>
      <c r="ACR45" s="147"/>
      <c r="ACS45" s="147"/>
      <c r="ACT45" s="147"/>
      <c r="ACU45" s="147"/>
      <c r="ACV45" s="147"/>
      <c r="ACW45" s="147"/>
      <c r="ACX45" s="147"/>
      <c r="ACY45" s="147"/>
      <c r="ACZ45" s="147"/>
      <c r="ADA45" s="147"/>
      <c r="ADB45" s="147"/>
      <c r="ADC45" s="147"/>
      <c r="ADD45" s="147"/>
      <c r="ADE45" s="147"/>
      <c r="ADF45" s="147"/>
      <c r="ADG45" s="147"/>
      <c r="ADH45" s="147"/>
      <c r="ADI45" s="147"/>
      <c r="ADJ45" s="147"/>
      <c r="ADK45" s="147"/>
      <c r="ADL45" s="147"/>
      <c r="ADM45" s="147"/>
      <c r="ADN45" s="147"/>
      <c r="ADO45" s="147"/>
      <c r="ADP45" s="147"/>
      <c r="ADQ45" s="147"/>
      <c r="ADR45" s="147"/>
      <c r="ADS45" s="147"/>
      <c r="ADT45" s="147"/>
      <c r="ADU45" s="147"/>
      <c r="ADV45" s="147"/>
      <c r="ADW45" s="147"/>
      <c r="ADX45" s="147"/>
      <c r="ADY45" s="147"/>
      <c r="ADZ45" s="147"/>
      <c r="AEA45" s="147"/>
      <c r="AEB45" s="147"/>
      <c r="AEC45" s="147"/>
      <c r="AED45" s="147"/>
      <c r="AEE45" s="147"/>
      <c r="AEF45" s="147"/>
      <c r="AEG45" s="147"/>
      <c r="AEH45" s="147"/>
      <c r="AEI45" s="147"/>
      <c r="AEJ45" s="147"/>
      <c r="AEK45" s="147"/>
      <c r="AEL45" s="147"/>
      <c r="AEM45" s="147"/>
      <c r="AEN45" s="147"/>
      <c r="AEO45" s="147"/>
      <c r="AEP45" s="147"/>
      <c r="AEQ45" s="147"/>
      <c r="AER45" s="147"/>
      <c r="AES45" s="147"/>
      <c r="AET45" s="147"/>
      <c r="AEU45" s="147"/>
      <c r="AEV45" s="147"/>
      <c r="AEW45" s="147"/>
      <c r="AEX45" s="147"/>
      <c r="AEY45" s="147"/>
      <c r="AEZ45" s="147"/>
      <c r="AFA45" s="147"/>
      <c r="AFB45" s="147"/>
      <c r="AFC45" s="147"/>
      <c r="AFD45" s="147"/>
      <c r="AFE45" s="147"/>
      <c r="AFF45" s="147"/>
      <c r="AFG45" s="147"/>
      <c r="AFH45" s="147"/>
      <c r="AFI45" s="147"/>
      <c r="AFJ45" s="147"/>
      <c r="AFK45" s="147"/>
      <c r="AFL45" s="147"/>
      <c r="AFM45" s="147"/>
      <c r="AFN45" s="147"/>
      <c r="AFO45" s="147"/>
      <c r="AFP45" s="147"/>
      <c r="AFQ45" s="147"/>
      <c r="AFR45" s="147"/>
      <c r="AFS45" s="147"/>
      <c r="AFT45" s="147"/>
      <c r="AFU45" s="147"/>
      <c r="AFV45" s="147"/>
      <c r="AFW45" s="147"/>
      <c r="AFX45" s="147"/>
      <c r="AFY45" s="147"/>
      <c r="AFZ45" s="147"/>
      <c r="AGA45" s="147"/>
      <c r="AGB45" s="147"/>
      <c r="AGC45" s="147"/>
      <c r="AGD45" s="147"/>
      <c r="AGE45" s="147"/>
      <c r="AGF45" s="147"/>
      <c r="AGG45" s="147"/>
      <c r="AGH45" s="147"/>
      <c r="AGI45" s="147"/>
      <c r="AGJ45" s="147"/>
      <c r="AGK45" s="147"/>
      <c r="AGL45" s="147"/>
      <c r="AGM45" s="147"/>
      <c r="AGN45" s="147"/>
      <c r="AGO45" s="147"/>
      <c r="AGP45" s="147"/>
      <c r="AGQ45" s="147"/>
      <c r="AGR45" s="147"/>
      <c r="AGS45" s="147"/>
      <c r="AGT45" s="147"/>
      <c r="AGU45" s="147"/>
      <c r="AGV45" s="147"/>
      <c r="AGW45" s="147"/>
      <c r="AGX45" s="147"/>
      <c r="AGY45" s="147"/>
      <c r="AGZ45" s="147"/>
      <c r="AHA45" s="147"/>
      <c r="AHB45" s="147"/>
      <c r="AHC45" s="147"/>
      <c r="AHD45" s="147"/>
      <c r="AHE45" s="147"/>
      <c r="AHF45" s="147"/>
      <c r="AHG45" s="147"/>
      <c r="AHH45" s="147"/>
      <c r="AHI45" s="147"/>
      <c r="AHJ45" s="147"/>
      <c r="AHK45" s="147"/>
      <c r="AHL45" s="147"/>
      <c r="AHM45" s="147"/>
      <c r="AHN45" s="147"/>
      <c r="AHO45" s="147"/>
      <c r="AHP45" s="147"/>
      <c r="AHQ45" s="147"/>
      <c r="AHR45" s="147"/>
      <c r="AHS45" s="147"/>
      <c r="AHT45" s="147"/>
      <c r="AHU45" s="147"/>
      <c r="AHV45" s="147"/>
      <c r="AHW45" s="147"/>
      <c r="AHX45" s="147"/>
      <c r="AHY45" s="147"/>
      <c r="AHZ45" s="147"/>
      <c r="AIA45" s="147"/>
      <c r="AIB45" s="147"/>
      <c r="AIC45" s="147"/>
      <c r="AID45" s="147"/>
      <c r="AIE45" s="147"/>
      <c r="AIF45" s="147"/>
      <c r="AIG45" s="147"/>
      <c r="AIH45" s="147"/>
      <c r="AII45" s="147"/>
      <c r="AIJ45" s="147"/>
      <c r="AIK45" s="147"/>
      <c r="AIL45" s="147"/>
      <c r="AIM45" s="147"/>
      <c r="AIN45" s="147"/>
      <c r="AIO45" s="147"/>
      <c r="AIP45" s="147"/>
      <c r="AIQ45" s="147"/>
      <c r="AIR45" s="147"/>
      <c r="AIS45" s="147"/>
      <c r="AIT45" s="147"/>
      <c r="AIU45" s="147"/>
      <c r="AIV45" s="147"/>
      <c r="AIW45" s="147"/>
      <c r="AIX45" s="147"/>
      <c r="AIY45" s="147"/>
      <c r="AIZ45" s="147"/>
      <c r="AJA45" s="147"/>
      <c r="AJB45" s="147"/>
      <c r="AJC45" s="147"/>
      <c r="AJD45" s="147"/>
      <c r="AJE45" s="147"/>
      <c r="AJF45" s="147"/>
      <c r="AJG45" s="147"/>
      <c r="AJH45" s="147"/>
      <c r="AJI45" s="147"/>
      <c r="AJJ45" s="147"/>
      <c r="AJK45" s="147"/>
      <c r="AJL45" s="147"/>
      <c r="AJM45" s="147"/>
      <c r="AJN45" s="147"/>
      <c r="AJO45" s="147"/>
      <c r="AJP45" s="147"/>
      <c r="AJQ45" s="147"/>
      <c r="AJR45" s="147"/>
      <c r="AJS45" s="147"/>
      <c r="AJT45" s="147"/>
      <c r="AJU45" s="147"/>
      <c r="AJV45" s="147"/>
      <c r="AJW45" s="147"/>
      <c r="AJX45" s="147"/>
      <c r="AJY45" s="147"/>
      <c r="AJZ45" s="147"/>
      <c r="AKA45" s="147"/>
      <c r="AKB45" s="147"/>
      <c r="AKC45" s="147"/>
      <c r="AKD45" s="147"/>
      <c r="AKE45" s="147"/>
      <c r="AKF45" s="147"/>
      <c r="AKG45" s="147"/>
      <c r="AKH45" s="147"/>
      <c r="AKI45" s="147"/>
      <c r="AKJ45" s="147"/>
      <c r="AKK45" s="147"/>
      <c r="AKL45" s="147"/>
      <c r="AKM45" s="147"/>
      <c r="AKN45" s="147"/>
      <c r="AKO45" s="147"/>
      <c r="AKP45" s="147"/>
      <c r="AKQ45" s="147"/>
      <c r="AKR45" s="147"/>
      <c r="AKS45" s="147"/>
      <c r="AKT45" s="147"/>
      <c r="AKU45" s="147"/>
      <c r="AKV45" s="147"/>
      <c r="AKW45" s="147"/>
      <c r="AKX45" s="147"/>
      <c r="AKY45" s="147"/>
      <c r="AKZ45" s="147"/>
      <c r="ALA45" s="147"/>
      <c r="ALB45" s="147"/>
      <c r="ALC45" s="147"/>
      <c r="ALD45" s="147"/>
      <c r="ALE45" s="147"/>
      <c r="ALF45" s="147"/>
      <c r="ALG45" s="147"/>
      <c r="ALH45" s="147"/>
      <c r="ALI45" s="147"/>
      <c r="ALJ45" s="147"/>
      <c r="ALK45" s="147"/>
      <c r="ALL45" s="147"/>
      <c r="ALM45" s="147"/>
      <c r="ALN45" s="147"/>
      <c r="ALO45" s="147"/>
      <c r="ALP45" s="147"/>
      <c r="ALQ45" s="147"/>
      <c r="ALR45" s="147"/>
      <c r="ALS45" s="147"/>
      <c r="ALT45" s="147"/>
      <c r="ALU45" s="147"/>
      <c r="ALV45" s="147"/>
      <c r="ALW45" s="147"/>
      <c r="ALX45" s="147"/>
      <c r="ALY45" s="147"/>
      <c r="ALZ45" s="147"/>
      <c r="AMA45" s="147"/>
      <c r="AMB45" s="147"/>
      <c r="AMC45" s="147"/>
      <c r="AMD45" s="147"/>
      <c r="AME45" s="147"/>
      <c r="AMF45" s="147"/>
      <c r="AMG45" s="147"/>
      <c r="AMH45" s="147"/>
      <c r="AMI45" s="147"/>
      <c r="AMJ45" s="147"/>
      <c r="AMK45" s="147"/>
    </row>
    <row r="46" spans="1:1025" ht="31.15" customHeight="1" thickBot="1" x14ac:dyDescent="0.3">
      <c r="A46" s="588" t="s">
        <v>118</v>
      </c>
      <c r="B46" s="589"/>
      <c r="C46" s="193">
        <f>SUM(C8:C45)</f>
        <v>38</v>
      </c>
      <c r="D46" s="401">
        <f t="shared" ref="D46:H46" si="2">SUM(D8:D45)</f>
        <v>38</v>
      </c>
      <c r="E46" s="401">
        <f t="shared" si="2"/>
        <v>36</v>
      </c>
      <c r="F46" s="401">
        <f t="shared" si="2"/>
        <v>38</v>
      </c>
      <c r="G46" s="401">
        <f t="shared" si="2"/>
        <v>38</v>
      </c>
      <c r="H46" s="401">
        <f t="shared" si="2"/>
        <v>34</v>
      </c>
      <c r="I46" s="194">
        <f>AVERAGE(I8:I45)</f>
        <v>0.9543421052631581</v>
      </c>
      <c r="J46" s="194">
        <f t="shared" ref="J46:V46" si="3">AVERAGE(J8:J45)</f>
        <v>0.95542105263157873</v>
      </c>
      <c r="K46" s="194">
        <f t="shared" si="3"/>
        <v>0.9564166666666668</v>
      </c>
      <c r="L46" s="194">
        <f t="shared" si="3"/>
        <v>0.62002702702702706</v>
      </c>
      <c r="M46" s="194">
        <f t="shared" si="3"/>
        <v>0.65981578947368436</v>
      </c>
      <c r="N46" s="194">
        <f t="shared" si="3"/>
        <v>0.52215789473684215</v>
      </c>
      <c r="O46" s="194">
        <f t="shared" si="3"/>
        <v>0.58652631578947356</v>
      </c>
      <c r="P46" s="194">
        <f t="shared" si="3"/>
        <v>0.69639473684210551</v>
      </c>
      <c r="Q46" s="194">
        <f t="shared" si="3"/>
        <v>0.56328947368421045</v>
      </c>
      <c r="R46" s="194">
        <f t="shared" si="3"/>
        <v>0.45928947368421041</v>
      </c>
      <c r="S46" s="194">
        <f t="shared" si="3"/>
        <v>0.61944736842105252</v>
      </c>
      <c r="T46" s="194">
        <f t="shared" si="3"/>
        <v>0.45797368421052637</v>
      </c>
      <c r="U46" s="194">
        <f t="shared" si="3"/>
        <v>0.5676842105263159</v>
      </c>
      <c r="V46" s="194">
        <f t="shared" si="3"/>
        <v>0.77631578947368418</v>
      </c>
      <c r="W46" s="194">
        <f>AVERAGE(W8:W45)</f>
        <v>0.66924117987275877</v>
      </c>
      <c r="X46" s="195">
        <f>AVERAGE(X8:X45)</f>
        <v>1.0038617698091381</v>
      </c>
      <c r="Y46" s="7"/>
    </row>
    <row r="48" spans="1:1025" ht="15.75" thickBot="1" x14ac:dyDescent="0.3"/>
    <row r="49" spans="1:25" ht="31.5" customHeight="1" x14ac:dyDescent="0.25">
      <c r="A49" s="196">
        <v>1</v>
      </c>
      <c r="B49" s="197" t="s">
        <v>174</v>
      </c>
      <c r="C49" s="198">
        <v>1</v>
      </c>
      <c r="D49" s="198"/>
      <c r="E49" s="198"/>
      <c r="F49" s="198">
        <v>1</v>
      </c>
      <c r="G49" s="198"/>
      <c r="H49" s="198"/>
      <c r="I49" s="199">
        <v>0.95699999999999996</v>
      </c>
      <c r="J49" s="199"/>
      <c r="K49" s="199"/>
      <c r="L49" s="199">
        <v>0.85</v>
      </c>
      <c r="M49" s="199"/>
      <c r="N49" s="199"/>
      <c r="O49" s="199"/>
      <c r="P49" s="199"/>
      <c r="Q49" s="199"/>
      <c r="R49" s="199"/>
      <c r="S49" s="199">
        <v>0.8</v>
      </c>
      <c r="T49" s="199">
        <v>0.5</v>
      </c>
      <c r="U49" s="199">
        <v>0.9</v>
      </c>
      <c r="V49" s="199">
        <v>0</v>
      </c>
      <c r="W49" s="111">
        <f>AVERAGE(I49:V49)</f>
        <v>0.66783333333333339</v>
      </c>
      <c r="X49" s="192">
        <f t="shared" ref="X49:X51" si="4">W49*1.5</f>
        <v>1.0017500000000001</v>
      </c>
      <c r="Y49" s="7"/>
    </row>
    <row r="50" spans="1:25" ht="29.25" customHeight="1" x14ac:dyDescent="0.25">
      <c r="A50" s="23">
        <v>2</v>
      </c>
      <c r="B50" s="26" t="s">
        <v>175</v>
      </c>
      <c r="C50" s="44">
        <v>1</v>
      </c>
      <c r="D50" s="44"/>
      <c r="E50" s="44"/>
      <c r="F50" s="44">
        <v>1</v>
      </c>
      <c r="G50" s="44"/>
      <c r="H50" s="44"/>
      <c r="I50" s="41">
        <v>0.98</v>
      </c>
      <c r="J50" s="41"/>
      <c r="K50" s="41"/>
      <c r="L50" s="41">
        <v>0.72</v>
      </c>
      <c r="M50" s="41"/>
      <c r="N50" s="41"/>
      <c r="O50" s="41"/>
      <c r="P50" s="41"/>
      <c r="Q50" s="41"/>
      <c r="R50" s="41"/>
      <c r="S50" s="41">
        <v>0.55000000000000004</v>
      </c>
      <c r="T50" s="45">
        <v>0.3</v>
      </c>
      <c r="U50" s="41">
        <v>0.8</v>
      </c>
      <c r="V50" s="41">
        <v>0</v>
      </c>
      <c r="W50" s="111">
        <f t="shared" ref="W50:W51" si="5">AVERAGE(I50:V50)</f>
        <v>0.55833333333333324</v>
      </c>
      <c r="X50" s="192">
        <f t="shared" si="4"/>
        <v>0.83749999999999991</v>
      </c>
      <c r="Y50" s="7"/>
    </row>
    <row r="51" spans="1:25" ht="20.25" customHeight="1" x14ac:dyDescent="0.25">
      <c r="A51" s="23">
        <v>3</v>
      </c>
      <c r="B51" s="26" t="s">
        <v>176</v>
      </c>
      <c r="C51" s="40">
        <v>1</v>
      </c>
      <c r="D51" s="40"/>
      <c r="E51" s="40"/>
      <c r="F51" s="40">
        <v>1</v>
      </c>
      <c r="G51" s="40"/>
      <c r="H51" s="40"/>
      <c r="I51" s="92">
        <v>0.69</v>
      </c>
      <c r="J51" s="92"/>
      <c r="K51" s="92"/>
      <c r="L51" s="92">
        <v>0.69</v>
      </c>
      <c r="M51" s="92"/>
      <c r="N51" s="92"/>
      <c r="O51" s="92"/>
      <c r="P51" s="92"/>
      <c r="Q51" s="92"/>
      <c r="R51" s="92"/>
      <c r="S51" s="92">
        <v>0.85</v>
      </c>
      <c r="T51" s="92">
        <v>0.65</v>
      </c>
      <c r="U51" s="92">
        <v>0.85</v>
      </c>
      <c r="V51" s="92">
        <v>1</v>
      </c>
      <c r="W51" s="111">
        <f t="shared" si="5"/>
        <v>0.78833333333333344</v>
      </c>
      <c r="X51" s="192">
        <f t="shared" si="4"/>
        <v>1.1825000000000001</v>
      </c>
      <c r="Y51" s="7"/>
    </row>
    <row r="52" spans="1:25" ht="31.15" customHeight="1" thickBot="1" x14ac:dyDescent="0.3">
      <c r="A52" s="586" t="s">
        <v>118</v>
      </c>
      <c r="B52" s="587"/>
      <c r="C52" s="401">
        <f>SUM(C49:C51)</f>
        <v>3</v>
      </c>
      <c r="D52" s="201"/>
      <c r="E52" s="201"/>
      <c r="F52" s="401">
        <f>SUM(F49:F51)</f>
        <v>3</v>
      </c>
      <c r="G52" s="201"/>
      <c r="H52" s="201"/>
      <c r="I52" s="202">
        <f>AVERAGE(I49:I51)</f>
        <v>0.87566666666666659</v>
      </c>
      <c r="J52" s="202"/>
      <c r="K52" s="202"/>
      <c r="L52" s="202">
        <f>AVERAGE(L49:L51)</f>
        <v>0.7533333333333333</v>
      </c>
      <c r="M52" s="202"/>
      <c r="N52" s="202"/>
      <c r="O52" s="202"/>
      <c r="P52" s="202"/>
      <c r="Q52" s="202"/>
      <c r="R52" s="202"/>
      <c r="S52" s="202">
        <f t="shared" ref="S52:X52" si="6">AVERAGE(S49:S51)</f>
        <v>0.73333333333333339</v>
      </c>
      <c r="T52" s="202">
        <f t="shared" si="6"/>
        <v>0.48333333333333339</v>
      </c>
      <c r="U52" s="202">
        <f t="shared" si="6"/>
        <v>0.85000000000000009</v>
      </c>
      <c r="V52" s="202">
        <f t="shared" si="6"/>
        <v>0.33333333333333331</v>
      </c>
      <c r="W52" s="202">
        <f t="shared" si="6"/>
        <v>0.67149999999999999</v>
      </c>
      <c r="X52" s="195">
        <f t="shared" si="6"/>
        <v>1.00725</v>
      </c>
      <c r="Y52" s="7"/>
    </row>
    <row r="59" spans="1:25" ht="15.75" thickBot="1" x14ac:dyDescent="0.3">
      <c r="G59" s="25"/>
    </row>
  </sheetData>
  <sheetProtection algorithmName="SHA-512" hashValue="uWHsxqAFbxlBig4qerzrwvedB69ZaI6R1/qByz5Uo8AtH0wtu8StlhLvfWLLnDZNj2n9bScL6nsxm4oLjTmx7A==" saltValue="sHUs/x9iQkDjV32Pm1eFjQ==" spinCount="100000" sheet="1" objects="1" selectLockedCells="1" selectUnlockedCells="1"/>
  <sortState ref="B8:B45">
    <sortCondition ref="B45"/>
  </sortState>
  <mergeCells count="14">
    <mergeCell ref="A52:B52"/>
    <mergeCell ref="A46:B46"/>
    <mergeCell ref="V5:V7"/>
    <mergeCell ref="U5:U7"/>
    <mergeCell ref="A1:W1"/>
    <mergeCell ref="A2:W2"/>
    <mergeCell ref="A3:W3"/>
    <mergeCell ref="A5:A7"/>
    <mergeCell ref="B5:B7"/>
    <mergeCell ref="C5:E6"/>
    <mergeCell ref="F5:H6"/>
    <mergeCell ref="I5:K5"/>
    <mergeCell ref="L5:Q5"/>
    <mergeCell ref="S5:T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Width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Y51"/>
  <sheetViews>
    <sheetView zoomScale="70" zoomScaleNormal="70" workbookViewId="0">
      <pane xSplit="2" topLeftCell="C1" activePane="topRight" state="frozen"/>
      <selection activeCell="B38" sqref="B38"/>
      <selection pane="topRight" activeCell="B38" sqref="B38"/>
    </sheetView>
  </sheetViews>
  <sheetFormatPr defaultRowHeight="15" x14ac:dyDescent="0.25"/>
  <cols>
    <col min="2" max="2" width="40" style="245" customWidth="1"/>
    <col min="3" max="3" width="27.7109375" customWidth="1"/>
    <col min="4" max="4" width="7.42578125" customWidth="1"/>
    <col min="5" max="5" width="22.140625" customWidth="1"/>
    <col min="6" max="6" width="25.42578125" customWidth="1"/>
    <col min="7" max="7" width="7.42578125" customWidth="1"/>
    <col min="8" max="8" width="29.7109375" customWidth="1"/>
    <col min="9" max="9" width="27.28515625" customWidth="1"/>
    <col min="10" max="10" width="7.42578125" customWidth="1"/>
    <col min="11" max="11" width="25.28515625" customWidth="1"/>
    <col min="12" max="12" width="9.140625" style="207"/>
  </cols>
  <sheetData>
    <row r="2" spans="1:25" ht="15.75" x14ac:dyDescent="0.25">
      <c r="A2" s="601" t="s">
        <v>273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208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5.75" thickBot="1" x14ac:dyDescent="0.3"/>
    <row r="4" spans="1:25" ht="15" customHeight="1" x14ac:dyDescent="0.25">
      <c r="A4" s="604" t="s">
        <v>3</v>
      </c>
      <c r="B4" s="607" t="s">
        <v>4</v>
      </c>
      <c r="C4" s="611" t="s">
        <v>78</v>
      </c>
      <c r="D4" s="611"/>
      <c r="E4" s="611"/>
      <c r="F4" s="611"/>
      <c r="G4" s="611"/>
      <c r="H4" s="611"/>
      <c r="I4" s="611"/>
      <c r="J4" s="611"/>
      <c r="K4" s="612"/>
      <c r="L4" s="598" t="s">
        <v>341</v>
      </c>
    </row>
    <row r="5" spans="1:25" x14ac:dyDescent="0.25">
      <c r="A5" s="605"/>
      <c r="B5" s="608"/>
      <c r="C5" s="612" t="s">
        <v>80</v>
      </c>
      <c r="D5" s="613"/>
      <c r="E5" s="614"/>
      <c r="F5" s="612" t="s">
        <v>209</v>
      </c>
      <c r="G5" s="613"/>
      <c r="H5" s="614"/>
      <c r="I5" s="612" t="s">
        <v>210</v>
      </c>
      <c r="J5" s="613"/>
      <c r="K5" s="613"/>
      <c r="L5" s="599"/>
    </row>
    <row r="6" spans="1:25" ht="64.5" thickBot="1" x14ac:dyDescent="0.3">
      <c r="A6" s="606"/>
      <c r="B6" s="609"/>
      <c r="C6" s="173" t="s">
        <v>280</v>
      </c>
      <c r="D6" s="32" t="s">
        <v>283</v>
      </c>
      <c r="E6" s="173" t="s">
        <v>212</v>
      </c>
      <c r="F6" s="173" t="s">
        <v>281</v>
      </c>
      <c r="G6" s="32" t="s">
        <v>283</v>
      </c>
      <c r="H6" s="173" t="s">
        <v>213</v>
      </c>
      <c r="I6" s="173" t="s">
        <v>282</v>
      </c>
      <c r="J6" s="32" t="s">
        <v>283</v>
      </c>
      <c r="K6" s="174" t="s">
        <v>214</v>
      </c>
      <c r="L6" s="600"/>
    </row>
    <row r="7" spans="1:25" ht="16.5" thickBot="1" x14ac:dyDescent="0.3">
      <c r="A7" s="6">
        <v>1</v>
      </c>
      <c r="B7" s="26" t="s">
        <v>139</v>
      </c>
      <c r="C7" s="408">
        <v>0</v>
      </c>
      <c r="D7" s="408">
        <v>0</v>
      </c>
      <c r="E7" s="203">
        <v>0</v>
      </c>
      <c r="F7" s="408">
        <v>0</v>
      </c>
      <c r="G7" s="408">
        <v>0</v>
      </c>
      <c r="H7" s="203">
        <v>0</v>
      </c>
      <c r="I7" s="408">
        <v>0</v>
      </c>
      <c r="J7" s="408">
        <v>0</v>
      </c>
      <c r="K7" s="203">
        <v>0</v>
      </c>
      <c r="L7" s="209">
        <v>0</v>
      </c>
    </row>
    <row r="8" spans="1:25" s="551" customFormat="1" ht="16.5" thickBot="1" x14ac:dyDescent="0.3">
      <c r="A8" s="548">
        <v>2</v>
      </c>
      <c r="B8" s="102" t="s">
        <v>140</v>
      </c>
      <c r="C8" s="408">
        <v>2</v>
      </c>
      <c r="D8" s="408">
        <v>1</v>
      </c>
      <c r="E8" s="203">
        <f t="shared" ref="E8:E44" si="0">D8/C8</f>
        <v>0.5</v>
      </c>
      <c r="F8" s="408">
        <v>0</v>
      </c>
      <c r="G8" s="408">
        <v>0</v>
      </c>
      <c r="H8" s="203">
        <v>0</v>
      </c>
      <c r="I8" s="408">
        <v>2</v>
      </c>
      <c r="J8" s="408">
        <v>0</v>
      </c>
      <c r="K8" s="203">
        <f t="shared" ref="K8:K43" si="1">J8/I8</f>
        <v>0</v>
      </c>
      <c r="L8" s="209">
        <v>0.25</v>
      </c>
    </row>
    <row r="9" spans="1:25" s="551" customFormat="1" ht="16.5" thickBot="1" x14ac:dyDescent="0.3">
      <c r="A9" s="548">
        <v>3</v>
      </c>
      <c r="B9" s="102" t="s">
        <v>141</v>
      </c>
      <c r="C9" s="408">
        <v>3</v>
      </c>
      <c r="D9" s="408">
        <v>3</v>
      </c>
      <c r="E9" s="203">
        <f t="shared" si="0"/>
        <v>1</v>
      </c>
      <c r="F9" s="408">
        <v>4</v>
      </c>
      <c r="G9" s="408">
        <v>4</v>
      </c>
      <c r="H9" s="203">
        <f t="shared" ref="H9:H44" si="2">G9/F9</f>
        <v>1</v>
      </c>
      <c r="I9" s="408">
        <v>1</v>
      </c>
      <c r="J9" s="408">
        <v>1</v>
      </c>
      <c r="K9" s="203">
        <f t="shared" si="1"/>
        <v>1</v>
      </c>
      <c r="L9" s="209">
        <v>1</v>
      </c>
    </row>
    <row r="10" spans="1:25" ht="16.5" thickBot="1" x14ac:dyDescent="0.3">
      <c r="A10" s="6">
        <v>4</v>
      </c>
      <c r="B10" s="26" t="s">
        <v>142</v>
      </c>
      <c r="C10" s="409">
        <v>2</v>
      </c>
      <c r="D10" s="409">
        <v>1</v>
      </c>
      <c r="E10" s="203">
        <f t="shared" si="0"/>
        <v>0.5</v>
      </c>
      <c r="F10" s="408">
        <v>0</v>
      </c>
      <c r="G10" s="408">
        <v>0</v>
      </c>
      <c r="H10" s="203">
        <v>0</v>
      </c>
      <c r="I10" s="409">
        <v>5</v>
      </c>
      <c r="J10" s="409">
        <v>1</v>
      </c>
      <c r="K10" s="203">
        <f t="shared" si="1"/>
        <v>0.2</v>
      </c>
      <c r="L10" s="209">
        <v>0.2857142857142857</v>
      </c>
    </row>
    <row r="11" spans="1:25" ht="16.5" thickBot="1" x14ac:dyDescent="0.3">
      <c r="A11" s="6">
        <v>5</v>
      </c>
      <c r="B11" s="26" t="s">
        <v>143</v>
      </c>
      <c r="C11" s="410">
        <v>0</v>
      </c>
      <c r="D11" s="410">
        <v>0</v>
      </c>
      <c r="E11" s="203">
        <v>0</v>
      </c>
      <c r="F11" s="408">
        <v>1</v>
      </c>
      <c r="G11" s="410">
        <v>0</v>
      </c>
      <c r="H11" s="203">
        <f t="shared" si="2"/>
        <v>0</v>
      </c>
      <c r="I11" s="408">
        <v>0</v>
      </c>
      <c r="J11" s="408">
        <v>0</v>
      </c>
      <c r="K11" s="203">
        <v>0</v>
      </c>
      <c r="L11" s="209">
        <v>0</v>
      </c>
    </row>
    <row r="12" spans="1:25" s="551" customFormat="1" ht="26.25" thickBot="1" x14ac:dyDescent="0.3">
      <c r="A12" s="548">
        <v>6</v>
      </c>
      <c r="B12" s="102" t="s">
        <v>177</v>
      </c>
      <c r="C12" s="408">
        <v>0</v>
      </c>
      <c r="D12" s="408">
        <v>0</v>
      </c>
      <c r="E12" s="203">
        <v>0</v>
      </c>
      <c r="F12" s="408">
        <v>0</v>
      </c>
      <c r="G12" s="408">
        <v>0</v>
      </c>
      <c r="H12" s="203">
        <v>0</v>
      </c>
      <c r="I12" s="408">
        <v>1</v>
      </c>
      <c r="J12" s="408">
        <v>0</v>
      </c>
      <c r="K12" s="203">
        <f t="shared" si="1"/>
        <v>0</v>
      </c>
      <c r="L12" s="209">
        <v>0</v>
      </c>
    </row>
    <row r="13" spans="1:25" s="551" customFormat="1" ht="16.5" thickBot="1" x14ac:dyDescent="0.3">
      <c r="A13" s="548">
        <v>7</v>
      </c>
      <c r="B13" s="132" t="s">
        <v>144</v>
      </c>
      <c r="C13" s="408">
        <v>0</v>
      </c>
      <c r="D13" s="408">
        <v>0</v>
      </c>
      <c r="E13" s="203">
        <v>0</v>
      </c>
      <c r="F13" s="408">
        <v>0</v>
      </c>
      <c r="G13" s="408">
        <v>0</v>
      </c>
      <c r="H13" s="203">
        <v>0</v>
      </c>
      <c r="I13" s="408">
        <v>0</v>
      </c>
      <c r="J13" s="408">
        <v>0</v>
      </c>
      <c r="K13" s="203">
        <v>0</v>
      </c>
      <c r="L13" s="209">
        <v>0</v>
      </c>
    </row>
    <row r="14" spans="1:25" s="551" customFormat="1" ht="16.5" thickBot="1" x14ac:dyDescent="0.3">
      <c r="A14" s="548">
        <v>8</v>
      </c>
      <c r="B14" s="102" t="s">
        <v>145</v>
      </c>
      <c r="C14" s="408">
        <v>1</v>
      </c>
      <c r="D14" s="408">
        <v>1</v>
      </c>
      <c r="E14" s="203">
        <f t="shared" si="0"/>
        <v>1</v>
      </c>
      <c r="F14" s="408">
        <v>1</v>
      </c>
      <c r="G14" s="408">
        <v>1</v>
      </c>
      <c r="H14" s="203">
        <f t="shared" si="2"/>
        <v>1</v>
      </c>
      <c r="I14" s="408">
        <v>1</v>
      </c>
      <c r="J14" s="408">
        <v>0</v>
      </c>
      <c r="K14" s="203">
        <f t="shared" si="1"/>
        <v>0</v>
      </c>
      <c r="L14" s="209">
        <v>0.66666666666666663</v>
      </c>
    </row>
    <row r="15" spans="1:25" s="551" customFormat="1" ht="16.5" thickBot="1" x14ac:dyDescent="0.3">
      <c r="A15" s="548">
        <v>9</v>
      </c>
      <c r="B15" s="102" t="s">
        <v>146</v>
      </c>
      <c r="C15" s="408">
        <v>1</v>
      </c>
      <c r="D15" s="408">
        <v>1</v>
      </c>
      <c r="E15" s="203">
        <f t="shared" si="0"/>
        <v>1</v>
      </c>
      <c r="F15" s="408">
        <v>0</v>
      </c>
      <c r="G15" s="408">
        <v>0</v>
      </c>
      <c r="H15" s="203">
        <v>0</v>
      </c>
      <c r="I15" s="408">
        <v>0</v>
      </c>
      <c r="J15" s="408">
        <v>0</v>
      </c>
      <c r="K15" s="203">
        <v>0</v>
      </c>
      <c r="L15" s="209">
        <v>1</v>
      </c>
    </row>
    <row r="16" spans="1:25" s="551" customFormat="1" ht="16.5" thickBot="1" x14ac:dyDescent="0.3">
      <c r="A16" s="548">
        <v>10</v>
      </c>
      <c r="B16" s="102" t="s">
        <v>172</v>
      </c>
      <c r="C16" s="408">
        <v>0</v>
      </c>
      <c r="D16" s="408">
        <v>0</v>
      </c>
      <c r="E16" s="203">
        <v>0</v>
      </c>
      <c r="F16" s="408">
        <v>0</v>
      </c>
      <c r="G16" s="408">
        <v>0</v>
      </c>
      <c r="H16" s="203">
        <v>0</v>
      </c>
      <c r="I16" s="408">
        <v>0</v>
      </c>
      <c r="J16" s="408">
        <v>0</v>
      </c>
      <c r="K16" s="203">
        <v>0</v>
      </c>
      <c r="L16" s="209">
        <v>0</v>
      </c>
    </row>
    <row r="17" spans="1:12" s="551" customFormat="1" ht="16.5" thickBot="1" x14ac:dyDescent="0.3">
      <c r="A17" s="548">
        <v>11</v>
      </c>
      <c r="B17" s="102" t="s">
        <v>147</v>
      </c>
      <c r="C17" s="408">
        <v>6</v>
      </c>
      <c r="D17" s="408">
        <v>1</v>
      </c>
      <c r="E17" s="203">
        <f t="shared" si="0"/>
        <v>0.16666666666666666</v>
      </c>
      <c r="F17" s="408">
        <v>0</v>
      </c>
      <c r="G17" s="408">
        <v>0</v>
      </c>
      <c r="H17" s="203">
        <v>0</v>
      </c>
      <c r="I17" s="408">
        <v>5</v>
      </c>
      <c r="J17" s="408">
        <v>1</v>
      </c>
      <c r="K17" s="203">
        <f t="shared" si="1"/>
        <v>0.2</v>
      </c>
      <c r="L17" s="209">
        <v>0.18181818181818182</v>
      </c>
    </row>
    <row r="18" spans="1:12" ht="26.25" thickBot="1" x14ac:dyDescent="0.3">
      <c r="A18" s="6">
        <v>12</v>
      </c>
      <c r="B18" s="26" t="s">
        <v>178</v>
      </c>
      <c r="C18" s="408">
        <v>1</v>
      </c>
      <c r="D18" s="408">
        <v>0</v>
      </c>
      <c r="E18" s="203">
        <f t="shared" si="0"/>
        <v>0</v>
      </c>
      <c r="F18" s="408">
        <v>0</v>
      </c>
      <c r="G18" s="408">
        <v>0</v>
      </c>
      <c r="H18" s="203">
        <v>0</v>
      </c>
      <c r="I18" s="409">
        <v>2</v>
      </c>
      <c r="J18" s="409">
        <v>1</v>
      </c>
      <c r="K18" s="203">
        <f t="shared" si="1"/>
        <v>0.5</v>
      </c>
      <c r="L18" s="209">
        <v>0.33333333333333331</v>
      </c>
    </row>
    <row r="19" spans="1:12" s="551" customFormat="1" ht="16.5" thickBot="1" x14ac:dyDescent="0.3">
      <c r="A19" s="548">
        <v>13</v>
      </c>
      <c r="B19" s="102" t="s">
        <v>148</v>
      </c>
      <c r="C19" s="408">
        <v>2</v>
      </c>
      <c r="D19" s="408">
        <v>1</v>
      </c>
      <c r="E19" s="203">
        <f t="shared" si="0"/>
        <v>0.5</v>
      </c>
      <c r="F19" s="408">
        <v>1</v>
      </c>
      <c r="G19" s="408">
        <v>0</v>
      </c>
      <c r="H19" s="203">
        <f t="shared" si="2"/>
        <v>0</v>
      </c>
      <c r="I19" s="408">
        <v>1</v>
      </c>
      <c r="J19" s="408">
        <v>0</v>
      </c>
      <c r="K19" s="203">
        <f t="shared" si="1"/>
        <v>0</v>
      </c>
      <c r="L19" s="209">
        <v>0.25</v>
      </c>
    </row>
    <row r="20" spans="1:12" s="551" customFormat="1" ht="16.5" thickBot="1" x14ac:dyDescent="0.3">
      <c r="A20" s="548">
        <v>14</v>
      </c>
      <c r="B20" s="102" t="s">
        <v>173</v>
      </c>
      <c r="C20" s="408">
        <v>0</v>
      </c>
      <c r="D20" s="408">
        <v>0</v>
      </c>
      <c r="E20" s="203">
        <v>0</v>
      </c>
      <c r="F20" s="408">
        <v>0</v>
      </c>
      <c r="G20" s="408">
        <v>0</v>
      </c>
      <c r="H20" s="203">
        <v>0</v>
      </c>
      <c r="I20" s="408">
        <v>3</v>
      </c>
      <c r="J20" s="408">
        <v>0</v>
      </c>
      <c r="K20" s="203">
        <f t="shared" si="1"/>
        <v>0</v>
      </c>
      <c r="L20" s="209">
        <v>0</v>
      </c>
    </row>
    <row r="21" spans="1:12" s="551" customFormat="1" ht="16.5" thickBot="1" x14ac:dyDescent="0.3">
      <c r="A21" s="548">
        <v>15</v>
      </c>
      <c r="B21" s="102" t="s">
        <v>149</v>
      </c>
      <c r="C21" s="408">
        <v>1</v>
      </c>
      <c r="D21" s="408">
        <v>1</v>
      </c>
      <c r="E21" s="203">
        <f t="shared" si="0"/>
        <v>1</v>
      </c>
      <c r="F21" s="408">
        <v>1</v>
      </c>
      <c r="G21" s="408">
        <v>1</v>
      </c>
      <c r="H21" s="203">
        <f t="shared" si="2"/>
        <v>1</v>
      </c>
      <c r="I21" s="408">
        <v>0</v>
      </c>
      <c r="J21" s="408">
        <v>0</v>
      </c>
      <c r="K21" s="203">
        <v>0</v>
      </c>
      <c r="L21" s="209">
        <v>1</v>
      </c>
    </row>
    <row r="22" spans="1:12" s="551" customFormat="1" ht="16.5" thickBot="1" x14ac:dyDescent="0.3">
      <c r="A22" s="548">
        <v>16</v>
      </c>
      <c r="B22" s="102" t="s">
        <v>150</v>
      </c>
      <c r="C22" s="408">
        <v>1</v>
      </c>
      <c r="D22" s="408">
        <v>1</v>
      </c>
      <c r="E22" s="203">
        <f t="shared" si="0"/>
        <v>1</v>
      </c>
      <c r="F22" s="408">
        <v>0</v>
      </c>
      <c r="G22" s="408"/>
      <c r="H22" s="203">
        <v>0</v>
      </c>
      <c r="I22" s="408">
        <v>0</v>
      </c>
      <c r="J22" s="408">
        <v>0</v>
      </c>
      <c r="K22" s="203">
        <v>0</v>
      </c>
      <c r="L22" s="209">
        <v>1</v>
      </c>
    </row>
    <row r="23" spans="1:12" ht="16.5" thickBot="1" x14ac:dyDescent="0.3">
      <c r="A23" s="6">
        <v>17</v>
      </c>
      <c r="B23" s="26" t="s">
        <v>151</v>
      </c>
      <c r="C23" s="408">
        <v>0</v>
      </c>
      <c r="D23" s="408">
        <v>0</v>
      </c>
      <c r="E23" s="203">
        <v>0</v>
      </c>
      <c r="F23" s="408">
        <v>0</v>
      </c>
      <c r="G23" s="408">
        <v>0</v>
      </c>
      <c r="H23" s="203">
        <v>0</v>
      </c>
      <c r="I23" s="408">
        <v>0</v>
      </c>
      <c r="J23" s="408">
        <v>0</v>
      </c>
      <c r="K23" s="203">
        <v>0</v>
      </c>
      <c r="L23" s="209">
        <v>0</v>
      </c>
    </row>
    <row r="24" spans="1:12" s="551" customFormat="1" ht="16.5" thickBot="1" x14ac:dyDescent="0.3">
      <c r="A24" s="548">
        <v>18</v>
      </c>
      <c r="B24" s="102" t="s">
        <v>152</v>
      </c>
      <c r="C24" s="408">
        <v>0</v>
      </c>
      <c r="D24" s="408">
        <v>0</v>
      </c>
      <c r="E24" s="203">
        <v>0</v>
      </c>
      <c r="F24" s="408">
        <v>1</v>
      </c>
      <c r="G24" s="408">
        <v>1</v>
      </c>
      <c r="H24" s="203">
        <f t="shared" si="2"/>
        <v>1</v>
      </c>
      <c r="I24" s="408">
        <v>2</v>
      </c>
      <c r="J24" s="408">
        <v>2</v>
      </c>
      <c r="K24" s="203">
        <f t="shared" si="1"/>
        <v>1</v>
      </c>
      <c r="L24" s="209">
        <v>1</v>
      </c>
    </row>
    <row r="25" spans="1:12" s="30" customFormat="1" ht="16.5" thickBot="1" x14ac:dyDescent="0.3">
      <c r="A25" s="43">
        <v>19</v>
      </c>
      <c r="B25" s="87" t="s">
        <v>153</v>
      </c>
      <c r="C25" s="412">
        <v>1</v>
      </c>
      <c r="D25" s="412">
        <v>1</v>
      </c>
      <c r="E25" s="552">
        <f t="shared" si="0"/>
        <v>1</v>
      </c>
      <c r="F25" s="412">
        <v>1</v>
      </c>
      <c r="G25" s="412">
        <v>0</v>
      </c>
      <c r="H25" s="552">
        <f t="shared" si="2"/>
        <v>0</v>
      </c>
      <c r="I25" s="412">
        <v>0</v>
      </c>
      <c r="J25" s="412">
        <v>0</v>
      </c>
      <c r="K25" s="552">
        <v>0</v>
      </c>
      <c r="L25" s="553">
        <v>0.5</v>
      </c>
    </row>
    <row r="26" spans="1:12" ht="16.5" thickBot="1" x14ac:dyDescent="0.3">
      <c r="A26" s="6">
        <v>20</v>
      </c>
      <c r="B26" s="26" t="s">
        <v>154</v>
      </c>
      <c r="C26" s="408">
        <v>1</v>
      </c>
      <c r="D26" s="408">
        <v>1</v>
      </c>
      <c r="E26" s="203">
        <f t="shared" si="0"/>
        <v>1</v>
      </c>
      <c r="F26" s="408">
        <v>4</v>
      </c>
      <c r="G26" s="408">
        <v>3</v>
      </c>
      <c r="H26" s="203">
        <f t="shared" si="2"/>
        <v>0.75</v>
      </c>
      <c r="I26" s="408">
        <v>0</v>
      </c>
      <c r="J26" s="408">
        <v>0</v>
      </c>
      <c r="K26" s="203">
        <v>0</v>
      </c>
      <c r="L26" s="209">
        <v>0.8</v>
      </c>
    </row>
    <row r="27" spans="1:12" ht="16.5" thickBot="1" x14ac:dyDescent="0.3">
      <c r="A27" s="6">
        <v>21</v>
      </c>
      <c r="B27" s="26" t="s">
        <v>155</v>
      </c>
      <c r="C27" s="408">
        <v>0</v>
      </c>
      <c r="D27" s="408">
        <v>0</v>
      </c>
      <c r="E27" s="203">
        <v>0</v>
      </c>
      <c r="F27" s="408">
        <v>0</v>
      </c>
      <c r="G27" s="408">
        <v>0</v>
      </c>
      <c r="H27" s="203">
        <v>0</v>
      </c>
      <c r="I27" s="408">
        <v>0</v>
      </c>
      <c r="J27" s="408">
        <v>0</v>
      </c>
      <c r="K27" s="203">
        <v>0</v>
      </c>
      <c r="L27" s="209">
        <v>0</v>
      </c>
    </row>
    <row r="28" spans="1:12" s="551" customFormat="1" ht="16.5" thickBot="1" x14ac:dyDescent="0.3">
      <c r="A28" s="548">
        <v>23</v>
      </c>
      <c r="B28" s="102" t="s">
        <v>156</v>
      </c>
      <c r="C28" s="408">
        <v>0</v>
      </c>
      <c r="D28" s="408">
        <v>0</v>
      </c>
      <c r="E28" s="203">
        <v>0</v>
      </c>
      <c r="F28" s="408">
        <v>0</v>
      </c>
      <c r="G28" s="408">
        <v>0</v>
      </c>
      <c r="H28" s="203">
        <v>0</v>
      </c>
      <c r="I28" s="408">
        <v>2</v>
      </c>
      <c r="J28" s="408">
        <v>0</v>
      </c>
      <c r="K28" s="203">
        <f t="shared" si="1"/>
        <v>0</v>
      </c>
      <c r="L28" s="209">
        <v>0</v>
      </c>
    </row>
    <row r="29" spans="1:12" ht="16.5" thickBot="1" x14ac:dyDescent="0.3">
      <c r="A29" s="6">
        <v>23</v>
      </c>
      <c r="B29" s="26" t="s">
        <v>277</v>
      </c>
      <c r="C29" s="408">
        <v>0</v>
      </c>
      <c r="D29" s="408">
        <v>0</v>
      </c>
      <c r="E29" s="203">
        <v>0</v>
      </c>
      <c r="F29" s="408">
        <v>0</v>
      </c>
      <c r="G29" s="408">
        <v>0</v>
      </c>
      <c r="H29" s="203">
        <v>0</v>
      </c>
      <c r="I29" s="409">
        <v>1</v>
      </c>
      <c r="J29" s="408">
        <v>0</v>
      </c>
      <c r="K29" s="203">
        <f t="shared" si="1"/>
        <v>0</v>
      </c>
      <c r="L29" s="209">
        <v>0</v>
      </c>
    </row>
    <row r="30" spans="1:12" ht="16.5" thickBot="1" x14ac:dyDescent="0.3">
      <c r="A30" s="6">
        <v>24</v>
      </c>
      <c r="B30" s="26" t="s">
        <v>157</v>
      </c>
      <c r="C30" s="408">
        <v>0</v>
      </c>
      <c r="D30" s="408">
        <v>0</v>
      </c>
      <c r="E30" s="203">
        <v>0</v>
      </c>
      <c r="F30" s="408">
        <v>0</v>
      </c>
      <c r="G30" s="408">
        <v>0</v>
      </c>
      <c r="H30" s="203">
        <v>0</v>
      </c>
      <c r="I30" s="408">
        <v>0</v>
      </c>
      <c r="J30" s="408">
        <v>0</v>
      </c>
      <c r="K30" s="203">
        <v>0</v>
      </c>
      <c r="L30" s="209">
        <v>0</v>
      </c>
    </row>
    <row r="31" spans="1:12" ht="16.5" thickBot="1" x14ac:dyDescent="0.3">
      <c r="A31" s="6">
        <v>25</v>
      </c>
      <c r="B31" s="26" t="s">
        <v>159</v>
      </c>
      <c r="C31" s="408">
        <v>4</v>
      </c>
      <c r="D31" s="408">
        <v>2</v>
      </c>
      <c r="E31" s="203">
        <f t="shared" si="0"/>
        <v>0.5</v>
      </c>
      <c r="F31" s="408">
        <v>1</v>
      </c>
      <c r="G31" s="408">
        <v>1</v>
      </c>
      <c r="H31" s="203">
        <f t="shared" si="2"/>
        <v>1</v>
      </c>
      <c r="I31" s="408">
        <v>0</v>
      </c>
      <c r="J31" s="408">
        <v>0</v>
      </c>
      <c r="K31" s="203">
        <v>0</v>
      </c>
      <c r="L31" s="209">
        <v>0.6</v>
      </c>
    </row>
    <row r="32" spans="1:12" s="551" customFormat="1" ht="16.5" thickBot="1" x14ac:dyDescent="0.3">
      <c r="A32" s="548">
        <v>26</v>
      </c>
      <c r="B32" s="102" t="s">
        <v>160</v>
      </c>
      <c r="C32" s="408">
        <v>2</v>
      </c>
      <c r="D32" s="408">
        <v>1</v>
      </c>
      <c r="E32" s="203">
        <f t="shared" si="0"/>
        <v>0.5</v>
      </c>
      <c r="F32" s="408">
        <v>0</v>
      </c>
      <c r="G32" s="408">
        <v>0</v>
      </c>
      <c r="H32" s="203">
        <v>0</v>
      </c>
      <c r="I32" s="408">
        <v>0</v>
      </c>
      <c r="J32" s="408">
        <v>0</v>
      </c>
      <c r="K32" s="203">
        <v>0</v>
      </c>
      <c r="L32" s="209">
        <v>0.5</v>
      </c>
    </row>
    <row r="33" spans="1:12" s="551" customFormat="1" ht="16.5" thickBot="1" x14ac:dyDescent="0.3">
      <c r="A33" s="548">
        <v>27</v>
      </c>
      <c r="B33" s="102" t="s">
        <v>158</v>
      </c>
      <c r="C33" s="408">
        <v>1</v>
      </c>
      <c r="D33" s="408">
        <v>0</v>
      </c>
      <c r="E33" s="203">
        <f t="shared" si="0"/>
        <v>0</v>
      </c>
      <c r="F33" s="408">
        <v>1</v>
      </c>
      <c r="G33" s="408">
        <v>0</v>
      </c>
      <c r="H33" s="203">
        <f t="shared" si="2"/>
        <v>0</v>
      </c>
      <c r="I33" s="408">
        <v>1</v>
      </c>
      <c r="J33" s="408">
        <v>0</v>
      </c>
      <c r="K33" s="203">
        <f t="shared" si="1"/>
        <v>0</v>
      </c>
      <c r="L33" s="209">
        <v>0</v>
      </c>
    </row>
    <row r="34" spans="1:12" ht="16.5" thickBot="1" x14ac:dyDescent="0.3">
      <c r="A34" s="6">
        <v>28</v>
      </c>
      <c r="B34" s="26" t="s">
        <v>161</v>
      </c>
      <c r="C34" s="408">
        <v>0</v>
      </c>
      <c r="D34" s="408">
        <v>0</v>
      </c>
      <c r="E34" s="203">
        <v>0</v>
      </c>
      <c r="F34" s="408">
        <v>0</v>
      </c>
      <c r="G34" s="411">
        <v>0</v>
      </c>
      <c r="H34" s="203">
        <v>0</v>
      </c>
      <c r="I34" s="408">
        <v>0</v>
      </c>
      <c r="J34" s="408">
        <v>0</v>
      </c>
      <c r="K34" s="203">
        <v>0</v>
      </c>
      <c r="L34" s="209">
        <v>0</v>
      </c>
    </row>
    <row r="35" spans="1:12" s="551" customFormat="1" ht="16.5" thickBot="1" x14ac:dyDescent="0.3">
      <c r="A35" s="548">
        <v>29</v>
      </c>
      <c r="B35" s="102" t="s">
        <v>162</v>
      </c>
      <c r="C35" s="408">
        <v>0</v>
      </c>
      <c r="D35" s="408">
        <v>0</v>
      </c>
      <c r="E35" s="203">
        <v>0</v>
      </c>
      <c r="F35" s="408">
        <v>5</v>
      </c>
      <c r="G35" s="408">
        <v>5</v>
      </c>
      <c r="H35" s="203">
        <f t="shared" si="2"/>
        <v>1</v>
      </c>
      <c r="I35" s="408">
        <v>22</v>
      </c>
      <c r="J35" s="408">
        <v>3</v>
      </c>
      <c r="K35" s="203">
        <f t="shared" si="1"/>
        <v>0.13636363636363635</v>
      </c>
      <c r="L35" s="209">
        <v>0.29629629629629628</v>
      </c>
    </row>
    <row r="36" spans="1:12" ht="16.5" thickBot="1" x14ac:dyDescent="0.3">
      <c r="A36" s="6">
        <v>30</v>
      </c>
      <c r="B36" s="26" t="s">
        <v>163</v>
      </c>
      <c r="C36" s="408">
        <v>1</v>
      </c>
      <c r="D36" s="408">
        <v>0</v>
      </c>
      <c r="E36" s="203">
        <f t="shared" si="0"/>
        <v>0</v>
      </c>
      <c r="F36" s="408">
        <v>0</v>
      </c>
      <c r="G36" s="408">
        <v>0</v>
      </c>
      <c r="H36" s="203">
        <v>0</v>
      </c>
      <c r="I36" s="408">
        <v>0</v>
      </c>
      <c r="J36" s="408">
        <v>0</v>
      </c>
      <c r="K36" s="203">
        <v>0</v>
      </c>
      <c r="L36" s="209">
        <v>0</v>
      </c>
    </row>
    <row r="37" spans="1:12" s="551" customFormat="1" ht="16.5" thickBot="1" x14ac:dyDescent="0.3">
      <c r="A37" s="548">
        <v>31</v>
      </c>
      <c r="B37" s="102" t="s">
        <v>164</v>
      </c>
      <c r="C37" s="408">
        <v>1</v>
      </c>
      <c r="D37" s="408">
        <v>0</v>
      </c>
      <c r="E37" s="203">
        <v>0</v>
      </c>
      <c r="F37" s="408">
        <v>0</v>
      </c>
      <c r="G37" s="408">
        <v>0</v>
      </c>
      <c r="H37" s="203">
        <v>0</v>
      </c>
      <c r="I37" s="408">
        <v>0</v>
      </c>
      <c r="J37" s="408">
        <v>0</v>
      </c>
      <c r="K37" s="203">
        <v>0</v>
      </c>
      <c r="L37" s="209">
        <v>0</v>
      </c>
    </row>
    <row r="38" spans="1:12" s="551" customFormat="1" ht="16.5" thickBot="1" x14ac:dyDescent="0.3">
      <c r="A38" s="548">
        <v>32</v>
      </c>
      <c r="B38" s="102" t="s">
        <v>165</v>
      </c>
      <c r="C38" s="408">
        <v>2</v>
      </c>
      <c r="D38" s="408">
        <v>1</v>
      </c>
      <c r="E38" s="203">
        <f t="shared" si="0"/>
        <v>0.5</v>
      </c>
      <c r="F38" s="408">
        <v>0</v>
      </c>
      <c r="G38" s="408">
        <v>0</v>
      </c>
      <c r="H38" s="203">
        <v>0</v>
      </c>
      <c r="I38" s="408">
        <v>4</v>
      </c>
      <c r="J38" s="408">
        <v>0</v>
      </c>
      <c r="K38" s="203">
        <f t="shared" si="1"/>
        <v>0</v>
      </c>
      <c r="L38" s="209">
        <v>0.16666666666666666</v>
      </c>
    </row>
    <row r="39" spans="1:12" ht="16.5" thickBot="1" x14ac:dyDescent="0.3">
      <c r="A39" s="6">
        <v>33</v>
      </c>
      <c r="B39" s="26" t="s">
        <v>166</v>
      </c>
      <c r="C39" s="408">
        <v>0</v>
      </c>
      <c r="D39" s="408">
        <v>0</v>
      </c>
      <c r="E39" s="203">
        <v>0</v>
      </c>
      <c r="F39" s="408">
        <v>0</v>
      </c>
      <c r="G39" s="408">
        <v>0</v>
      </c>
      <c r="H39" s="203">
        <v>0</v>
      </c>
      <c r="I39" s="408">
        <v>0</v>
      </c>
      <c r="J39" s="408">
        <v>0</v>
      </c>
      <c r="K39" s="203">
        <v>0</v>
      </c>
      <c r="L39" s="209">
        <v>0</v>
      </c>
    </row>
    <row r="40" spans="1:12" ht="16.5" thickBot="1" x14ac:dyDescent="0.3">
      <c r="A40" s="6">
        <v>34</v>
      </c>
      <c r="B40" s="26" t="s">
        <v>167</v>
      </c>
      <c r="C40" s="408">
        <v>1</v>
      </c>
      <c r="D40" s="408">
        <v>1</v>
      </c>
      <c r="E40" s="203">
        <f t="shared" si="0"/>
        <v>1</v>
      </c>
      <c r="F40" s="408">
        <v>0</v>
      </c>
      <c r="G40" s="408">
        <v>0</v>
      </c>
      <c r="H40" s="203">
        <v>0</v>
      </c>
      <c r="I40" s="408">
        <v>0</v>
      </c>
      <c r="J40" s="408">
        <v>0</v>
      </c>
      <c r="K40" s="203">
        <v>0</v>
      </c>
      <c r="L40" s="209">
        <v>1</v>
      </c>
    </row>
    <row r="41" spans="1:12" s="551" customFormat="1" ht="16.5" thickBot="1" x14ac:dyDescent="0.3">
      <c r="A41" s="548">
        <v>35</v>
      </c>
      <c r="B41" s="102" t="s">
        <v>168</v>
      </c>
      <c r="C41" s="408">
        <v>1</v>
      </c>
      <c r="D41" s="408">
        <v>1</v>
      </c>
      <c r="E41" s="203">
        <f t="shared" si="0"/>
        <v>1</v>
      </c>
      <c r="F41" s="408">
        <v>0</v>
      </c>
      <c r="G41" s="408">
        <v>0</v>
      </c>
      <c r="H41" s="203">
        <v>0</v>
      </c>
      <c r="I41" s="408">
        <v>3</v>
      </c>
      <c r="J41" s="408">
        <v>2</v>
      </c>
      <c r="K41" s="203">
        <f t="shared" si="1"/>
        <v>0.66666666666666663</v>
      </c>
      <c r="L41" s="209">
        <v>0.75</v>
      </c>
    </row>
    <row r="42" spans="1:12" s="30" customFormat="1" ht="16.5" thickBot="1" x14ac:dyDescent="0.3">
      <c r="A42" s="43">
        <v>36</v>
      </c>
      <c r="B42" s="87" t="s">
        <v>169</v>
      </c>
      <c r="C42" s="412">
        <v>1</v>
      </c>
      <c r="D42" s="412">
        <v>1</v>
      </c>
      <c r="E42" s="203">
        <f t="shared" si="0"/>
        <v>1</v>
      </c>
      <c r="F42" s="412">
        <v>1</v>
      </c>
      <c r="G42" s="412">
        <v>0</v>
      </c>
      <c r="H42" s="203">
        <f t="shared" si="2"/>
        <v>0</v>
      </c>
      <c r="I42" s="412">
        <v>0</v>
      </c>
      <c r="J42" s="412">
        <v>0</v>
      </c>
      <c r="K42" s="203">
        <v>0</v>
      </c>
      <c r="L42" s="209">
        <v>0.5</v>
      </c>
    </row>
    <row r="43" spans="1:12" s="551" customFormat="1" ht="16.5" thickBot="1" x14ac:dyDescent="0.3">
      <c r="A43" s="548">
        <v>37</v>
      </c>
      <c r="B43" s="102" t="s">
        <v>170</v>
      </c>
      <c r="C43" s="408">
        <v>6</v>
      </c>
      <c r="D43" s="408">
        <v>4</v>
      </c>
      <c r="E43" s="203">
        <f t="shared" si="0"/>
        <v>0.66666666666666663</v>
      </c>
      <c r="F43" s="408">
        <v>2</v>
      </c>
      <c r="G43" s="408">
        <v>2</v>
      </c>
      <c r="H43" s="203">
        <f t="shared" si="2"/>
        <v>1</v>
      </c>
      <c r="I43" s="408">
        <v>1</v>
      </c>
      <c r="J43" s="408">
        <v>0</v>
      </c>
      <c r="K43" s="203">
        <f t="shared" si="1"/>
        <v>0</v>
      </c>
      <c r="L43" s="209">
        <v>0.66666666666666663</v>
      </c>
    </row>
    <row r="44" spans="1:12" ht="16.5" thickBot="1" x14ac:dyDescent="0.3">
      <c r="A44" s="148">
        <v>38</v>
      </c>
      <c r="B44" s="144" t="s">
        <v>171</v>
      </c>
      <c r="C44" s="413">
        <v>1</v>
      </c>
      <c r="D44" s="413">
        <v>1</v>
      </c>
      <c r="E44" s="203">
        <f t="shared" si="0"/>
        <v>1</v>
      </c>
      <c r="F44" s="413">
        <v>1</v>
      </c>
      <c r="G44" s="413">
        <v>0</v>
      </c>
      <c r="H44" s="203">
        <f t="shared" si="2"/>
        <v>0</v>
      </c>
      <c r="I44" s="413">
        <v>0</v>
      </c>
      <c r="J44" s="413">
        <v>0</v>
      </c>
      <c r="K44" s="203">
        <v>0</v>
      </c>
      <c r="L44" s="209">
        <v>0.5</v>
      </c>
    </row>
    <row r="45" spans="1:12" x14ac:dyDescent="0.25">
      <c r="A45" s="610" t="s">
        <v>118</v>
      </c>
      <c r="B45" s="610"/>
      <c r="C45" s="414">
        <f>SUM(C7:C44)</f>
        <v>43</v>
      </c>
      <c r="D45" s="414">
        <f>SUM(D7:D44)</f>
        <v>25</v>
      </c>
      <c r="E45" s="172">
        <f>AVERAGE(E7:E44)</f>
        <v>0.39035087719298245</v>
      </c>
      <c r="F45" s="414">
        <f>SUM(F7:F44)</f>
        <v>25</v>
      </c>
      <c r="G45" s="414">
        <f>SUM(G7:G44)</f>
        <v>18</v>
      </c>
      <c r="H45" s="405">
        <f>AVERAGE(H7:H44)</f>
        <v>0.20394736842105263</v>
      </c>
      <c r="I45" s="414">
        <f>SUM(I7:I44)</f>
        <v>57</v>
      </c>
      <c r="J45" s="414">
        <f>SUM(J7:J44)</f>
        <v>11</v>
      </c>
      <c r="K45" s="405">
        <f>AVERAGE(K7:K44)</f>
        <v>9.7448165869218492E-2</v>
      </c>
      <c r="L45" s="210">
        <v>0.432</v>
      </c>
    </row>
    <row r="46" spans="1:12" x14ac:dyDescent="0.25">
      <c r="L46" s="211"/>
    </row>
    <row r="47" spans="1:12" ht="15.75" thickBot="1" x14ac:dyDescent="0.3">
      <c r="L47" s="211"/>
    </row>
    <row r="48" spans="1:12" ht="16.5" thickBot="1" x14ac:dyDescent="0.3">
      <c r="A48" s="196">
        <v>1</v>
      </c>
      <c r="B48" s="204" t="s">
        <v>174</v>
      </c>
      <c r="C48" s="415">
        <v>0</v>
      </c>
      <c r="D48" s="415">
        <v>0</v>
      </c>
      <c r="E48" s="205">
        <v>0</v>
      </c>
      <c r="F48" s="415">
        <v>0</v>
      </c>
      <c r="G48" s="415">
        <v>0</v>
      </c>
      <c r="H48" s="205">
        <v>0</v>
      </c>
      <c r="I48" s="415">
        <v>0</v>
      </c>
      <c r="J48" s="415">
        <v>0</v>
      </c>
      <c r="K48" s="205">
        <v>0</v>
      </c>
      <c r="L48" s="209">
        <v>0</v>
      </c>
    </row>
    <row r="49" spans="1:12" ht="16.5" thickBot="1" x14ac:dyDescent="0.3">
      <c r="A49" s="23">
        <v>2</v>
      </c>
      <c r="B49" s="28" t="s">
        <v>175</v>
      </c>
      <c r="C49" s="408">
        <v>0</v>
      </c>
      <c r="D49" s="408">
        <v>0</v>
      </c>
      <c r="E49" s="38">
        <v>0</v>
      </c>
      <c r="F49" s="416">
        <v>3</v>
      </c>
      <c r="G49" s="408">
        <v>0</v>
      </c>
      <c r="H49" s="38">
        <v>0</v>
      </c>
      <c r="I49" s="416">
        <v>16</v>
      </c>
      <c r="J49" s="416">
        <v>15</v>
      </c>
      <c r="K49" s="38">
        <f>J49/I49</f>
        <v>0.9375</v>
      </c>
      <c r="L49" s="209">
        <v>0.78947368421052633</v>
      </c>
    </row>
    <row r="50" spans="1:12" ht="26.25" thickBot="1" x14ac:dyDescent="0.3">
      <c r="A50" s="23">
        <v>3</v>
      </c>
      <c r="B50" s="28" t="s">
        <v>176</v>
      </c>
      <c r="C50" s="408">
        <v>0</v>
      </c>
      <c r="D50" s="408">
        <v>0</v>
      </c>
      <c r="E50" s="38">
        <v>0</v>
      </c>
      <c r="F50" s="408">
        <v>0</v>
      </c>
      <c r="G50" s="408">
        <v>0</v>
      </c>
      <c r="H50" s="38">
        <v>0</v>
      </c>
      <c r="I50" s="408">
        <v>0</v>
      </c>
      <c r="J50" s="408">
        <v>0</v>
      </c>
      <c r="K50" s="38">
        <v>0</v>
      </c>
      <c r="L50" s="209">
        <v>0</v>
      </c>
    </row>
    <row r="51" spans="1:12" ht="15.75" thickBot="1" x14ac:dyDescent="0.3">
      <c r="A51" s="602" t="s">
        <v>118</v>
      </c>
      <c r="B51" s="603"/>
      <c r="C51" s="417">
        <f>SUM(C48:C50)</f>
        <v>0</v>
      </c>
      <c r="D51" s="417">
        <f>SUM(D48:D50)</f>
        <v>0</v>
      </c>
      <c r="E51" s="206">
        <f>AVERAGE(E48:E50)</f>
        <v>0</v>
      </c>
      <c r="F51" s="417">
        <f>SUM(F48:F50)</f>
        <v>3</v>
      </c>
      <c r="G51" s="417">
        <f>SUM(G48:G50)</f>
        <v>0</v>
      </c>
      <c r="H51" s="404">
        <f>AVERAGE(H48:H50)</f>
        <v>0</v>
      </c>
      <c r="I51" s="417">
        <f>SUM(I48:I50)</f>
        <v>16</v>
      </c>
      <c r="J51" s="417">
        <f>SUM(J48:J50)</f>
        <v>15</v>
      </c>
      <c r="K51" s="404">
        <f>AVERAGE(K48:K50)</f>
        <v>0.3125</v>
      </c>
      <c r="L51" s="212">
        <v>0.78947368421052633</v>
      </c>
    </row>
  </sheetData>
  <sheetProtection algorithmName="SHA-512" hashValue="E010SlCJv+Ep90DeU9jEoBrfxG55ledEDPH74yflsrc8NtXOifI1+v/OZ4ASE+WOfKnwe6yxAg/bpzcHKhxxSQ==" saltValue="MPQG92SEhZ1+NFmBe4OPtg==" spinCount="100000" sheet="1" objects="1" scenarios="1" selectLockedCells="1" selectUnlockedCells="1"/>
  <mergeCells count="10">
    <mergeCell ref="L4:L6"/>
    <mergeCell ref="A2:K2"/>
    <mergeCell ref="A51:B51"/>
    <mergeCell ref="A4:A6"/>
    <mergeCell ref="B4:B6"/>
    <mergeCell ref="A45:B45"/>
    <mergeCell ref="C4:K4"/>
    <mergeCell ref="C5:E5"/>
    <mergeCell ref="F5:H5"/>
    <mergeCell ref="I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ML51"/>
  <sheetViews>
    <sheetView zoomScale="50" zoomScaleNormal="50" workbookViewId="0">
      <pane ySplit="6" topLeftCell="A16" activePane="bottomLeft" state="frozen"/>
      <selection activeCell="B38" sqref="B38"/>
      <selection pane="bottomLeft" activeCell="B38" sqref="B38"/>
    </sheetView>
  </sheetViews>
  <sheetFormatPr defaultColWidth="8.85546875" defaultRowHeight="15" x14ac:dyDescent="0.25"/>
  <cols>
    <col min="1" max="1" width="8.140625" style="76" customWidth="1"/>
    <col min="2" max="2" width="35" style="76" customWidth="1"/>
    <col min="3" max="3" width="15.28515625" style="76" customWidth="1"/>
    <col min="4" max="4" width="14.85546875" style="76" customWidth="1"/>
    <col min="5" max="5" width="16.140625" style="76" customWidth="1"/>
    <col min="6" max="6" width="12.5703125" style="76" customWidth="1"/>
    <col min="7" max="7" width="13.28515625" style="76" customWidth="1"/>
    <col min="8" max="8" width="21.7109375" style="76" customWidth="1"/>
    <col min="9" max="9" width="20.5703125" style="8" customWidth="1"/>
    <col min="10" max="10" width="13.85546875" style="76" customWidth="1"/>
    <col min="11" max="11" width="13.42578125" style="76" customWidth="1"/>
    <col min="12" max="12" width="15.28515625" style="76" customWidth="1"/>
    <col min="13" max="13" width="17.28515625" style="76" customWidth="1"/>
    <col min="14" max="16" width="15.85546875" style="76" customWidth="1"/>
    <col min="17" max="17" width="8.140625" style="82" customWidth="1"/>
    <col min="18" max="18" width="20.5703125" style="76" customWidth="1"/>
    <col min="19" max="19" width="12.42578125" style="76" customWidth="1"/>
    <col min="20" max="20" width="12.5703125" style="76" customWidth="1"/>
    <col min="21" max="21" width="7.140625" style="82" customWidth="1"/>
    <col min="22" max="22" width="9.85546875" style="82" customWidth="1"/>
    <col min="23" max="23" width="9.42578125" style="82" customWidth="1"/>
    <col min="24" max="547" width="8.85546875" style="83"/>
    <col min="548" max="16384" width="8.85546875" style="76"/>
  </cols>
  <sheetData>
    <row r="2" spans="1:547" ht="15.75" x14ac:dyDescent="0.25">
      <c r="A2" s="621" t="s">
        <v>16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</row>
    <row r="3" spans="1:547" ht="15.75" thickBot="1" x14ac:dyDescent="0.3"/>
    <row r="4" spans="1:547" ht="51.75" customHeight="1" x14ac:dyDescent="0.25">
      <c r="A4" s="622" t="s">
        <v>3</v>
      </c>
      <c r="B4" s="617" t="s">
        <v>4</v>
      </c>
      <c r="C4" s="617" t="s">
        <v>87</v>
      </c>
      <c r="D4" s="624" t="s">
        <v>88</v>
      </c>
      <c r="E4" s="624"/>
      <c r="F4" s="617" t="s">
        <v>86</v>
      </c>
      <c r="G4" s="617" t="s">
        <v>89</v>
      </c>
      <c r="H4" s="228" t="s">
        <v>116</v>
      </c>
      <c r="I4" s="229" t="s">
        <v>116</v>
      </c>
      <c r="J4" s="617" t="s">
        <v>179</v>
      </c>
      <c r="K4" s="617" t="s">
        <v>83</v>
      </c>
      <c r="L4" s="617" t="s">
        <v>84</v>
      </c>
      <c r="M4" s="617" t="s">
        <v>78</v>
      </c>
      <c r="N4" s="617"/>
      <c r="O4" s="617"/>
      <c r="P4" s="617" t="s">
        <v>85</v>
      </c>
      <c r="Q4" s="230" t="s">
        <v>17</v>
      </c>
      <c r="R4" s="228" t="s">
        <v>116</v>
      </c>
      <c r="S4" s="620" t="s">
        <v>120</v>
      </c>
      <c r="T4" s="620"/>
      <c r="U4" s="230" t="s">
        <v>18</v>
      </c>
      <c r="V4" s="230" t="s">
        <v>19</v>
      </c>
      <c r="W4" s="231" t="s">
        <v>31</v>
      </c>
    </row>
    <row r="5" spans="1:547" ht="24" customHeight="1" x14ac:dyDescent="0.25">
      <c r="A5" s="623"/>
      <c r="B5" s="618"/>
      <c r="C5" s="618"/>
      <c r="D5" s="175" t="s">
        <v>20</v>
      </c>
      <c r="E5" s="175" t="s">
        <v>21</v>
      </c>
      <c r="F5" s="618"/>
      <c r="G5" s="618"/>
      <c r="H5" s="175" t="s">
        <v>22</v>
      </c>
      <c r="I5" s="214" t="s">
        <v>23</v>
      </c>
      <c r="J5" s="619"/>
      <c r="K5" s="618"/>
      <c r="L5" s="618"/>
      <c r="M5" s="175" t="s">
        <v>79</v>
      </c>
      <c r="N5" s="175" t="s">
        <v>80</v>
      </c>
      <c r="O5" s="175" t="s">
        <v>209</v>
      </c>
      <c r="P5" s="618"/>
      <c r="Q5" s="47" t="s">
        <v>93</v>
      </c>
      <c r="R5" s="176" t="s">
        <v>23</v>
      </c>
      <c r="S5" s="175" t="s">
        <v>24</v>
      </c>
      <c r="T5" s="175" t="s">
        <v>25</v>
      </c>
      <c r="U5" s="47" t="s">
        <v>93</v>
      </c>
      <c r="V5" s="47"/>
      <c r="W5" s="232" t="s">
        <v>55</v>
      </c>
    </row>
    <row r="6" spans="1:547" ht="111" customHeight="1" x14ac:dyDescent="0.25">
      <c r="A6" s="623"/>
      <c r="B6" s="618"/>
      <c r="C6" s="619"/>
      <c r="D6" s="175" t="s">
        <v>180</v>
      </c>
      <c r="E6" s="175" t="s">
        <v>181</v>
      </c>
      <c r="F6" s="619"/>
      <c r="G6" s="619"/>
      <c r="H6" s="176" t="s">
        <v>90</v>
      </c>
      <c r="I6" s="179" t="s">
        <v>182</v>
      </c>
      <c r="J6" s="619"/>
      <c r="K6" s="619"/>
      <c r="L6" s="619"/>
      <c r="M6" s="175" t="s">
        <v>211</v>
      </c>
      <c r="N6" s="175" t="s">
        <v>213</v>
      </c>
      <c r="O6" s="175" t="s">
        <v>214</v>
      </c>
      <c r="P6" s="619"/>
      <c r="Q6" s="47" t="s">
        <v>26</v>
      </c>
      <c r="R6" s="176" t="s">
        <v>182</v>
      </c>
      <c r="S6" s="176" t="s">
        <v>81</v>
      </c>
      <c r="T6" s="176" t="s">
        <v>82</v>
      </c>
      <c r="U6" s="47" t="s">
        <v>27</v>
      </c>
      <c r="V6" s="47"/>
      <c r="W6" s="232" t="s">
        <v>29</v>
      </c>
    </row>
    <row r="7" spans="1:547" s="84" customFormat="1" ht="18.75" customHeight="1" x14ac:dyDescent="0.25">
      <c r="A7" s="125">
        <v>1</v>
      </c>
      <c r="B7" s="28" t="s">
        <v>139</v>
      </c>
      <c r="C7" s="94">
        <v>0.96399999999999997</v>
      </c>
      <c r="D7" s="93">
        <v>0.88900000000000001</v>
      </c>
      <c r="E7" s="93">
        <v>0.111</v>
      </c>
      <c r="F7" s="93">
        <v>1</v>
      </c>
      <c r="G7" s="93">
        <v>0.29599999999999999</v>
      </c>
      <c r="H7" s="93">
        <v>0.6</v>
      </c>
      <c r="I7" s="93">
        <v>-0.4</v>
      </c>
      <c r="J7" s="93">
        <v>3.6999999999999998E-2</v>
      </c>
      <c r="K7" s="93">
        <v>0</v>
      </c>
      <c r="L7" s="94">
        <v>0</v>
      </c>
      <c r="M7" s="86">
        <f>'1.2.10 Проф'!E7</f>
        <v>0</v>
      </c>
      <c r="N7" s="86">
        <f>'1.2.10 Проф'!H7</f>
        <v>0</v>
      </c>
      <c r="O7" s="86">
        <f>'1.2.10 Проф'!K7</f>
        <v>0</v>
      </c>
      <c r="P7" s="94">
        <v>1</v>
      </c>
      <c r="Q7" s="49">
        <f t="shared" ref="Q7:Q43" si="0">SUM(C7:P7)</f>
        <v>4.4969999999999999</v>
      </c>
      <c r="R7" s="94">
        <v>-0.4</v>
      </c>
      <c r="S7" s="93">
        <v>0</v>
      </c>
      <c r="T7" s="93">
        <v>-7.3999999999999996E-2</v>
      </c>
      <c r="U7" s="49">
        <f>SUM(R7:T7)</f>
        <v>-0.47400000000000003</v>
      </c>
      <c r="V7" s="49">
        <f>Q7+U7</f>
        <v>4.0229999999999997</v>
      </c>
      <c r="W7" s="224">
        <f>AVERAGE(R7:T7,C7:P7)</f>
        <v>0.2366470588235294</v>
      </c>
      <c r="X7" s="508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  <c r="JD7" s="83"/>
      <c r="JE7" s="83"/>
      <c r="JF7" s="83"/>
      <c r="JG7" s="83"/>
      <c r="JH7" s="83"/>
      <c r="JI7" s="83"/>
      <c r="JJ7" s="83"/>
      <c r="JK7" s="83"/>
      <c r="JL7" s="83"/>
      <c r="JM7" s="83"/>
      <c r="JN7" s="83"/>
      <c r="JO7" s="83"/>
      <c r="JP7" s="83"/>
      <c r="JQ7" s="83"/>
      <c r="JR7" s="83"/>
      <c r="JS7" s="83"/>
      <c r="JT7" s="83"/>
      <c r="JU7" s="83"/>
      <c r="JV7" s="83"/>
      <c r="JW7" s="83"/>
      <c r="JX7" s="83"/>
      <c r="JY7" s="83"/>
      <c r="JZ7" s="83"/>
      <c r="KA7" s="83"/>
      <c r="KB7" s="83"/>
      <c r="KC7" s="83"/>
      <c r="KD7" s="83"/>
      <c r="KE7" s="83"/>
      <c r="KF7" s="83"/>
      <c r="KG7" s="83"/>
      <c r="KH7" s="83"/>
      <c r="KI7" s="83"/>
      <c r="KJ7" s="83"/>
      <c r="KK7" s="83"/>
      <c r="KL7" s="83"/>
      <c r="KM7" s="83"/>
      <c r="KN7" s="83"/>
      <c r="KO7" s="83"/>
      <c r="KP7" s="83"/>
      <c r="KQ7" s="83"/>
      <c r="KR7" s="83"/>
      <c r="KS7" s="83"/>
      <c r="KT7" s="83"/>
      <c r="KU7" s="83"/>
      <c r="KV7" s="83"/>
      <c r="KW7" s="83"/>
      <c r="KX7" s="83"/>
      <c r="KY7" s="83"/>
      <c r="KZ7" s="83"/>
      <c r="LA7" s="83"/>
      <c r="LB7" s="83"/>
      <c r="LC7" s="83"/>
      <c r="LD7" s="83"/>
      <c r="LE7" s="83"/>
      <c r="LF7" s="83"/>
      <c r="LG7" s="83"/>
      <c r="LH7" s="83"/>
      <c r="LI7" s="83"/>
      <c r="LJ7" s="83"/>
      <c r="LK7" s="83"/>
      <c r="LL7" s="83"/>
      <c r="LM7" s="83"/>
      <c r="LN7" s="83"/>
      <c r="LO7" s="83"/>
      <c r="LP7" s="83"/>
      <c r="LQ7" s="83"/>
      <c r="LR7" s="83"/>
      <c r="LS7" s="83"/>
      <c r="LT7" s="83"/>
      <c r="LU7" s="83"/>
      <c r="LV7" s="83"/>
      <c r="LW7" s="83"/>
      <c r="LX7" s="83"/>
      <c r="LY7" s="83"/>
      <c r="LZ7" s="83"/>
      <c r="MA7" s="83"/>
      <c r="MB7" s="83"/>
      <c r="MC7" s="83"/>
      <c r="MD7" s="83"/>
      <c r="ME7" s="83"/>
      <c r="MF7" s="83"/>
      <c r="MG7" s="83"/>
      <c r="MH7" s="83"/>
      <c r="MI7" s="83"/>
      <c r="MJ7" s="83"/>
      <c r="MK7" s="83"/>
      <c r="ML7" s="83"/>
      <c r="MM7" s="83"/>
      <c r="MN7" s="83"/>
      <c r="MO7" s="83"/>
      <c r="MP7" s="83"/>
      <c r="MQ7" s="83"/>
      <c r="MR7" s="83"/>
      <c r="MS7" s="83"/>
      <c r="MT7" s="83"/>
      <c r="MU7" s="83"/>
      <c r="MV7" s="83"/>
      <c r="MW7" s="83"/>
      <c r="MX7" s="83"/>
      <c r="MY7" s="83"/>
      <c r="MZ7" s="83"/>
      <c r="NA7" s="83"/>
      <c r="NB7" s="83"/>
      <c r="NC7" s="83"/>
      <c r="ND7" s="83"/>
      <c r="NE7" s="83"/>
      <c r="NF7" s="83"/>
      <c r="NG7" s="83"/>
      <c r="NH7" s="83"/>
      <c r="NI7" s="83"/>
      <c r="NJ7" s="83"/>
      <c r="NK7" s="83"/>
      <c r="NL7" s="83"/>
      <c r="NM7" s="83"/>
      <c r="NN7" s="83"/>
      <c r="NO7" s="83"/>
      <c r="NP7" s="83"/>
      <c r="NQ7" s="83"/>
      <c r="NR7" s="83"/>
      <c r="NS7" s="83"/>
      <c r="NT7" s="83"/>
      <c r="NU7" s="83"/>
      <c r="NV7" s="83"/>
      <c r="NW7" s="83"/>
      <c r="NX7" s="83"/>
      <c r="NY7" s="83"/>
      <c r="NZ7" s="83"/>
      <c r="OA7" s="83"/>
      <c r="OB7" s="83"/>
      <c r="OC7" s="83"/>
      <c r="OD7" s="83"/>
      <c r="OE7" s="83"/>
      <c r="OF7" s="83"/>
      <c r="OG7" s="83"/>
      <c r="OH7" s="83"/>
      <c r="OI7" s="83"/>
      <c r="OJ7" s="83"/>
      <c r="OK7" s="83"/>
      <c r="OL7" s="83"/>
      <c r="OM7" s="83"/>
      <c r="ON7" s="83"/>
      <c r="OO7" s="83"/>
      <c r="OP7" s="83"/>
      <c r="OQ7" s="83"/>
      <c r="OR7" s="83"/>
      <c r="OS7" s="83"/>
      <c r="OT7" s="83"/>
      <c r="OU7" s="83"/>
      <c r="OV7" s="83"/>
      <c r="OW7" s="83"/>
      <c r="OX7" s="83"/>
      <c r="OY7" s="83"/>
      <c r="OZ7" s="83"/>
      <c r="PA7" s="83"/>
      <c r="PB7" s="83"/>
      <c r="PC7" s="83"/>
      <c r="PD7" s="83"/>
      <c r="PE7" s="83"/>
      <c r="PF7" s="83"/>
      <c r="PG7" s="83"/>
      <c r="PH7" s="83"/>
      <c r="PI7" s="83"/>
      <c r="PJ7" s="83"/>
      <c r="PK7" s="83"/>
      <c r="PL7" s="83"/>
      <c r="PM7" s="83"/>
      <c r="PN7" s="83"/>
      <c r="PO7" s="83"/>
      <c r="PP7" s="83"/>
      <c r="PQ7" s="83"/>
      <c r="PR7" s="83"/>
      <c r="PS7" s="83"/>
      <c r="PT7" s="83"/>
      <c r="PU7" s="83"/>
      <c r="PV7" s="83"/>
      <c r="PW7" s="83"/>
      <c r="PX7" s="83"/>
      <c r="PY7" s="83"/>
      <c r="PZ7" s="83"/>
      <c r="QA7" s="83"/>
      <c r="QB7" s="83"/>
      <c r="QC7" s="83"/>
      <c r="QD7" s="83"/>
      <c r="QE7" s="83"/>
      <c r="QF7" s="83"/>
      <c r="QG7" s="83"/>
      <c r="QH7" s="83"/>
      <c r="QI7" s="83"/>
      <c r="QJ7" s="83"/>
      <c r="QK7" s="83"/>
      <c r="QL7" s="83"/>
      <c r="QM7" s="83"/>
      <c r="QN7" s="83"/>
      <c r="QO7" s="83"/>
      <c r="QP7" s="83"/>
      <c r="QQ7" s="83"/>
      <c r="QR7" s="83"/>
      <c r="QS7" s="83"/>
      <c r="QT7" s="83"/>
      <c r="QU7" s="83"/>
      <c r="QV7" s="83"/>
      <c r="QW7" s="83"/>
      <c r="QX7" s="83"/>
      <c r="QY7" s="83"/>
      <c r="QZ7" s="83"/>
      <c r="RA7" s="83"/>
      <c r="RB7" s="83"/>
      <c r="RC7" s="83"/>
      <c r="RD7" s="83"/>
      <c r="RE7" s="83"/>
      <c r="RF7" s="83"/>
      <c r="RG7" s="83"/>
      <c r="RH7" s="83"/>
      <c r="RI7" s="83"/>
      <c r="RJ7" s="83"/>
      <c r="RK7" s="83"/>
      <c r="RL7" s="83"/>
      <c r="RM7" s="83"/>
      <c r="RN7" s="83"/>
      <c r="RO7" s="83"/>
      <c r="RP7" s="83"/>
      <c r="RQ7" s="83"/>
      <c r="RR7" s="83"/>
      <c r="RS7" s="83"/>
      <c r="RT7" s="83"/>
      <c r="RU7" s="83"/>
      <c r="RV7" s="83"/>
      <c r="RW7" s="83"/>
      <c r="RX7" s="83"/>
      <c r="RY7" s="83"/>
      <c r="RZ7" s="83"/>
      <c r="SA7" s="83"/>
      <c r="SB7" s="83"/>
      <c r="SC7" s="83"/>
      <c r="SD7" s="83"/>
      <c r="SE7" s="83"/>
      <c r="SF7" s="83"/>
      <c r="SG7" s="83"/>
      <c r="SH7" s="83"/>
      <c r="SI7" s="83"/>
      <c r="SJ7" s="83"/>
      <c r="SK7" s="83"/>
      <c r="SL7" s="83"/>
      <c r="SM7" s="83"/>
      <c r="SN7" s="83"/>
      <c r="SO7" s="83"/>
      <c r="SP7" s="83"/>
      <c r="SQ7" s="83"/>
      <c r="SR7" s="83"/>
      <c r="SS7" s="83"/>
      <c r="ST7" s="83"/>
      <c r="SU7" s="83"/>
      <c r="SV7" s="83"/>
      <c r="SW7" s="83"/>
      <c r="SX7" s="83"/>
      <c r="SY7" s="83"/>
      <c r="SZ7" s="83"/>
      <c r="TA7" s="83"/>
      <c r="TB7" s="83"/>
      <c r="TC7" s="83"/>
      <c r="TD7" s="83"/>
      <c r="TE7" s="83"/>
      <c r="TF7" s="83"/>
      <c r="TG7" s="83"/>
      <c r="TH7" s="83"/>
      <c r="TI7" s="83"/>
      <c r="TJ7" s="83"/>
      <c r="TK7" s="83"/>
      <c r="TL7" s="83"/>
      <c r="TM7" s="83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</row>
    <row r="8" spans="1:547" s="84" customFormat="1" ht="17.25" customHeight="1" x14ac:dyDescent="0.25">
      <c r="A8" s="125">
        <v>2</v>
      </c>
      <c r="B8" s="28" t="s">
        <v>140</v>
      </c>
      <c r="C8" s="94">
        <v>0.84</v>
      </c>
      <c r="D8" s="96">
        <v>0.91600000000000004</v>
      </c>
      <c r="E8" s="96">
        <v>8.3000000000000004E-2</v>
      </c>
      <c r="F8" s="96">
        <v>1</v>
      </c>
      <c r="G8" s="96">
        <v>0.625</v>
      </c>
      <c r="H8" s="94">
        <v>0.85699999999999998</v>
      </c>
      <c r="I8" s="94">
        <v>-0.14299999999999999</v>
      </c>
      <c r="J8" s="96">
        <v>0</v>
      </c>
      <c r="K8" s="96">
        <v>8.3000000000000004E-2</v>
      </c>
      <c r="L8" s="96">
        <v>6.25E-2</v>
      </c>
      <c r="M8" s="86">
        <f>'1.2.10 Проф'!E8</f>
        <v>0.5</v>
      </c>
      <c r="N8" s="86">
        <f>'1.2.10 Проф'!H8</f>
        <v>0</v>
      </c>
      <c r="O8" s="86">
        <f>'1.2.10 Проф'!K8</f>
        <v>0</v>
      </c>
      <c r="P8" s="94">
        <v>1</v>
      </c>
      <c r="Q8" s="49">
        <f t="shared" si="0"/>
        <v>5.8235000000000001</v>
      </c>
      <c r="R8" s="94">
        <v>-0.14299999999999999</v>
      </c>
      <c r="S8" s="96">
        <v>0</v>
      </c>
      <c r="T8" s="94">
        <v>-6.4000000000000001E-2</v>
      </c>
      <c r="U8" s="49">
        <f t="shared" ref="U8:U44" si="1">SUM(R8:T8)</f>
        <v>-0.20699999999999999</v>
      </c>
      <c r="V8" s="49">
        <f t="shared" ref="V8:V44" si="2">Q8+U8</f>
        <v>5.6165000000000003</v>
      </c>
      <c r="W8" s="224">
        <f t="shared" ref="W8:W44" si="3">AVERAGE(R8:T8,C8:P8)</f>
        <v>0.33038235294117646</v>
      </c>
      <c r="X8" s="508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3"/>
      <c r="LZ8" s="83"/>
      <c r="MA8" s="83"/>
      <c r="MB8" s="83"/>
      <c r="MC8" s="83"/>
      <c r="MD8" s="83"/>
      <c r="ME8" s="83"/>
      <c r="MF8" s="83"/>
      <c r="MG8" s="83"/>
      <c r="MH8" s="83"/>
      <c r="MI8" s="83"/>
      <c r="MJ8" s="83"/>
      <c r="MK8" s="83"/>
      <c r="ML8" s="83"/>
      <c r="MM8" s="83"/>
      <c r="MN8" s="83"/>
      <c r="MO8" s="83"/>
      <c r="MP8" s="83"/>
      <c r="MQ8" s="83"/>
      <c r="MR8" s="83"/>
      <c r="MS8" s="83"/>
      <c r="MT8" s="83"/>
      <c r="MU8" s="83"/>
      <c r="MV8" s="83"/>
      <c r="MW8" s="83"/>
      <c r="MX8" s="83"/>
      <c r="MY8" s="83"/>
      <c r="MZ8" s="83"/>
      <c r="NA8" s="83"/>
      <c r="NB8" s="83"/>
      <c r="NC8" s="83"/>
      <c r="ND8" s="83"/>
      <c r="NE8" s="83"/>
      <c r="NF8" s="83"/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3"/>
      <c r="NR8" s="83"/>
      <c r="NS8" s="83"/>
      <c r="NT8" s="83"/>
      <c r="NU8" s="83"/>
      <c r="NV8" s="83"/>
      <c r="NW8" s="83"/>
      <c r="NX8" s="83"/>
      <c r="NY8" s="83"/>
      <c r="NZ8" s="83"/>
      <c r="OA8" s="83"/>
      <c r="OB8" s="83"/>
      <c r="OC8" s="83"/>
      <c r="OD8" s="83"/>
      <c r="OE8" s="83"/>
      <c r="OF8" s="83"/>
      <c r="OG8" s="83"/>
      <c r="OH8" s="83"/>
      <c r="OI8" s="83"/>
      <c r="OJ8" s="83"/>
      <c r="OK8" s="83"/>
      <c r="OL8" s="83"/>
      <c r="OM8" s="83"/>
      <c r="ON8" s="83"/>
      <c r="OO8" s="83"/>
      <c r="OP8" s="83"/>
      <c r="OQ8" s="83"/>
      <c r="OR8" s="83"/>
      <c r="OS8" s="83"/>
      <c r="OT8" s="83"/>
      <c r="OU8" s="83"/>
      <c r="OV8" s="83"/>
      <c r="OW8" s="83"/>
      <c r="OX8" s="83"/>
      <c r="OY8" s="83"/>
      <c r="OZ8" s="83"/>
      <c r="PA8" s="83"/>
      <c r="PB8" s="83"/>
      <c r="PC8" s="83"/>
      <c r="PD8" s="83"/>
      <c r="PE8" s="83"/>
      <c r="PF8" s="83"/>
      <c r="PG8" s="83"/>
      <c r="PH8" s="83"/>
      <c r="PI8" s="83"/>
      <c r="PJ8" s="83"/>
      <c r="PK8" s="83"/>
      <c r="PL8" s="83"/>
      <c r="PM8" s="83"/>
      <c r="PN8" s="83"/>
      <c r="PO8" s="83"/>
      <c r="PP8" s="83"/>
      <c r="PQ8" s="83"/>
      <c r="PR8" s="83"/>
      <c r="PS8" s="83"/>
      <c r="PT8" s="83"/>
      <c r="PU8" s="83"/>
      <c r="PV8" s="83"/>
      <c r="PW8" s="83"/>
      <c r="PX8" s="83"/>
      <c r="PY8" s="83"/>
      <c r="PZ8" s="83"/>
      <c r="QA8" s="83"/>
      <c r="QB8" s="83"/>
      <c r="QC8" s="83"/>
      <c r="QD8" s="83"/>
      <c r="QE8" s="83"/>
      <c r="QF8" s="83"/>
      <c r="QG8" s="83"/>
      <c r="QH8" s="83"/>
      <c r="QI8" s="83"/>
      <c r="QJ8" s="83"/>
      <c r="QK8" s="83"/>
      <c r="QL8" s="83"/>
      <c r="QM8" s="83"/>
      <c r="QN8" s="83"/>
      <c r="QO8" s="83"/>
      <c r="QP8" s="83"/>
      <c r="QQ8" s="83"/>
      <c r="QR8" s="83"/>
      <c r="QS8" s="83"/>
      <c r="QT8" s="83"/>
      <c r="QU8" s="83"/>
      <c r="QV8" s="83"/>
      <c r="QW8" s="83"/>
      <c r="QX8" s="83"/>
      <c r="QY8" s="83"/>
      <c r="QZ8" s="83"/>
      <c r="RA8" s="83"/>
      <c r="RB8" s="83"/>
      <c r="RC8" s="83"/>
      <c r="RD8" s="83"/>
      <c r="RE8" s="83"/>
      <c r="RF8" s="83"/>
      <c r="RG8" s="83"/>
      <c r="RH8" s="83"/>
      <c r="RI8" s="83"/>
      <c r="RJ8" s="83"/>
      <c r="RK8" s="83"/>
      <c r="RL8" s="83"/>
      <c r="RM8" s="83"/>
      <c r="RN8" s="83"/>
      <c r="RO8" s="83"/>
      <c r="RP8" s="83"/>
      <c r="RQ8" s="83"/>
      <c r="RR8" s="83"/>
      <c r="RS8" s="83"/>
      <c r="RT8" s="83"/>
      <c r="RU8" s="83"/>
      <c r="RV8" s="83"/>
      <c r="RW8" s="83"/>
      <c r="RX8" s="83"/>
      <c r="RY8" s="83"/>
      <c r="RZ8" s="83"/>
      <c r="SA8" s="83"/>
      <c r="SB8" s="83"/>
      <c r="SC8" s="83"/>
      <c r="SD8" s="83"/>
      <c r="SE8" s="83"/>
      <c r="SF8" s="83"/>
      <c r="SG8" s="83"/>
      <c r="SH8" s="83"/>
      <c r="SI8" s="83"/>
      <c r="SJ8" s="83"/>
      <c r="SK8" s="83"/>
      <c r="SL8" s="83"/>
      <c r="SM8" s="83"/>
      <c r="SN8" s="83"/>
      <c r="SO8" s="83"/>
      <c r="SP8" s="83"/>
      <c r="SQ8" s="83"/>
      <c r="SR8" s="83"/>
      <c r="SS8" s="83"/>
      <c r="ST8" s="83"/>
      <c r="SU8" s="83"/>
      <c r="SV8" s="83"/>
      <c r="SW8" s="83"/>
      <c r="SX8" s="83"/>
      <c r="SY8" s="83"/>
      <c r="SZ8" s="83"/>
      <c r="TA8" s="83"/>
      <c r="TB8" s="83"/>
      <c r="TC8" s="83"/>
      <c r="TD8" s="83"/>
      <c r="TE8" s="83"/>
      <c r="TF8" s="83"/>
      <c r="TG8" s="83"/>
      <c r="TH8" s="83"/>
      <c r="TI8" s="83"/>
      <c r="TJ8" s="83"/>
      <c r="TK8" s="83"/>
      <c r="TL8" s="83"/>
      <c r="TM8" s="83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</row>
    <row r="9" spans="1:547" s="84" customFormat="1" ht="24" customHeight="1" x14ac:dyDescent="0.25">
      <c r="A9" s="125">
        <v>3</v>
      </c>
      <c r="B9" s="28" t="s">
        <v>141</v>
      </c>
      <c r="C9" s="94">
        <v>1</v>
      </c>
      <c r="D9" s="94">
        <v>0.90600000000000003</v>
      </c>
      <c r="E9" s="94">
        <v>9.4E-2</v>
      </c>
      <c r="F9" s="94">
        <v>1</v>
      </c>
      <c r="G9" s="94">
        <v>0.42</v>
      </c>
      <c r="H9" s="94">
        <v>1</v>
      </c>
      <c r="I9" s="93">
        <v>0</v>
      </c>
      <c r="J9" s="94">
        <v>3.7999999999999999E-2</v>
      </c>
      <c r="K9" s="94">
        <v>3.7999999999999999E-2</v>
      </c>
      <c r="L9" s="94">
        <v>5.6000000000000001E-2</v>
      </c>
      <c r="M9" s="86">
        <f>'1.2.10 Проф'!E9</f>
        <v>1</v>
      </c>
      <c r="N9" s="86">
        <f>'1.2.10 Проф'!H9</f>
        <v>1</v>
      </c>
      <c r="O9" s="86">
        <f>'1.2.10 Проф'!K9</f>
        <v>1</v>
      </c>
      <c r="P9" s="94">
        <v>1</v>
      </c>
      <c r="Q9" s="49">
        <f t="shared" si="0"/>
        <v>8.5519999999999996</v>
      </c>
      <c r="R9" s="94">
        <v>0</v>
      </c>
      <c r="S9" s="94">
        <v>0</v>
      </c>
      <c r="T9" s="78">
        <v>-1.7999999999999999E-2</v>
      </c>
      <c r="U9" s="49">
        <f t="shared" si="1"/>
        <v>-1.7999999999999999E-2</v>
      </c>
      <c r="V9" s="49">
        <f t="shared" si="2"/>
        <v>8.5339999999999989</v>
      </c>
      <c r="W9" s="224">
        <f t="shared" si="3"/>
        <v>0.502</v>
      </c>
      <c r="X9" s="508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83"/>
      <c r="MW9" s="83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83"/>
      <c r="NI9" s="83"/>
      <c r="NJ9" s="83"/>
      <c r="NK9" s="83"/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83"/>
      <c r="NW9" s="83"/>
      <c r="NX9" s="83"/>
      <c r="NY9" s="83"/>
      <c r="NZ9" s="83"/>
      <c r="OA9" s="83"/>
      <c r="OB9" s="83"/>
      <c r="OC9" s="83"/>
      <c r="OD9" s="83"/>
      <c r="OE9" s="83"/>
      <c r="OF9" s="83"/>
      <c r="OG9" s="83"/>
      <c r="OH9" s="83"/>
      <c r="OI9" s="83"/>
      <c r="OJ9" s="83"/>
      <c r="OK9" s="83"/>
      <c r="OL9" s="83"/>
      <c r="OM9" s="83"/>
      <c r="ON9" s="83"/>
      <c r="OO9" s="83"/>
      <c r="OP9" s="83"/>
      <c r="OQ9" s="83"/>
      <c r="OR9" s="83"/>
      <c r="OS9" s="83"/>
      <c r="OT9" s="83"/>
      <c r="OU9" s="83"/>
      <c r="OV9" s="83"/>
      <c r="OW9" s="83"/>
      <c r="OX9" s="83"/>
      <c r="OY9" s="83"/>
      <c r="OZ9" s="83"/>
      <c r="PA9" s="83"/>
      <c r="PB9" s="83"/>
      <c r="PC9" s="83"/>
      <c r="PD9" s="83"/>
      <c r="PE9" s="83"/>
      <c r="PF9" s="83"/>
      <c r="PG9" s="83"/>
      <c r="PH9" s="83"/>
      <c r="PI9" s="83"/>
      <c r="PJ9" s="83"/>
      <c r="PK9" s="83"/>
      <c r="PL9" s="83"/>
      <c r="PM9" s="83"/>
      <c r="PN9" s="83"/>
      <c r="PO9" s="83"/>
      <c r="PP9" s="83"/>
      <c r="PQ9" s="83"/>
      <c r="PR9" s="83"/>
      <c r="PS9" s="83"/>
      <c r="PT9" s="83"/>
      <c r="PU9" s="83"/>
      <c r="PV9" s="83"/>
      <c r="PW9" s="83"/>
      <c r="PX9" s="83"/>
      <c r="PY9" s="83"/>
      <c r="PZ9" s="83"/>
      <c r="QA9" s="83"/>
      <c r="QB9" s="83"/>
      <c r="QC9" s="83"/>
      <c r="QD9" s="83"/>
      <c r="QE9" s="83"/>
      <c r="QF9" s="83"/>
      <c r="QG9" s="83"/>
      <c r="QH9" s="83"/>
      <c r="QI9" s="83"/>
      <c r="QJ9" s="83"/>
      <c r="QK9" s="83"/>
      <c r="QL9" s="83"/>
      <c r="QM9" s="83"/>
      <c r="QN9" s="83"/>
      <c r="QO9" s="83"/>
      <c r="QP9" s="83"/>
      <c r="QQ9" s="83"/>
      <c r="QR9" s="83"/>
      <c r="QS9" s="83"/>
      <c r="QT9" s="83"/>
      <c r="QU9" s="83"/>
      <c r="QV9" s="83"/>
      <c r="QW9" s="83"/>
      <c r="QX9" s="83"/>
      <c r="QY9" s="83"/>
      <c r="QZ9" s="83"/>
      <c r="RA9" s="83"/>
      <c r="RB9" s="83"/>
      <c r="RC9" s="83"/>
      <c r="RD9" s="83"/>
      <c r="RE9" s="83"/>
      <c r="RF9" s="83"/>
      <c r="RG9" s="83"/>
      <c r="RH9" s="83"/>
      <c r="RI9" s="83"/>
      <c r="RJ9" s="83"/>
      <c r="RK9" s="83"/>
      <c r="RL9" s="83"/>
      <c r="RM9" s="83"/>
      <c r="RN9" s="83"/>
      <c r="RO9" s="83"/>
      <c r="RP9" s="83"/>
      <c r="RQ9" s="83"/>
      <c r="RR9" s="83"/>
      <c r="RS9" s="83"/>
      <c r="RT9" s="83"/>
      <c r="RU9" s="83"/>
      <c r="RV9" s="83"/>
      <c r="RW9" s="83"/>
      <c r="RX9" s="83"/>
      <c r="RY9" s="83"/>
      <c r="RZ9" s="83"/>
      <c r="SA9" s="83"/>
      <c r="SB9" s="83"/>
      <c r="SC9" s="83"/>
      <c r="SD9" s="83"/>
      <c r="SE9" s="83"/>
      <c r="SF9" s="83"/>
      <c r="SG9" s="83"/>
      <c r="SH9" s="83"/>
      <c r="SI9" s="83"/>
      <c r="SJ9" s="83"/>
      <c r="SK9" s="83"/>
      <c r="SL9" s="83"/>
      <c r="SM9" s="83"/>
      <c r="SN9" s="83"/>
      <c r="SO9" s="83"/>
      <c r="SP9" s="83"/>
      <c r="SQ9" s="83"/>
      <c r="SR9" s="83"/>
      <c r="SS9" s="83"/>
      <c r="ST9" s="83"/>
      <c r="SU9" s="83"/>
      <c r="SV9" s="83"/>
      <c r="SW9" s="83"/>
      <c r="SX9" s="83"/>
      <c r="SY9" s="83"/>
      <c r="SZ9" s="83"/>
      <c r="TA9" s="83"/>
      <c r="TB9" s="83"/>
      <c r="TC9" s="83"/>
      <c r="TD9" s="83"/>
      <c r="TE9" s="83"/>
      <c r="TF9" s="83"/>
      <c r="TG9" s="83"/>
      <c r="TH9" s="83"/>
      <c r="TI9" s="83"/>
      <c r="TJ9" s="83"/>
      <c r="TK9" s="83"/>
      <c r="TL9" s="83"/>
      <c r="TM9" s="83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</row>
    <row r="10" spans="1:547" s="84" customFormat="1" ht="25.5" x14ac:dyDescent="0.25">
      <c r="A10" s="125">
        <v>4</v>
      </c>
      <c r="B10" s="28" t="s">
        <v>142</v>
      </c>
      <c r="C10" s="94">
        <v>0.87</v>
      </c>
      <c r="D10" s="94">
        <v>0.96</v>
      </c>
      <c r="E10" s="94">
        <v>0.04</v>
      </c>
      <c r="F10" s="94">
        <v>1</v>
      </c>
      <c r="G10" s="94" t="s">
        <v>288</v>
      </c>
      <c r="H10" s="94">
        <v>1</v>
      </c>
      <c r="I10" s="93">
        <v>0</v>
      </c>
      <c r="J10" s="94" t="s">
        <v>289</v>
      </c>
      <c r="K10" s="94">
        <v>0.04</v>
      </c>
      <c r="L10" s="94">
        <v>0</v>
      </c>
      <c r="M10" s="86">
        <f>'1.2.10 Проф'!E10</f>
        <v>0.5</v>
      </c>
      <c r="N10" s="86">
        <f>'1.2.10 Проф'!H10</f>
        <v>0</v>
      </c>
      <c r="O10" s="86">
        <f>'1.2.10 Проф'!K10</f>
        <v>0.2</v>
      </c>
      <c r="P10" s="119">
        <v>1</v>
      </c>
      <c r="Q10" s="49">
        <f t="shared" si="0"/>
        <v>5.61</v>
      </c>
      <c r="R10" s="94">
        <v>0</v>
      </c>
      <c r="S10" s="119">
        <v>-0.04</v>
      </c>
      <c r="T10" s="119">
        <v>-0.04</v>
      </c>
      <c r="U10" s="49">
        <f t="shared" si="1"/>
        <v>-0.08</v>
      </c>
      <c r="V10" s="49">
        <f t="shared" si="2"/>
        <v>5.53</v>
      </c>
      <c r="W10" s="224">
        <f t="shared" si="3"/>
        <v>0.3686666666666667</v>
      </c>
      <c r="X10" s="508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3"/>
      <c r="JO10" s="83"/>
      <c r="JP10" s="83"/>
      <c r="JQ10" s="83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3"/>
      <c r="KC10" s="83"/>
      <c r="KD10" s="83"/>
      <c r="KE10" s="83"/>
      <c r="KF10" s="83"/>
      <c r="KG10" s="83"/>
      <c r="KH10" s="83"/>
      <c r="KI10" s="83"/>
      <c r="KJ10" s="83"/>
      <c r="KK10" s="83"/>
      <c r="KL10" s="83"/>
      <c r="KM10" s="83"/>
      <c r="KN10" s="83"/>
      <c r="KO10" s="83"/>
      <c r="KP10" s="83"/>
      <c r="KQ10" s="83"/>
      <c r="KR10" s="83"/>
      <c r="KS10" s="83"/>
      <c r="KT10" s="83"/>
      <c r="KU10" s="83"/>
      <c r="KV10" s="83"/>
      <c r="KW10" s="83"/>
      <c r="KX10" s="83"/>
      <c r="KY10" s="83"/>
      <c r="KZ10" s="83"/>
      <c r="LA10" s="83"/>
      <c r="LB10" s="83"/>
      <c r="LC10" s="83"/>
      <c r="LD10" s="83"/>
      <c r="LE10" s="83"/>
      <c r="LF10" s="83"/>
      <c r="LG10" s="83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83"/>
      <c r="LS10" s="83"/>
      <c r="LT10" s="83"/>
      <c r="LU10" s="83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3"/>
      <c r="PF10" s="83"/>
      <c r="PG10" s="83"/>
      <c r="PH10" s="83"/>
      <c r="PI10" s="83"/>
      <c r="PJ10" s="83"/>
      <c r="PK10" s="83"/>
      <c r="PL10" s="83"/>
      <c r="PM10" s="83"/>
      <c r="PN10" s="83"/>
      <c r="PO10" s="83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3"/>
      <c r="RC10" s="83"/>
      <c r="RD10" s="83"/>
      <c r="RE10" s="83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83"/>
      <c r="SM10" s="83"/>
      <c r="SN10" s="83"/>
      <c r="SO10" s="83"/>
      <c r="SP10" s="83"/>
      <c r="SQ10" s="83"/>
      <c r="SR10" s="83"/>
      <c r="SS10" s="83"/>
      <c r="ST10" s="83"/>
      <c r="SU10" s="83"/>
      <c r="SV10" s="83"/>
      <c r="SW10" s="83"/>
      <c r="SX10" s="83"/>
      <c r="SY10" s="83"/>
      <c r="SZ10" s="83"/>
      <c r="TA10" s="83"/>
      <c r="TB10" s="83"/>
      <c r="TC10" s="83"/>
      <c r="TD10" s="83"/>
      <c r="TE10" s="83"/>
      <c r="TF10" s="83"/>
      <c r="TG10" s="83"/>
      <c r="TH10" s="83"/>
      <c r="TI10" s="83"/>
      <c r="TJ10" s="83"/>
      <c r="TK10" s="83"/>
      <c r="TL10" s="83"/>
      <c r="TM10" s="83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</row>
    <row r="11" spans="1:547" x14ac:dyDescent="0.25">
      <c r="A11" s="125">
        <v>5</v>
      </c>
      <c r="B11" s="28" t="s">
        <v>143</v>
      </c>
      <c r="C11" s="93">
        <v>0.95499999999999996</v>
      </c>
      <c r="D11" s="93">
        <v>0.94</v>
      </c>
      <c r="E11" s="93">
        <v>0.06</v>
      </c>
      <c r="F11" s="93">
        <v>1</v>
      </c>
      <c r="G11" s="93">
        <v>0.64500000000000002</v>
      </c>
      <c r="H11" s="93">
        <v>0.83299999999999996</v>
      </c>
      <c r="I11" s="94">
        <v>-0.16700000000000001</v>
      </c>
      <c r="J11" s="93">
        <v>3.2000000000000001E-2</v>
      </c>
      <c r="K11" s="93">
        <v>0.06</v>
      </c>
      <c r="L11" s="93">
        <v>0</v>
      </c>
      <c r="M11" s="86">
        <f>'1.2.10 Проф'!E11</f>
        <v>0</v>
      </c>
      <c r="N11" s="86">
        <f>'1.2.10 Проф'!H11</f>
        <v>0</v>
      </c>
      <c r="O11" s="86">
        <f>'1.2.10 Проф'!K11</f>
        <v>0</v>
      </c>
      <c r="P11" s="93">
        <v>0.8</v>
      </c>
      <c r="Q11" s="49">
        <f t="shared" si="0"/>
        <v>5.1579999999999995</v>
      </c>
      <c r="R11" s="131">
        <v>-0.16700000000000001</v>
      </c>
      <c r="S11" s="93">
        <v>0</v>
      </c>
      <c r="T11" s="93">
        <v>0</v>
      </c>
      <c r="U11" s="49">
        <f t="shared" si="1"/>
        <v>-0.16700000000000001</v>
      </c>
      <c r="V11" s="49">
        <f t="shared" si="2"/>
        <v>4.9909999999999997</v>
      </c>
      <c r="W11" s="224">
        <f t="shared" si="3"/>
        <v>0.29358823529411765</v>
      </c>
      <c r="X11" s="508"/>
    </row>
    <row r="12" spans="1:547" ht="25.5" x14ac:dyDescent="0.25">
      <c r="A12" s="125">
        <v>6</v>
      </c>
      <c r="B12" s="28" t="s">
        <v>177</v>
      </c>
      <c r="C12" s="93">
        <v>0.88700000000000001</v>
      </c>
      <c r="D12" s="93">
        <v>0.98599999999999999</v>
      </c>
      <c r="E12" s="93">
        <v>1.4E-2</v>
      </c>
      <c r="F12" s="93">
        <v>1</v>
      </c>
      <c r="G12" s="93">
        <v>0.53400000000000003</v>
      </c>
      <c r="H12" s="93">
        <v>0.71499999999999997</v>
      </c>
      <c r="I12" s="93">
        <v>-0.28499999999999998</v>
      </c>
      <c r="J12" s="93">
        <v>0</v>
      </c>
      <c r="K12" s="93">
        <v>0.41</v>
      </c>
      <c r="L12" s="93">
        <v>1.2999999999999999E-2</v>
      </c>
      <c r="M12" s="86">
        <f>'1.2.10 Проф'!E12</f>
        <v>0</v>
      </c>
      <c r="N12" s="86">
        <f>'1.2.10 Проф'!H12</f>
        <v>0</v>
      </c>
      <c r="O12" s="86">
        <f>'1.2.10 Проф'!K12</f>
        <v>0</v>
      </c>
      <c r="P12" s="94">
        <v>1</v>
      </c>
      <c r="Q12" s="49">
        <f t="shared" si="0"/>
        <v>5.274</v>
      </c>
      <c r="R12" s="93">
        <v>-0.28499999999999998</v>
      </c>
      <c r="S12" s="93">
        <v>-6.8000000000000005E-2</v>
      </c>
      <c r="T12" s="93">
        <v>-6.8000000000000005E-2</v>
      </c>
      <c r="U12" s="49">
        <f t="shared" si="1"/>
        <v>-0.42099999999999999</v>
      </c>
      <c r="V12" s="49">
        <f t="shared" si="2"/>
        <v>4.8529999999999998</v>
      </c>
      <c r="W12" s="224">
        <f t="shared" si="3"/>
        <v>0.28547058823529409</v>
      </c>
      <c r="X12" s="508"/>
    </row>
    <row r="13" spans="1:547" x14ac:dyDescent="0.25">
      <c r="A13" s="125">
        <v>7</v>
      </c>
      <c r="B13" s="226" t="s">
        <v>144</v>
      </c>
      <c r="C13" s="93">
        <v>1</v>
      </c>
      <c r="D13" s="93">
        <v>0.9</v>
      </c>
      <c r="E13" s="93">
        <v>0.1</v>
      </c>
      <c r="F13" s="93">
        <v>1</v>
      </c>
      <c r="G13" s="93">
        <v>0.48199999999999998</v>
      </c>
      <c r="H13" s="93">
        <v>1</v>
      </c>
      <c r="I13" s="93">
        <v>0</v>
      </c>
      <c r="J13" s="93">
        <v>0</v>
      </c>
      <c r="K13" s="93">
        <v>0</v>
      </c>
      <c r="L13" s="93">
        <v>0.125</v>
      </c>
      <c r="M13" s="86">
        <f>'1.2.10 Проф'!E13</f>
        <v>0</v>
      </c>
      <c r="N13" s="86">
        <f>'1.2.10 Проф'!H13</f>
        <v>0</v>
      </c>
      <c r="O13" s="86">
        <f>'1.2.10 Проф'!K13</f>
        <v>0</v>
      </c>
      <c r="P13" s="94">
        <v>1</v>
      </c>
      <c r="Q13" s="49">
        <f t="shared" si="0"/>
        <v>5.6070000000000002</v>
      </c>
      <c r="R13" s="94">
        <v>0</v>
      </c>
      <c r="S13" s="94">
        <v>0</v>
      </c>
      <c r="T13" s="94">
        <v>-0.16700000000000001</v>
      </c>
      <c r="U13" s="49">
        <f t="shared" si="1"/>
        <v>-0.16700000000000001</v>
      </c>
      <c r="V13" s="49">
        <f t="shared" si="2"/>
        <v>5.44</v>
      </c>
      <c r="W13" s="224">
        <f t="shared" si="3"/>
        <v>0.32</v>
      </c>
      <c r="X13" s="508"/>
    </row>
    <row r="14" spans="1:547" x14ac:dyDescent="0.25">
      <c r="A14" s="125">
        <v>8</v>
      </c>
      <c r="B14" s="28" t="s">
        <v>145</v>
      </c>
      <c r="C14" s="94">
        <v>1</v>
      </c>
      <c r="D14" s="180">
        <v>0.9</v>
      </c>
      <c r="E14" s="180">
        <v>0.1</v>
      </c>
      <c r="F14" s="93">
        <v>1</v>
      </c>
      <c r="G14" s="180">
        <v>0.5</v>
      </c>
      <c r="H14" s="94">
        <v>1</v>
      </c>
      <c r="I14" s="93">
        <v>0</v>
      </c>
      <c r="J14" s="93">
        <v>0.05</v>
      </c>
      <c r="K14" s="180">
        <v>0.05</v>
      </c>
      <c r="L14" s="93">
        <v>0.05</v>
      </c>
      <c r="M14" s="86">
        <f>'1.2.10 Проф'!E14</f>
        <v>1</v>
      </c>
      <c r="N14" s="86">
        <f>'1.2.10 Проф'!H14</f>
        <v>1</v>
      </c>
      <c r="O14" s="86">
        <f>'1.2.10 Проф'!K14</f>
        <v>0</v>
      </c>
      <c r="P14" s="93">
        <v>1</v>
      </c>
      <c r="Q14" s="49">
        <f t="shared" si="0"/>
        <v>7.6499999999999995</v>
      </c>
      <c r="R14" s="94">
        <v>0</v>
      </c>
      <c r="S14" s="93">
        <v>0</v>
      </c>
      <c r="T14" s="180">
        <v>-0.05</v>
      </c>
      <c r="U14" s="49">
        <f t="shared" si="1"/>
        <v>-0.05</v>
      </c>
      <c r="V14" s="49">
        <f t="shared" si="2"/>
        <v>7.6</v>
      </c>
      <c r="W14" s="224">
        <f t="shared" si="3"/>
        <v>0.44705882352941173</v>
      </c>
      <c r="X14" s="508"/>
    </row>
    <row r="15" spans="1:547" x14ac:dyDescent="0.25">
      <c r="A15" s="125">
        <v>9</v>
      </c>
      <c r="B15" s="28" t="s">
        <v>146</v>
      </c>
      <c r="C15" s="94">
        <v>1</v>
      </c>
      <c r="D15" s="94">
        <v>1</v>
      </c>
      <c r="E15" s="94">
        <v>0</v>
      </c>
      <c r="F15" s="94">
        <v>1</v>
      </c>
      <c r="G15" s="94">
        <v>0.33300000000000002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86">
        <f>'1.2.10 Проф'!E16</f>
        <v>0</v>
      </c>
      <c r="N15" s="86">
        <f>'1.2.10 Проф'!H16</f>
        <v>0</v>
      </c>
      <c r="O15" s="86">
        <f>'1.2.10 Проф'!K16</f>
        <v>0</v>
      </c>
      <c r="P15" s="94">
        <v>1</v>
      </c>
      <c r="Q15" s="49">
        <f t="shared" si="0"/>
        <v>4.3330000000000002</v>
      </c>
      <c r="R15" s="94">
        <v>-0.2</v>
      </c>
      <c r="S15" s="94">
        <v>0</v>
      </c>
      <c r="T15" s="78">
        <v>0</v>
      </c>
      <c r="U15" s="49">
        <f t="shared" si="1"/>
        <v>-0.2</v>
      </c>
      <c r="V15" s="49">
        <f t="shared" si="2"/>
        <v>4.133</v>
      </c>
      <c r="W15" s="224">
        <f t="shared" si="3"/>
        <v>0.24311764705882352</v>
      </c>
      <c r="X15" s="508"/>
    </row>
    <row r="16" spans="1:547" x14ac:dyDescent="0.25">
      <c r="A16" s="125">
        <v>10</v>
      </c>
      <c r="B16" s="28" t="s">
        <v>172</v>
      </c>
      <c r="C16" s="93">
        <v>0.93700000000000006</v>
      </c>
      <c r="D16" s="93">
        <v>0.93700000000000006</v>
      </c>
      <c r="E16" s="93">
        <v>6.3E-2</v>
      </c>
      <c r="F16" s="93">
        <v>1</v>
      </c>
      <c r="G16" s="93">
        <v>0.375</v>
      </c>
      <c r="H16" s="93">
        <v>0.8</v>
      </c>
      <c r="I16" s="94">
        <v>-0.2</v>
      </c>
      <c r="J16" s="93">
        <v>6.3E-2</v>
      </c>
      <c r="K16" s="93">
        <v>0</v>
      </c>
      <c r="L16" s="93">
        <v>0</v>
      </c>
      <c r="M16" s="86">
        <f>'1.2.10 Проф'!E17</f>
        <v>0.16666666666666666</v>
      </c>
      <c r="N16" s="86">
        <f>'1.2.10 Проф'!H17</f>
        <v>0</v>
      </c>
      <c r="O16" s="86">
        <f>'1.2.10 Проф'!K17</f>
        <v>0.2</v>
      </c>
      <c r="P16" s="94">
        <v>1</v>
      </c>
      <c r="Q16" s="49">
        <f t="shared" si="0"/>
        <v>5.3416666666666668</v>
      </c>
      <c r="R16" s="94">
        <v>0</v>
      </c>
      <c r="S16" s="94">
        <v>0</v>
      </c>
      <c r="T16" s="94">
        <v>-2.5999999999999999E-2</v>
      </c>
      <c r="U16" s="49">
        <f t="shared" si="1"/>
        <v>-2.5999999999999999E-2</v>
      </c>
      <c r="V16" s="49">
        <f t="shared" si="2"/>
        <v>5.315666666666667</v>
      </c>
      <c r="W16" s="224">
        <f t="shared" si="3"/>
        <v>0.31268627450980396</v>
      </c>
      <c r="X16" s="508"/>
    </row>
    <row r="17" spans="1:547" x14ac:dyDescent="0.25">
      <c r="A17" s="125">
        <v>11</v>
      </c>
      <c r="B17" s="28" t="s">
        <v>147</v>
      </c>
      <c r="C17" s="94">
        <v>0.97399999999999998</v>
      </c>
      <c r="D17" s="94">
        <v>0.97399999999999998</v>
      </c>
      <c r="E17" s="94">
        <v>2.5999999999999999E-2</v>
      </c>
      <c r="F17" s="94">
        <v>1</v>
      </c>
      <c r="G17" s="94">
        <v>0.71</v>
      </c>
      <c r="H17" s="94">
        <v>1</v>
      </c>
      <c r="I17" s="93">
        <v>0</v>
      </c>
      <c r="J17" s="94">
        <v>5.1999999999999998E-2</v>
      </c>
      <c r="K17" s="94">
        <v>0</v>
      </c>
      <c r="L17" s="94">
        <v>0</v>
      </c>
      <c r="M17" s="86">
        <f>'1.2.10 Проф'!E18</f>
        <v>0</v>
      </c>
      <c r="N17" s="86">
        <f>'1.2.10 Проф'!H18</f>
        <v>0</v>
      </c>
      <c r="O17" s="86">
        <f>'1.2.10 Проф'!K18</f>
        <v>0.5</v>
      </c>
      <c r="P17" s="94">
        <v>1</v>
      </c>
      <c r="Q17" s="49">
        <f t="shared" si="0"/>
        <v>6.2359999999999998</v>
      </c>
      <c r="R17" s="94">
        <v>0</v>
      </c>
      <c r="S17" s="94">
        <v>0</v>
      </c>
      <c r="T17" s="94">
        <v>0</v>
      </c>
      <c r="U17" s="49">
        <f t="shared" si="1"/>
        <v>0</v>
      </c>
      <c r="V17" s="49">
        <f t="shared" si="2"/>
        <v>6.2359999999999998</v>
      </c>
      <c r="W17" s="224">
        <f t="shared" si="3"/>
        <v>0.36682352941176471</v>
      </c>
      <c r="X17" s="508"/>
    </row>
    <row r="18" spans="1:547" ht="25.5" x14ac:dyDescent="0.25">
      <c r="A18" s="125">
        <v>12</v>
      </c>
      <c r="B18" s="28" t="s">
        <v>178</v>
      </c>
      <c r="C18" s="94">
        <v>1</v>
      </c>
      <c r="D18" s="94">
        <v>0.97199999999999998</v>
      </c>
      <c r="E18" s="94">
        <v>2.8000000000000001E-2</v>
      </c>
      <c r="F18" s="94">
        <v>1</v>
      </c>
      <c r="G18" s="94">
        <v>0.8</v>
      </c>
      <c r="H18" s="94">
        <v>1</v>
      </c>
      <c r="I18" s="93">
        <v>0</v>
      </c>
      <c r="J18" s="94">
        <v>2.7E-2</v>
      </c>
      <c r="K18" s="94">
        <v>8.3000000000000004E-2</v>
      </c>
      <c r="L18" s="94">
        <v>0</v>
      </c>
      <c r="M18" s="86">
        <f>'1.2.10 Проф'!E19</f>
        <v>0.5</v>
      </c>
      <c r="N18" s="86">
        <f>'1.2.10 Проф'!H19</f>
        <v>0</v>
      </c>
      <c r="O18" s="86">
        <f>'1.2.10 Проф'!K19</f>
        <v>0</v>
      </c>
      <c r="P18" s="94">
        <v>1</v>
      </c>
      <c r="Q18" s="49">
        <f t="shared" si="0"/>
        <v>6.41</v>
      </c>
      <c r="R18" s="94">
        <v>0</v>
      </c>
      <c r="S18" s="94">
        <v>0</v>
      </c>
      <c r="T18" s="94">
        <v>0</v>
      </c>
      <c r="U18" s="49">
        <f t="shared" si="1"/>
        <v>0</v>
      </c>
      <c r="V18" s="49">
        <f t="shared" si="2"/>
        <v>6.41</v>
      </c>
      <c r="W18" s="224">
        <f t="shared" si="3"/>
        <v>0.37705882352941178</v>
      </c>
      <c r="X18" s="508"/>
    </row>
    <row r="19" spans="1:547" ht="29.25" customHeight="1" x14ac:dyDescent="0.25">
      <c r="A19" s="125">
        <v>13</v>
      </c>
      <c r="B19" s="28" t="s">
        <v>148</v>
      </c>
      <c r="C19" s="94">
        <v>0.89</v>
      </c>
      <c r="D19" s="94">
        <v>0.92300000000000004</v>
      </c>
      <c r="E19" s="94">
        <v>7.6999999999999999E-2</v>
      </c>
      <c r="F19" s="94">
        <v>1</v>
      </c>
      <c r="G19" s="94">
        <v>0.53800000000000003</v>
      </c>
      <c r="H19" s="94">
        <v>1</v>
      </c>
      <c r="I19" s="93">
        <v>0</v>
      </c>
      <c r="J19" s="94">
        <v>3.7999999999999999E-2</v>
      </c>
      <c r="K19" s="94">
        <v>0.115</v>
      </c>
      <c r="L19" s="94">
        <v>7.5999999999999998E-2</v>
      </c>
      <c r="M19" s="86">
        <f>'1.2.10 Проф'!E20</f>
        <v>0</v>
      </c>
      <c r="N19" s="86">
        <f>'1.2.10 Проф'!H20</f>
        <v>0</v>
      </c>
      <c r="O19" s="86">
        <f>'1.2.10 Проф'!K20</f>
        <v>0</v>
      </c>
      <c r="P19" s="78">
        <v>0.5</v>
      </c>
      <c r="Q19" s="49">
        <f t="shared" si="0"/>
        <v>5.157</v>
      </c>
      <c r="R19" s="94">
        <v>0</v>
      </c>
      <c r="S19" s="94">
        <v>0</v>
      </c>
      <c r="T19" s="94">
        <v>0</v>
      </c>
      <c r="U19" s="49">
        <f t="shared" si="1"/>
        <v>0</v>
      </c>
      <c r="V19" s="49">
        <f t="shared" si="2"/>
        <v>5.157</v>
      </c>
      <c r="W19" s="224">
        <f t="shared" si="3"/>
        <v>0.3033529411764706</v>
      </c>
      <c r="X19" s="508"/>
    </row>
    <row r="20" spans="1:547" s="122" customFormat="1" x14ac:dyDescent="0.25">
      <c r="A20" s="154">
        <v>14</v>
      </c>
      <c r="B20" s="182" t="s">
        <v>173</v>
      </c>
      <c r="C20" s="78">
        <v>1</v>
      </c>
      <c r="D20" s="78">
        <v>1</v>
      </c>
      <c r="E20" s="78">
        <v>0</v>
      </c>
      <c r="F20" s="78">
        <v>0.5</v>
      </c>
      <c r="G20" s="78">
        <v>0.14299999999999999</v>
      </c>
      <c r="H20" s="78">
        <v>0</v>
      </c>
      <c r="I20" s="131"/>
      <c r="J20" s="78">
        <v>0</v>
      </c>
      <c r="K20" s="78">
        <v>0</v>
      </c>
      <c r="L20" s="78">
        <v>7.0999999999999994E-2</v>
      </c>
      <c r="M20" s="554">
        <f>'1.2.10 Проф'!E21</f>
        <v>1</v>
      </c>
      <c r="N20" s="554">
        <f>'1.2.10 Проф'!H21</f>
        <v>1</v>
      </c>
      <c r="O20" s="554">
        <f>'1.2.10 Проф'!K21</f>
        <v>0</v>
      </c>
      <c r="P20" s="78">
        <v>1</v>
      </c>
      <c r="Q20" s="555">
        <f t="shared" si="0"/>
        <v>5.7140000000000004</v>
      </c>
      <c r="R20" s="78">
        <v>0</v>
      </c>
      <c r="S20" s="78">
        <v>0</v>
      </c>
      <c r="T20" s="78">
        <v>-9.5000000000000001E-2</v>
      </c>
      <c r="U20" s="555">
        <f t="shared" si="1"/>
        <v>-9.5000000000000001E-2</v>
      </c>
      <c r="V20" s="555">
        <f t="shared" si="2"/>
        <v>5.6190000000000007</v>
      </c>
      <c r="W20" s="556">
        <f t="shared" si="3"/>
        <v>0.35118749999999999</v>
      </c>
      <c r="X20" s="557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1"/>
      <c r="NJ20" s="121"/>
      <c r="NK20" s="121"/>
      <c r="NL20" s="121"/>
      <c r="NM20" s="121"/>
      <c r="NN20" s="121"/>
      <c r="NO20" s="121"/>
      <c r="NP20" s="121"/>
      <c r="NQ20" s="121"/>
      <c r="NR20" s="121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  <c r="PY20" s="121"/>
      <c r="PZ20" s="121"/>
      <c r="QA20" s="121"/>
      <c r="QB20" s="121"/>
      <c r="QC20" s="121"/>
      <c r="QD20" s="121"/>
      <c r="QE20" s="121"/>
      <c r="QF20" s="121"/>
      <c r="QG20" s="121"/>
      <c r="QH20" s="121"/>
      <c r="QI20" s="121"/>
      <c r="QJ20" s="121"/>
      <c r="QK20" s="121"/>
      <c r="QL20" s="121"/>
      <c r="QM20" s="121"/>
      <c r="QN20" s="121"/>
      <c r="QO20" s="121"/>
      <c r="QP20" s="121"/>
      <c r="QQ20" s="121"/>
      <c r="QR20" s="121"/>
      <c r="QS20" s="121"/>
      <c r="QT20" s="121"/>
      <c r="QU20" s="121"/>
      <c r="QV20" s="121"/>
      <c r="QW20" s="121"/>
      <c r="QX20" s="121"/>
      <c r="QY20" s="121"/>
      <c r="QZ20" s="121"/>
      <c r="RA20" s="121"/>
      <c r="RB20" s="121"/>
      <c r="RC20" s="121"/>
      <c r="RD20" s="121"/>
      <c r="RE20" s="121"/>
      <c r="RF20" s="121"/>
      <c r="RG20" s="121"/>
      <c r="RH20" s="121"/>
      <c r="RI20" s="121"/>
      <c r="RJ20" s="121"/>
      <c r="RK20" s="121"/>
      <c r="RL20" s="121"/>
      <c r="RM20" s="121"/>
      <c r="RN20" s="121"/>
      <c r="RO20" s="121"/>
      <c r="RP20" s="121"/>
      <c r="RQ20" s="121"/>
      <c r="RR20" s="121"/>
      <c r="RS20" s="121"/>
      <c r="RT20" s="121"/>
      <c r="RU20" s="121"/>
      <c r="RV20" s="121"/>
      <c r="RW20" s="121"/>
      <c r="RX20" s="121"/>
      <c r="RY20" s="121"/>
      <c r="RZ20" s="121"/>
      <c r="SA20" s="121"/>
      <c r="SB20" s="121"/>
      <c r="SC20" s="121"/>
      <c r="SD20" s="121"/>
      <c r="SE20" s="121"/>
      <c r="SF20" s="121"/>
      <c r="SG20" s="121"/>
      <c r="SH20" s="121"/>
      <c r="SI20" s="121"/>
      <c r="SJ20" s="121"/>
      <c r="SK20" s="121"/>
      <c r="SL20" s="121"/>
      <c r="SM20" s="121"/>
      <c r="SN20" s="121"/>
      <c r="SO20" s="121"/>
      <c r="SP20" s="121"/>
      <c r="SQ20" s="121"/>
      <c r="SR20" s="121"/>
      <c r="SS20" s="121"/>
      <c r="ST20" s="121"/>
      <c r="SU20" s="121"/>
      <c r="SV20" s="121"/>
      <c r="SW20" s="121"/>
      <c r="SX20" s="121"/>
      <c r="SY20" s="121"/>
      <c r="SZ20" s="121"/>
      <c r="TA20" s="121"/>
      <c r="TB20" s="121"/>
      <c r="TC20" s="121"/>
      <c r="TD20" s="121"/>
      <c r="TE20" s="121"/>
      <c r="TF20" s="121"/>
      <c r="TG20" s="121"/>
      <c r="TH20" s="121"/>
      <c r="TI20" s="121"/>
      <c r="TJ20" s="121"/>
      <c r="TK20" s="121"/>
      <c r="TL20" s="121"/>
      <c r="TM20" s="121"/>
      <c r="TN20" s="121"/>
      <c r="TO20" s="121"/>
      <c r="TP20" s="121"/>
      <c r="TQ20" s="121"/>
      <c r="TR20" s="121"/>
      <c r="TS20" s="121"/>
      <c r="TT20" s="121"/>
      <c r="TU20" s="121"/>
      <c r="TV20" s="121"/>
      <c r="TW20" s="121"/>
      <c r="TX20" s="121"/>
      <c r="TY20" s="121"/>
      <c r="TZ20" s="121"/>
      <c r="UA20" s="121"/>
    </row>
    <row r="21" spans="1:547" x14ac:dyDescent="0.25">
      <c r="A21" s="125">
        <v>15</v>
      </c>
      <c r="B21" s="28" t="s">
        <v>149</v>
      </c>
      <c r="C21" s="94">
        <v>1</v>
      </c>
      <c r="D21" s="94">
        <v>1</v>
      </c>
      <c r="E21" s="94">
        <v>0</v>
      </c>
      <c r="F21" s="94">
        <v>1</v>
      </c>
      <c r="G21" s="94">
        <v>0.29599999999999999</v>
      </c>
      <c r="H21" s="94">
        <v>1</v>
      </c>
      <c r="I21" s="93">
        <v>0</v>
      </c>
      <c r="J21" s="94">
        <v>4.7E-2</v>
      </c>
      <c r="K21" s="94">
        <v>0</v>
      </c>
      <c r="L21" s="94">
        <v>0</v>
      </c>
      <c r="M21" s="86">
        <f>'1.2.10 Проф'!E22</f>
        <v>1</v>
      </c>
      <c r="N21" s="86">
        <f>'1.2.10 Проф'!H22</f>
        <v>0</v>
      </c>
      <c r="O21" s="86">
        <f>'1.2.10 Проф'!K22</f>
        <v>0</v>
      </c>
      <c r="P21" s="94">
        <v>1</v>
      </c>
      <c r="Q21" s="49">
        <f t="shared" si="0"/>
        <v>6.3429999999999991</v>
      </c>
      <c r="R21" s="94">
        <v>0</v>
      </c>
      <c r="S21" s="94">
        <v>0</v>
      </c>
      <c r="T21" s="94">
        <v>-9.2999999999999999E-2</v>
      </c>
      <c r="U21" s="49">
        <f t="shared" si="1"/>
        <v>-9.2999999999999999E-2</v>
      </c>
      <c r="V21" s="49">
        <f t="shared" si="2"/>
        <v>6.2499999999999991</v>
      </c>
      <c r="W21" s="224">
        <f t="shared" si="3"/>
        <v>0.36764705882352938</v>
      </c>
      <c r="X21" s="508"/>
    </row>
    <row r="22" spans="1:547" x14ac:dyDescent="0.25">
      <c r="A22" s="125">
        <v>16</v>
      </c>
      <c r="B22" s="28" t="s">
        <v>150</v>
      </c>
      <c r="C22" s="94">
        <v>0.97</v>
      </c>
      <c r="D22" s="94">
        <v>0.90600000000000003</v>
      </c>
      <c r="E22" s="94">
        <v>9.4E-2</v>
      </c>
      <c r="F22" s="94">
        <v>1</v>
      </c>
      <c r="G22" s="94">
        <v>0.46800000000000003</v>
      </c>
      <c r="H22" s="94">
        <v>1</v>
      </c>
      <c r="I22" s="93">
        <v>0</v>
      </c>
      <c r="J22" s="94">
        <v>6.3E-2</v>
      </c>
      <c r="K22" s="94">
        <v>9.2999999999999999E-2</v>
      </c>
      <c r="L22" s="94">
        <v>6.3E-2</v>
      </c>
      <c r="M22" s="86">
        <f>'1.2.10 Проф'!E23</f>
        <v>0</v>
      </c>
      <c r="N22" s="86">
        <f>'1.2.10 Проф'!H23</f>
        <v>0</v>
      </c>
      <c r="O22" s="86">
        <f>'1.2.10 Проф'!K23</f>
        <v>0</v>
      </c>
      <c r="P22" s="94">
        <v>1</v>
      </c>
      <c r="Q22" s="49">
        <f t="shared" si="0"/>
        <v>5.6569999999999991</v>
      </c>
      <c r="R22" s="116">
        <v>0</v>
      </c>
      <c r="S22" s="116">
        <v>0</v>
      </c>
      <c r="T22" s="116">
        <v>0</v>
      </c>
      <c r="U22" s="49">
        <f t="shared" si="1"/>
        <v>0</v>
      </c>
      <c r="V22" s="49">
        <f t="shared" si="2"/>
        <v>5.6569999999999991</v>
      </c>
      <c r="W22" s="224">
        <f t="shared" si="3"/>
        <v>0.33276470588235291</v>
      </c>
      <c r="X22" s="508"/>
    </row>
    <row r="23" spans="1:547" x14ac:dyDescent="0.25">
      <c r="A23" s="125">
        <v>17</v>
      </c>
      <c r="B23" s="28" t="s">
        <v>151</v>
      </c>
      <c r="C23" s="41">
        <v>1</v>
      </c>
      <c r="D23" s="117">
        <v>0.97</v>
      </c>
      <c r="E23" s="117">
        <v>0.03</v>
      </c>
      <c r="F23" s="116">
        <v>1</v>
      </c>
      <c r="G23" s="116">
        <v>0.61</v>
      </c>
      <c r="H23" s="116">
        <v>1</v>
      </c>
      <c r="I23" s="215">
        <v>0</v>
      </c>
      <c r="J23" s="116">
        <v>0</v>
      </c>
      <c r="K23" s="116">
        <v>0.03</v>
      </c>
      <c r="L23" s="116">
        <v>7.0000000000000007E-2</v>
      </c>
      <c r="M23" s="86">
        <f>'1.2.10 Проф'!E24</f>
        <v>0</v>
      </c>
      <c r="N23" s="86">
        <f>'1.2.10 Проф'!H24</f>
        <v>1</v>
      </c>
      <c r="O23" s="86">
        <f>'1.2.10 Проф'!K24</f>
        <v>1</v>
      </c>
      <c r="P23" s="94">
        <v>1</v>
      </c>
      <c r="Q23" s="49">
        <f t="shared" si="0"/>
        <v>7.71</v>
      </c>
      <c r="R23" s="94">
        <v>0</v>
      </c>
      <c r="S23" s="94">
        <v>-0.03</v>
      </c>
      <c r="T23" s="94">
        <v>0</v>
      </c>
      <c r="U23" s="49">
        <f t="shared" si="1"/>
        <v>-0.03</v>
      </c>
      <c r="V23" s="49">
        <f t="shared" si="2"/>
        <v>7.68</v>
      </c>
      <c r="W23" s="224">
        <f t="shared" si="3"/>
        <v>0.45176470588235296</v>
      </c>
      <c r="X23" s="508"/>
    </row>
    <row r="24" spans="1:547" x14ac:dyDescent="0.25">
      <c r="A24" s="125">
        <v>18</v>
      </c>
      <c r="B24" s="28" t="s">
        <v>152</v>
      </c>
      <c r="C24" s="94">
        <v>1</v>
      </c>
      <c r="D24" s="94">
        <v>0.93899999999999995</v>
      </c>
      <c r="E24" s="94">
        <v>6.0999999999999999E-2</v>
      </c>
      <c r="F24" s="94">
        <v>1</v>
      </c>
      <c r="G24" s="94">
        <v>0.48499999999999999</v>
      </c>
      <c r="H24" s="94">
        <v>1</v>
      </c>
      <c r="I24" s="93">
        <v>0</v>
      </c>
      <c r="J24" s="94">
        <v>0.03</v>
      </c>
      <c r="K24" s="94">
        <v>6.0999999999999999E-2</v>
      </c>
      <c r="L24" s="94">
        <v>0.03</v>
      </c>
      <c r="M24" s="86">
        <f>'1.2.10 Проф'!E25</f>
        <v>1</v>
      </c>
      <c r="N24" s="86">
        <f>'1.2.10 Проф'!H25</f>
        <v>0</v>
      </c>
      <c r="O24" s="86">
        <f>'1.2.10 Проф'!K25</f>
        <v>0</v>
      </c>
      <c r="P24" s="78">
        <v>1</v>
      </c>
      <c r="Q24" s="49">
        <f t="shared" si="0"/>
        <v>6.6059999999999999</v>
      </c>
      <c r="R24" s="94">
        <v>0</v>
      </c>
      <c r="S24" s="94">
        <v>-8.1000000000000003E-2</v>
      </c>
      <c r="T24" s="94">
        <v>-8.1000000000000003E-2</v>
      </c>
      <c r="U24" s="49">
        <f t="shared" si="1"/>
        <v>-0.16200000000000001</v>
      </c>
      <c r="V24" s="49">
        <f t="shared" si="2"/>
        <v>6.444</v>
      </c>
      <c r="W24" s="224">
        <f t="shared" si="3"/>
        <v>0.37905882352941184</v>
      </c>
      <c r="X24" s="508"/>
    </row>
    <row r="25" spans="1:547" s="547" customFormat="1" x14ac:dyDescent="0.25">
      <c r="A25" s="125">
        <v>19</v>
      </c>
      <c r="B25" s="28" t="s">
        <v>153</v>
      </c>
      <c r="C25" s="93">
        <v>0.92600000000000005</v>
      </c>
      <c r="D25" s="94">
        <v>0.91700000000000004</v>
      </c>
      <c r="E25" s="94">
        <v>8.3000000000000004E-2</v>
      </c>
      <c r="F25" s="94">
        <v>1</v>
      </c>
      <c r="G25" s="94">
        <v>0.27</v>
      </c>
      <c r="H25" s="94">
        <v>1</v>
      </c>
      <c r="I25" s="93">
        <v>0</v>
      </c>
      <c r="J25" s="94">
        <v>8.1000000000000003E-2</v>
      </c>
      <c r="K25" s="94">
        <v>0</v>
      </c>
      <c r="L25" s="94">
        <v>2.4E-2</v>
      </c>
      <c r="M25" s="86">
        <f>'1.2.10 Проф'!E26</f>
        <v>1</v>
      </c>
      <c r="N25" s="86">
        <f>'1.2.10 Проф'!H26</f>
        <v>0.75</v>
      </c>
      <c r="O25" s="86">
        <f>'1.2.10 Проф'!K26</f>
        <v>0</v>
      </c>
      <c r="P25" s="94">
        <v>1</v>
      </c>
      <c r="Q25" s="543">
        <f t="shared" si="0"/>
        <v>7.0510000000000002</v>
      </c>
      <c r="R25" s="94">
        <v>-0.02</v>
      </c>
      <c r="S25" s="94">
        <v>-0.02</v>
      </c>
      <c r="T25" s="94">
        <v>-3.9E-2</v>
      </c>
      <c r="U25" s="543">
        <f t="shared" si="1"/>
        <v>-7.9000000000000001E-2</v>
      </c>
      <c r="V25" s="543">
        <f t="shared" si="2"/>
        <v>6.9720000000000004</v>
      </c>
      <c r="W25" s="544">
        <f t="shared" si="3"/>
        <v>0.41011764705882359</v>
      </c>
      <c r="X25" s="545"/>
      <c r="Y25" s="546"/>
      <c r="Z25" s="546"/>
      <c r="AA25" s="546"/>
      <c r="AB25" s="546"/>
      <c r="AC25" s="546"/>
      <c r="AD25" s="546"/>
      <c r="AE25" s="546"/>
      <c r="AF25" s="546"/>
      <c r="AG25" s="546"/>
      <c r="AH25" s="546"/>
      <c r="AI25" s="546"/>
      <c r="AJ25" s="546"/>
      <c r="AK25" s="546"/>
      <c r="AL25" s="546"/>
      <c r="AM25" s="546"/>
      <c r="AN25" s="546"/>
      <c r="AO25" s="546"/>
      <c r="AP25" s="546"/>
      <c r="AQ25" s="546"/>
      <c r="AR25" s="546"/>
      <c r="AS25" s="546"/>
      <c r="AT25" s="546"/>
      <c r="AU25" s="546"/>
      <c r="AV25" s="546"/>
      <c r="AW25" s="546"/>
      <c r="AX25" s="546"/>
      <c r="AY25" s="546"/>
      <c r="AZ25" s="546"/>
      <c r="BA25" s="546"/>
      <c r="BB25" s="546"/>
      <c r="BC25" s="546"/>
      <c r="BD25" s="546"/>
      <c r="BE25" s="546"/>
      <c r="BF25" s="546"/>
      <c r="BG25" s="546"/>
      <c r="BH25" s="546"/>
      <c r="BI25" s="546"/>
      <c r="BJ25" s="546"/>
      <c r="BK25" s="546"/>
      <c r="BL25" s="546"/>
      <c r="BM25" s="546"/>
      <c r="BN25" s="546"/>
      <c r="BO25" s="546"/>
      <c r="BP25" s="546"/>
      <c r="BQ25" s="546"/>
      <c r="BR25" s="546"/>
      <c r="BS25" s="546"/>
      <c r="BT25" s="546"/>
      <c r="BU25" s="546"/>
      <c r="BV25" s="546"/>
      <c r="BW25" s="546"/>
      <c r="BX25" s="546"/>
      <c r="BY25" s="546"/>
      <c r="BZ25" s="546"/>
      <c r="CA25" s="546"/>
      <c r="CB25" s="546"/>
      <c r="CC25" s="546"/>
      <c r="CD25" s="546"/>
      <c r="CE25" s="546"/>
      <c r="CF25" s="546"/>
      <c r="CG25" s="546"/>
      <c r="CH25" s="546"/>
      <c r="CI25" s="546"/>
      <c r="CJ25" s="546"/>
      <c r="CK25" s="546"/>
      <c r="CL25" s="546"/>
      <c r="CM25" s="546"/>
      <c r="CN25" s="546"/>
      <c r="CO25" s="546"/>
      <c r="CP25" s="546"/>
      <c r="CQ25" s="546"/>
      <c r="CR25" s="546"/>
      <c r="CS25" s="546"/>
      <c r="CT25" s="546"/>
      <c r="CU25" s="546"/>
      <c r="CV25" s="546"/>
      <c r="CW25" s="546"/>
      <c r="CX25" s="546"/>
      <c r="CY25" s="546"/>
      <c r="CZ25" s="546"/>
      <c r="DA25" s="546"/>
      <c r="DB25" s="546"/>
      <c r="DC25" s="546"/>
      <c r="DD25" s="546"/>
      <c r="DE25" s="546"/>
      <c r="DF25" s="546"/>
      <c r="DG25" s="546"/>
      <c r="DH25" s="546"/>
      <c r="DI25" s="546"/>
      <c r="DJ25" s="546"/>
      <c r="DK25" s="546"/>
      <c r="DL25" s="546"/>
      <c r="DM25" s="546"/>
      <c r="DN25" s="546"/>
      <c r="DO25" s="546"/>
      <c r="DP25" s="546"/>
      <c r="DQ25" s="546"/>
      <c r="DR25" s="546"/>
      <c r="DS25" s="546"/>
      <c r="DT25" s="546"/>
      <c r="DU25" s="546"/>
      <c r="DV25" s="546"/>
      <c r="DW25" s="546"/>
      <c r="DX25" s="546"/>
      <c r="DY25" s="546"/>
      <c r="DZ25" s="546"/>
      <c r="EA25" s="546"/>
      <c r="EB25" s="546"/>
      <c r="EC25" s="546"/>
      <c r="ED25" s="546"/>
      <c r="EE25" s="546"/>
      <c r="EF25" s="546"/>
      <c r="EG25" s="546"/>
      <c r="EH25" s="546"/>
      <c r="EI25" s="546"/>
      <c r="EJ25" s="546"/>
      <c r="EK25" s="546"/>
      <c r="EL25" s="546"/>
      <c r="EM25" s="546"/>
      <c r="EN25" s="546"/>
      <c r="EO25" s="546"/>
      <c r="EP25" s="546"/>
      <c r="EQ25" s="546"/>
      <c r="ER25" s="546"/>
      <c r="ES25" s="546"/>
      <c r="ET25" s="546"/>
      <c r="EU25" s="546"/>
      <c r="EV25" s="546"/>
      <c r="EW25" s="546"/>
      <c r="EX25" s="546"/>
      <c r="EY25" s="546"/>
      <c r="EZ25" s="546"/>
      <c r="FA25" s="546"/>
      <c r="FB25" s="546"/>
      <c r="FC25" s="546"/>
      <c r="FD25" s="546"/>
      <c r="FE25" s="546"/>
      <c r="FF25" s="546"/>
      <c r="FG25" s="546"/>
      <c r="FH25" s="546"/>
      <c r="FI25" s="546"/>
      <c r="FJ25" s="546"/>
      <c r="FK25" s="546"/>
      <c r="FL25" s="546"/>
      <c r="FM25" s="546"/>
      <c r="FN25" s="546"/>
      <c r="FO25" s="546"/>
      <c r="FP25" s="546"/>
      <c r="FQ25" s="546"/>
      <c r="FR25" s="546"/>
      <c r="FS25" s="546"/>
      <c r="FT25" s="546"/>
      <c r="FU25" s="546"/>
      <c r="FV25" s="546"/>
      <c r="FW25" s="546"/>
      <c r="FX25" s="546"/>
      <c r="FY25" s="546"/>
      <c r="FZ25" s="546"/>
      <c r="GA25" s="546"/>
      <c r="GB25" s="546"/>
      <c r="GC25" s="546"/>
      <c r="GD25" s="546"/>
      <c r="GE25" s="546"/>
      <c r="GF25" s="546"/>
      <c r="GG25" s="546"/>
      <c r="GH25" s="546"/>
      <c r="GI25" s="546"/>
      <c r="GJ25" s="546"/>
      <c r="GK25" s="546"/>
      <c r="GL25" s="546"/>
      <c r="GM25" s="546"/>
      <c r="GN25" s="546"/>
      <c r="GO25" s="546"/>
      <c r="GP25" s="546"/>
      <c r="GQ25" s="546"/>
      <c r="GR25" s="546"/>
      <c r="GS25" s="546"/>
      <c r="GT25" s="546"/>
      <c r="GU25" s="546"/>
      <c r="GV25" s="546"/>
      <c r="GW25" s="546"/>
      <c r="GX25" s="546"/>
      <c r="GY25" s="546"/>
      <c r="GZ25" s="546"/>
      <c r="HA25" s="546"/>
      <c r="HB25" s="546"/>
      <c r="HC25" s="546"/>
      <c r="HD25" s="546"/>
      <c r="HE25" s="546"/>
      <c r="HF25" s="546"/>
      <c r="HG25" s="546"/>
      <c r="HH25" s="546"/>
      <c r="HI25" s="546"/>
      <c r="HJ25" s="546"/>
      <c r="HK25" s="546"/>
      <c r="HL25" s="546"/>
      <c r="HM25" s="546"/>
      <c r="HN25" s="546"/>
      <c r="HO25" s="546"/>
      <c r="HP25" s="546"/>
      <c r="HQ25" s="546"/>
      <c r="HR25" s="546"/>
      <c r="HS25" s="546"/>
      <c r="HT25" s="546"/>
      <c r="HU25" s="546"/>
      <c r="HV25" s="546"/>
      <c r="HW25" s="546"/>
      <c r="HX25" s="546"/>
      <c r="HY25" s="546"/>
      <c r="HZ25" s="546"/>
      <c r="IA25" s="546"/>
      <c r="IB25" s="546"/>
      <c r="IC25" s="546"/>
      <c r="ID25" s="546"/>
      <c r="IE25" s="546"/>
      <c r="IF25" s="546"/>
      <c r="IG25" s="546"/>
      <c r="IH25" s="546"/>
      <c r="II25" s="546"/>
      <c r="IJ25" s="546"/>
      <c r="IK25" s="546"/>
      <c r="IL25" s="546"/>
      <c r="IM25" s="546"/>
      <c r="IN25" s="546"/>
      <c r="IO25" s="546"/>
      <c r="IP25" s="546"/>
      <c r="IQ25" s="546"/>
      <c r="IR25" s="546"/>
      <c r="IS25" s="546"/>
      <c r="IT25" s="546"/>
      <c r="IU25" s="546"/>
      <c r="IV25" s="546"/>
      <c r="IW25" s="546"/>
      <c r="IX25" s="546"/>
      <c r="IY25" s="546"/>
      <c r="IZ25" s="546"/>
      <c r="JA25" s="546"/>
      <c r="JB25" s="546"/>
      <c r="JC25" s="546"/>
      <c r="JD25" s="546"/>
      <c r="JE25" s="546"/>
      <c r="JF25" s="546"/>
      <c r="JG25" s="546"/>
      <c r="JH25" s="546"/>
      <c r="JI25" s="546"/>
      <c r="JJ25" s="546"/>
      <c r="JK25" s="546"/>
      <c r="JL25" s="546"/>
      <c r="JM25" s="546"/>
      <c r="JN25" s="546"/>
      <c r="JO25" s="546"/>
      <c r="JP25" s="546"/>
      <c r="JQ25" s="546"/>
      <c r="JR25" s="546"/>
      <c r="JS25" s="546"/>
      <c r="JT25" s="546"/>
      <c r="JU25" s="546"/>
      <c r="JV25" s="546"/>
      <c r="JW25" s="546"/>
      <c r="JX25" s="546"/>
      <c r="JY25" s="546"/>
      <c r="JZ25" s="546"/>
      <c r="KA25" s="546"/>
      <c r="KB25" s="546"/>
      <c r="KC25" s="546"/>
      <c r="KD25" s="546"/>
      <c r="KE25" s="546"/>
      <c r="KF25" s="546"/>
      <c r="KG25" s="546"/>
      <c r="KH25" s="546"/>
      <c r="KI25" s="546"/>
      <c r="KJ25" s="546"/>
      <c r="KK25" s="546"/>
      <c r="KL25" s="546"/>
      <c r="KM25" s="546"/>
      <c r="KN25" s="546"/>
      <c r="KO25" s="546"/>
      <c r="KP25" s="546"/>
      <c r="KQ25" s="546"/>
      <c r="KR25" s="546"/>
      <c r="KS25" s="546"/>
      <c r="KT25" s="546"/>
      <c r="KU25" s="546"/>
      <c r="KV25" s="546"/>
      <c r="KW25" s="546"/>
      <c r="KX25" s="546"/>
      <c r="KY25" s="546"/>
      <c r="KZ25" s="546"/>
      <c r="LA25" s="546"/>
      <c r="LB25" s="546"/>
      <c r="LC25" s="546"/>
      <c r="LD25" s="546"/>
      <c r="LE25" s="546"/>
      <c r="LF25" s="546"/>
      <c r="LG25" s="546"/>
      <c r="LH25" s="546"/>
      <c r="LI25" s="546"/>
      <c r="LJ25" s="546"/>
      <c r="LK25" s="546"/>
      <c r="LL25" s="546"/>
      <c r="LM25" s="546"/>
      <c r="LN25" s="546"/>
      <c r="LO25" s="546"/>
      <c r="LP25" s="546"/>
      <c r="LQ25" s="546"/>
      <c r="LR25" s="546"/>
      <c r="LS25" s="546"/>
      <c r="LT25" s="546"/>
      <c r="LU25" s="546"/>
      <c r="LV25" s="546"/>
      <c r="LW25" s="546"/>
      <c r="LX25" s="546"/>
      <c r="LY25" s="546"/>
      <c r="LZ25" s="546"/>
      <c r="MA25" s="546"/>
      <c r="MB25" s="546"/>
      <c r="MC25" s="546"/>
      <c r="MD25" s="546"/>
      <c r="ME25" s="546"/>
      <c r="MF25" s="546"/>
      <c r="MG25" s="546"/>
      <c r="MH25" s="546"/>
      <c r="MI25" s="546"/>
      <c r="MJ25" s="546"/>
      <c r="MK25" s="546"/>
      <c r="ML25" s="546"/>
      <c r="MM25" s="546"/>
      <c r="MN25" s="546"/>
      <c r="MO25" s="546"/>
      <c r="MP25" s="546"/>
      <c r="MQ25" s="546"/>
      <c r="MR25" s="546"/>
      <c r="MS25" s="546"/>
      <c r="MT25" s="546"/>
      <c r="MU25" s="546"/>
      <c r="MV25" s="546"/>
      <c r="MW25" s="546"/>
      <c r="MX25" s="546"/>
      <c r="MY25" s="546"/>
      <c r="MZ25" s="546"/>
      <c r="NA25" s="546"/>
      <c r="NB25" s="546"/>
      <c r="NC25" s="546"/>
      <c r="ND25" s="546"/>
      <c r="NE25" s="546"/>
      <c r="NF25" s="546"/>
      <c r="NG25" s="546"/>
      <c r="NH25" s="546"/>
      <c r="NI25" s="546"/>
      <c r="NJ25" s="546"/>
      <c r="NK25" s="546"/>
      <c r="NL25" s="546"/>
      <c r="NM25" s="546"/>
      <c r="NN25" s="546"/>
      <c r="NO25" s="546"/>
      <c r="NP25" s="546"/>
      <c r="NQ25" s="546"/>
      <c r="NR25" s="546"/>
      <c r="NS25" s="546"/>
      <c r="NT25" s="546"/>
      <c r="NU25" s="546"/>
      <c r="NV25" s="546"/>
      <c r="NW25" s="546"/>
      <c r="NX25" s="546"/>
      <c r="NY25" s="546"/>
      <c r="NZ25" s="546"/>
      <c r="OA25" s="546"/>
      <c r="OB25" s="546"/>
      <c r="OC25" s="546"/>
      <c r="OD25" s="546"/>
      <c r="OE25" s="546"/>
      <c r="OF25" s="546"/>
      <c r="OG25" s="546"/>
      <c r="OH25" s="546"/>
      <c r="OI25" s="546"/>
      <c r="OJ25" s="546"/>
      <c r="OK25" s="546"/>
      <c r="OL25" s="546"/>
      <c r="OM25" s="546"/>
      <c r="ON25" s="546"/>
      <c r="OO25" s="546"/>
      <c r="OP25" s="546"/>
      <c r="OQ25" s="546"/>
      <c r="OR25" s="546"/>
      <c r="OS25" s="546"/>
      <c r="OT25" s="546"/>
      <c r="OU25" s="546"/>
      <c r="OV25" s="546"/>
      <c r="OW25" s="546"/>
      <c r="OX25" s="546"/>
      <c r="OY25" s="546"/>
      <c r="OZ25" s="546"/>
      <c r="PA25" s="546"/>
      <c r="PB25" s="546"/>
      <c r="PC25" s="546"/>
      <c r="PD25" s="546"/>
      <c r="PE25" s="546"/>
      <c r="PF25" s="546"/>
      <c r="PG25" s="546"/>
      <c r="PH25" s="546"/>
      <c r="PI25" s="546"/>
      <c r="PJ25" s="546"/>
      <c r="PK25" s="546"/>
      <c r="PL25" s="546"/>
      <c r="PM25" s="546"/>
      <c r="PN25" s="546"/>
      <c r="PO25" s="546"/>
      <c r="PP25" s="546"/>
      <c r="PQ25" s="546"/>
      <c r="PR25" s="546"/>
      <c r="PS25" s="546"/>
      <c r="PT25" s="546"/>
      <c r="PU25" s="546"/>
      <c r="PV25" s="546"/>
      <c r="PW25" s="546"/>
      <c r="PX25" s="546"/>
      <c r="PY25" s="546"/>
      <c r="PZ25" s="546"/>
      <c r="QA25" s="546"/>
      <c r="QB25" s="546"/>
      <c r="QC25" s="546"/>
      <c r="QD25" s="546"/>
      <c r="QE25" s="546"/>
      <c r="QF25" s="546"/>
      <c r="QG25" s="546"/>
      <c r="QH25" s="546"/>
      <c r="QI25" s="546"/>
      <c r="QJ25" s="546"/>
      <c r="QK25" s="546"/>
      <c r="QL25" s="546"/>
      <c r="QM25" s="546"/>
      <c r="QN25" s="546"/>
      <c r="QO25" s="546"/>
      <c r="QP25" s="546"/>
      <c r="QQ25" s="546"/>
      <c r="QR25" s="546"/>
      <c r="QS25" s="546"/>
      <c r="QT25" s="546"/>
      <c r="QU25" s="546"/>
      <c r="QV25" s="546"/>
      <c r="QW25" s="546"/>
      <c r="QX25" s="546"/>
      <c r="QY25" s="546"/>
      <c r="QZ25" s="546"/>
      <c r="RA25" s="546"/>
      <c r="RB25" s="546"/>
      <c r="RC25" s="546"/>
      <c r="RD25" s="546"/>
      <c r="RE25" s="546"/>
      <c r="RF25" s="546"/>
      <c r="RG25" s="546"/>
      <c r="RH25" s="546"/>
      <c r="RI25" s="546"/>
      <c r="RJ25" s="546"/>
      <c r="RK25" s="546"/>
      <c r="RL25" s="546"/>
      <c r="RM25" s="546"/>
      <c r="RN25" s="546"/>
      <c r="RO25" s="546"/>
      <c r="RP25" s="546"/>
      <c r="RQ25" s="546"/>
      <c r="RR25" s="546"/>
      <c r="RS25" s="546"/>
      <c r="RT25" s="546"/>
      <c r="RU25" s="546"/>
      <c r="RV25" s="546"/>
      <c r="RW25" s="546"/>
      <c r="RX25" s="546"/>
      <c r="RY25" s="546"/>
      <c r="RZ25" s="546"/>
      <c r="SA25" s="546"/>
      <c r="SB25" s="546"/>
      <c r="SC25" s="546"/>
      <c r="SD25" s="546"/>
      <c r="SE25" s="546"/>
      <c r="SF25" s="546"/>
      <c r="SG25" s="546"/>
      <c r="SH25" s="546"/>
      <c r="SI25" s="546"/>
      <c r="SJ25" s="546"/>
      <c r="SK25" s="546"/>
      <c r="SL25" s="546"/>
      <c r="SM25" s="546"/>
      <c r="SN25" s="546"/>
      <c r="SO25" s="546"/>
      <c r="SP25" s="546"/>
      <c r="SQ25" s="546"/>
      <c r="SR25" s="546"/>
      <c r="SS25" s="546"/>
      <c r="ST25" s="546"/>
      <c r="SU25" s="546"/>
      <c r="SV25" s="546"/>
      <c r="SW25" s="546"/>
      <c r="SX25" s="546"/>
      <c r="SY25" s="546"/>
      <c r="SZ25" s="546"/>
      <c r="TA25" s="546"/>
      <c r="TB25" s="546"/>
      <c r="TC25" s="546"/>
      <c r="TD25" s="546"/>
      <c r="TE25" s="546"/>
      <c r="TF25" s="546"/>
      <c r="TG25" s="546"/>
      <c r="TH25" s="546"/>
      <c r="TI25" s="546"/>
      <c r="TJ25" s="546"/>
      <c r="TK25" s="546"/>
      <c r="TL25" s="546"/>
      <c r="TM25" s="546"/>
      <c r="TN25" s="546"/>
      <c r="TO25" s="546"/>
      <c r="TP25" s="546"/>
      <c r="TQ25" s="546"/>
      <c r="TR25" s="546"/>
      <c r="TS25" s="546"/>
      <c r="TT25" s="546"/>
      <c r="TU25" s="546"/>
      <c r="TV25" s="546"/>
      <c r="TW25" s="546"/>
      <c r="TX25" s="546"/>
      <c r="TY25" s="546"/>
      <c r="TZ25" s="546"/>
      <c r="UA25" s="546"/>
    </row>
    <row r="26" spans="1:547" s="122" customFormat="1" x14ac:dyDescent="0.25">
      <c r="A26" s="154">
        <v>20</v>
      </c>
      <c r="B26" s="182" t="s">
        <v>154</v>
      </c>
      <c r="C26" s="78">
        <v>1</v>
      </c>
      <c r="D26" s="78">
        <v>1</v>
      </c>
      <c r="E26" s="78">
        <v>0</v>
      </c>
      <c r="F26" s="78">
        <v>1</v>
      </c>
      <c r="G26" s="78">
        <v>0.80400000000000005</v>
      </c>
      <c r="H26" s="78">
        <v>0.98</v>
      </c>
      <c r="I26" s="131">
        <v>-0.02</v>
      </c>
      <c r="J26" s="78">
        <v>5.8999999999999997E-2</v>
      </c>
      <c r="K26" s="78">
        <v>7.8E-2</v>
      </c>
      <c r="L26" s="78">
        <v>5.8999999999999997E-2</v>
      </c>
      <c r="M26" s="554">
        <f>'1.2.10 Проф'!E27</f>
        <v>0</v>
      </c>
      <c r="N26" s="554">
        <f>'1.2.10 Проф'!H27</f>
        <v>0</v>
      </c>
      <c r="O26" s="554">
        <f>'1.2.10 Проф'!K27</f>
        <v>0</v>
      </c>
      <c r="P26" s="78">
        <v>1</v>
      </c>
      <c r="Q26" s="555">
        <f t="shared" si="0"/>
        <v>5.9600000000000017</v>
      </c>
      <c r="R26" s="78">
        <v>0</v>
      </c>
      <c r="S26" s="78">
        <v>-0.33</v>
      </c>
      <c r="T26" s="78">
        <v>0</v>
      </c>
      <c r="U26" s="555">
        <f t="shared" si="1"/>
        <v>-0.33</v>
      </c>
      <c r="V26" s="555">
        <f t="shared" si="2"/>
        <v>5.6300000000000017</v>
      </c>
      <c r="W26" s="556">
        <f t="shared" si="3"/>
        <v>0.33117647058823541</v>
      </c>
      <c r="X26" s="557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  <c r="JA26" s="121"/>
      <c r="JB26" s="121"/>
      <c r="JC26" s="121"/>
      <c r="JD26" s="121"/>
      <c r="JE26" s="121"/>
      <c r="JF26" s="121"/>
      <c r="JG26" s="121"/>
      <c r="JH26" s="121"/>
      <c r="JI26" s="121"/>
      <c r="JJ26" s="121"/>
      <c r="JK26" s="121"/>
      <c r="JL26" s="121"/>
      <c r="JM26" s="121"/>
      <c r="JN26" s="121"/>
      <c r="JO26" s="121"/>
      <c r="JP26" s="121"/>
      <c r="JQ26" s="121"/>
      <c r="JR26" s="121"/>
      <c r="JS26" s="121"/>
      <c r="JT26" s="121"/>
      <c r="JU26" s="121"/>
      <c r="JV26" s="121"/>
      <c r="JW26" s="121"/>
      <c r="JX26" s="121"/>
      <c r="JY26" s="121"/>
      <c r="JZ26" s="121"/>
      <c r="KA26" s="121"/>
      <c r="KB26" s="121"/>
      <c r="KC26" s="121"/>
      <c r="KD26" s="121"/>
      <c r="KE26" s="121"/>
      <c r="KF26" s="121"/>
      <c r="KG26" s="121"/>
      <c r="KH26" s="121"/>
      <c r="KI26" s="121"/>
      <c r="KJ26" s="121"/>
      <c r="KK26" s="121"/>
      <c r="KL26" s="121"/>
      <c r="KM26" s="121"/>
      <c r="KN26" s="121"/>
      <c r="KO26" s="121"/>
      <c r="KP26" s="121"/>
      <c r="KQ26" s="121"/>
      <c r="KR26" s="121"/>
      <c r="KS26" s="121"/>
      <c r="KT26" s="121"/>
      <c r="KU26" s="121"/>
      <c r="KV26" s="121"/>
      <c r="KW26" s="121"/>
      <c r="KX26" s="121"/>
      <c r="KY26" s="121"/>
      <c r="KZ26" s="121"/>
      <c r="LA26" s="121"/>
      <c r="LB26" s="121"/>
      <c r="LC26" s="121"/>
      <c r="LD26" s="121"/>
      <c r="LE26" s="121"/>
      <c r="LF26" s="121"/>
      <c r="LG26" s="121"/>
      <c r="LH26" s="121"/>
      <c r="LI26" s="121"/>
      <c r="LJ26" s="121"/>
      <c r="LK26" s="121"/>
      <c r="LL26" s="121"/>
      <c r="LM26" s="121"/>
      <c r="LN26" s="121"/>
      <c r="LO26" s="121"/>
      <c r="LP26" s="121"/>
      <c r="LQ26" s="121"/>
      <c r="LR26" s="121"/>
      <c r="LS26" s="121"/>
      <c r="LT26" s="121"/>
      <c r="LU26" s="121"/>
      <c r="LV26" s="121"/>
      <c r="LW26" s="121"/>
      <c r="LX26" s="121"/>
      <c r="LY26" s="121"/>
      <c r="LZ26" s="121"/>
      <c r="MA26" s="121"/>
      <c r="MB26" s="121"/>
      <c r="MC26" s="121"/>
      <c r="MD26" s="121"/>
      <c r="ME26" s="121"/>
      <c r="MF26" s="121"/>
      <c r="MG26" s="121"/>
      <c r="MH26" s="121"/>
      <c r="MI26" s="121"/>
      <c r="MJ26" s="121"/>
      <c r="MK26" s="121"/>
      <c r="ML26" s="121"/>
      <c r="MM26" s="121"/>
      <c r="MN26" s="121"/>
      <c r="MO26" s="121"/>
      <c r="MP26" s="121"/>
      <c r="MQ26" s="121"/>
      <c r="MR26" s="121"/>
      <c r="MS26" s="121"/>
      <c r="MT26" s="121"/>
      <c r="MU26" s="121"/>
      <c r="MV26" s="121"/>
      <c r="MW26" s="121"/>
      <c r="MX26" s="121"/>
      <c r="MY26" s="121"/>
      <c r="MZ26" s="121"/>
      <c r="NA26" s="121"/>
      <c r="NB26" s="121"/>
      <c r="NC26" s="121"/>
      <c r="ND26" s="121"/>
      <c r="NE26" s="121"/>
      <c r="NF26" s="121"/>
      <c r="NG26" s="121"/>
      <c r="NH26" s="121"/>
      <c r="NI26" s="121"/>
      <c r="NJ26" s="121"/>
      <c r="NK26" s="121"/>
      <c r="NL26" s="121"/>
      <c r="NM26" s="121"/>
      <c r="NN26" s="121"/>
      <c r="NO26" s="121"/>
      <c r="NP26" s="121"/>
      <c r="NQ26" s="121"/>
      <c r="NR26" s="121"/>
      <c r="NS26" s="121"/>
      <c r="NT26" s="121"/>
      <c r="NU26" s="121"/>
      <c r="NV26" s="121"/>
      <c r="NW26" s="121"/>
      <c r="NX26" s="121"/>
      <c r="NY26" s="121"/>
      <c r="NZ26" s="121"/>
      <c r="OA26" s="121"/>
      <c r="OB26" s="121"/>
      <c r="OC26" s="121"/>
      <c r="OD26" s="121"/>
      <c r="OE26" s="121"/>
      <c r="OF26" s="121"/>
      <c r="OG26" s="121"/>
      <c r="OH26" s="121"/>
      <c r="OI26" s="121"/>
      <c r="OJ26" s="121"/>
      <c r="OK26" s="121"/>
      <c r="OL26" s="121"/>
      <c r="OM26" s="121"/>
      <c r="ON26" s="121"/>
      <c r="OO26" s="121"/>
      <c r="OP26" s="121"/>
      <c r="OQ26" s="121"/>
      <c r="OR26" s="121"/>
      <c r="OS26" s="121"/>
      <c r="OT26" s="121"/>
      <c r="OU26" s="121"/>
      <c r="OV26" s="121"/>
      <c r="OW26" s="121"/>
      <c r="OX26" s="121"/>
      <c r="OY26" s="121"/>
      <c r="OZ26" s="121"/>
      <c r="PA26" s="121"/>
      <c r="PB26" s="121"/>
      <c r="PC26" s="121"/>
      <c r="PD26" s="121"/>
      <c r="PE26" s="121"/>
      <c r="PF26" s="121"/>
      <c r="PG26" s="121"/>
      <c r="PH26" s="121"/>
      <c r="PI26" s="121"/>
      <c r="PJ26" s="121"/>
      <c r="PK26" s="121"/>
      <c r="PL26" s="121"/>
      <c r="PM26" s="121"/>
      <c r="PN26" s="121"/>
      <c r="PO26" s="121"/>
      <c r="PP26" s="121"/>
      <c r="PQ26" s="121"/>
      <c r="PR26" s="121"/>
      <c r="PS26" s="121"/>
      <c r="PT26" s="121"/>
      <c r="PU26" s="121"/>
      <c r="PV26" s="121"/>
      <c r="PW26" s="121"/>
      <c r="PX26" s="121"/>
      <c r="PY26" s="121"/>
      <c r="PZ26" s="121"/>
      <c r="QA26" s="121"/>
      <c r="QB26" s="121"/>
      <c r="QC26" s="121"/>
      <c r="QD26" s="121"/>
      <c r="QE26" s="121"/>
      <c r="QF26" s="121"/>
      <c r="QG26" s="121"/>
      <c r="QH26" s="121"/>
      <c r="QI26" s="121"/>
      <c r="QJ26" s="121"/>
      <c r="QK26" s="121"/>
      <c r="QL26" s="121"/>
      <c r="QM26" s="121"/>
      <c r="QN26" s="121"/>
      <c r="QO26" s="121"/>
      <c r="QP26" s="121"/>
      <c r="QQ26" s="121"/>
      <c r="QR26" s="121"/>
      <c r="QS26" s="121"/>
      <c r="QT26" s="121"/>
      <c r="QU26" s="121"/>
      <c r="QV26" s="121"/>
      <c r="QW26" s="121"/>
      <c r="QX26" s="121"/>
      <c r="QY26" s="121"/>
      <c r="QZ26" s="121"/>
      <c r="RA26" s="121"/>
      <c r="RB26" s="121"/>
      <c r="RC26" s="121"/>
      <c r="RD26" s="121"/>
      <c r="RE26" s="121"/>
      <c r="RF26" s="121"/>
      <c r="RG26" s="121"/>
      <c r="RH26" s="121"/>
      <c r="RI26" s="121"/>
      <c r="RJ26" s="121"/>
      <c r="RK26" s="121"/>
      <c r="RL26" s="121"/>
      <c r="RM26" s="121"/>
      <c r="RN26" s="121"/>
      <c r="RO26" s="121"/>
      <c r="RP26" s="121"/>
      <c r="RQ26" s="121"/>
      <c r="RR26" s="121"/>
      <c r="RS26" s="121"/>
      <c r="RT26" s="121"/>
      <c r="RU26" s="121"/>
      <c r="RV26" s="121"/>
      <c r="RW26" s="121"/>
      <c r="RX26" s="121"/>
      <c r="RY26" s="121"/>
      <c r="RZ26" s="121"/>
      <c r="SA26" s="121"/>
      <c r="SB26" s="121"/>
      <c r="SC26" s="121"/>
      <c r="SD26" s="121"/>
      <c r="SE26" s="121"/>
      <c r="SF26" s="121"/>
      <c r="SG26" s="121"/>
      <c r="SH26" s="121"/>
      <c r="SI26" s="121"/>
      <c r="SJ26" s="121"/>
      <c r="SK26" s="121"/>
      <c r="SL26" s="121"/>
      <c r="SM26" s="121"/>
      <c r="SN26" s="121"/>
      <c r="SO26" s="121"/>
      <c r="SP26" s="121"/>
      <c r="SQ26" s="121"/>
      <c r="SR26" s="121"/>
      <c r="SS26" s="121"/>
      <c r="ST26" s="121"/>
      <c r="SU26" s="121"/>
      <c r="SV26" s="121"/>
      <c r="SW26" s="121"/>
      <c r="SX26" s="121"/>
      <c r="SY26" s="121"/>
      <c r="SZ26" s="121"/>
      <c r="TA26" s="121"/>
      <c r="TB26" s="121"/>
      <c r="TC26" s="121"/>
      <c r="TD26" s="121"/>
      <c r="TE26" s="121"/>
      <c r="TF26" s="121"/>
      <c r="TG26" s="121"/>
      <c r="TH26" s="121"/>
      <c r="TI26" s="121"/>
      <c r="TJ26" s="121"/>
      <c r="TK26" s="121"/>
      <c r="TL26" s="121"/>
      <c r="TM26" s="121"/>
      <c r="TN26" s="121"/>
      <c r="TO26" s="121"/>
      <c r="TP26" s="121"/>
      <c r="TQ26" s="121"/>
      <c r="TR26" s="121"/>
      <c r="TS26" s="121"/>
      <c r="TT26" s="121"/>
      <c r="TU26" s="121"/>
      <c r="TV26" s="121"/>
      <c r="TW26" s="121"/>
      <c r="TX26" s="121"/>
      <c r="TY26" s="121"/>
      <c r="TZ26" s="121"/>
      <c r="UA26" s="121"/>
    </row>
    <row r="27" spans="1:547" x14ac:dyDescent="0.25">
      <c r="A27" s="125">
        <v>21</v>
      </c>
      <c r="B27" s="28" t="s">
        <v>155</v>
      </c>
      <c r="C27" s="94">
        <v>1</v>
      </c>
      <c r="D27" s="94">
        <v>0.78</v>
      </c>
      <c r="E27" s="94">
        <v>0.22</v>
      </c>
      <c r="F27" s="94">
        <v>1</v>
      </c>
      <c r="G27" s="94">
        <v>0.48</v>
      </c>
      <c r="H27" s="94">
        <v>1</v>
      </c>
      <c r="I27" s="93">
        <v>0</v>
      </c>
      <c r="J27" s="94">
        <v>0</v>
      </c>
      <c r="K27" s="94">
        <v>6.6000000000000003E-2</v>
      </c>
      <c r="L27" s="94">
        <v>3.3000000000000002E-2</v>
      </c>
      <c r="M27" s="86">
        <f>'1.2.10 Проф'!E28</f>
        <v>0</v>
      </c>
      <c r="N27" s="86">
        <f>'1.2.10 Проф'!H28</f>
        <v>0</v>
      </c>
      <c r="O27" s="86">
        <f>'1.2.10 Проф'!K28</f>
        <v>0</v>
      </c>
      <c r="P27" s="94">
        <v>1</v>
      </c>
      <c r="Q27" s="49">
        <f t="shared" si="0"/>
        <v>5.5790000000000006</v>
      </c>
      <c r="R27" s="94">
        <v>0</v>
      </c>
      <c r="S27" s="94">
        <v>0</v>
      </c>
      <c r="T27" s="94">
        <v>0</v>
      </c>
      <c r="U27" s="49">
        <f t="shared" si="1"/>
        <v>0</v>
      </c>
      <c r="V27" s="49">
        <f t="shared" si="2"/>
        <v>5.5790000000000006</v>
      </c>
      <c r="W27" s="224">
        <f t="shared" si="3"/>
        <v>0.32817647058823535</v>
      </c>
      <c r="X27" s="508"/>
    </row>
    <row r="28" spans="1:547" x14ac:dyDescent="0.25">
      <c r="A28" s="125">
        <v>22</v>
      </c>
      <c r="B28" s="28" t="s">
        <v>277</v>
      </c>
      <c r="C28" s="119">
        <v>0.9</v>
      </c>
      <c r="D28" s="94">
        <v>1</v>
      </c>
      <c r="E28" s="94">
        <v>0</v>
      </c>
      <c r="F28" s="94">
        <v>1</v>
      </c>
      <c r="G28" s="94">
        <v>0.45</v>
      </c>
      <c r="H28" s="94">
        <v>1</v>
      </c>
      <c r="I28" s="93">
        <v>0</v>
      </c>
      <c r="J28" s="94">
        <v>6.0000000000000001E-3</v>
      </c>
      <c r="K28" s="94">
        <v>0</v>
      </c>
      <c r="L28" s="94">
        <v>0</v>
      </c>
      <c r="M28" s="86">
        <f>'1.2.10 Проф'!E29</f>
        <v>0</v>
      </c>
      <c r="N28" s="86">
        <f>'1.2.10 Проф'!H29</f>
        <v>0</v>
      </c>
      <c r="O28" s="86">
        <f>'1.2.10 Проф'!K29</f>
        <v>0</v>
      </c>
      <c r="P28" s="94">
        <v>1</v>
      </c>
      <c r="Q28" s="49">
        <f t="shared" si="0"/>
        <v>5.3559999999999999</v>
      </c>
      <c r="R28" s="96">
        <v>-0.47599999999999998</v>
      </c>
      <c r="S28" s="96">
        <v>0</v>
      </c>
      <c r="T28" s="96">
        <v>0</v>
      </c>
      <c r="U28" s="49">
        <f t="shared" si="1"/>
        <v>-0.47599999999999998</v>
      </c>
      <c r="V28" s="49">
        <f t="shared" si="2"/>
        <v>4.88</v>
      </c>
      <c r="W28" s="224">
        <f t="shared" si="3"/>
        <v>0.28705882352941176</v>
      </c>
      <c r="X28" s="508"/>
    </row>
    <row r="29" spans="1:547" x14ac:dyDescent="0.25">
      <c r="A29" s="125">
        <v>23</v>
      </c>
      <c r="B29" s="28" t="s">
        <v>156</v>
      </c>
      <c r="C29" s="96">
        <v>1</v>
      </c>
      <c r="D29" s="96">
        <v>1</v>
      </c>
      <c r="E29" s="96">
        <v>0</v>
      </c>
      <c r="F29" s="96">
        <v>1</v>
      </c>
      <c r="G29" s="96">
        <v>0.33300000000000002</v>
      </c>
      <c r="H29" s="96">
        <v>0.52400000000000002</v>
      </c>
      <c r="I29" s="93">
        <v>-0.47599999999999998</v>
      </c>
      <c r="J29" s="96">
        <v>0</v>
      </c>
      <c r="K29" s="96">
        <v>0</v>
      </c>
      <c r="L29" s="96">
        <v>0</v>
      </c>
      <c r="M29" s="86">
        <f>'1.2.10 Проф'!E30</f>
        <v>0</v>
      </c>
      <c r="N29" s="86">
        <f>'1.2.10 Проф'!H30</f>
        <v>0</v>
      </c>
      <c r="O29" s="86">
        <f>'1.2.10 Проф'!K30</f>
        <v>0</v>
      </c>
      <c r="P29" s="94">
        <v>1</v>
      </c>
      <c r="Q29" s="49">
        <f t="shared" si="0"/>
        <v>4.3810000000000002</v>
      </c>
      <c r="R29" s="94">
        <v>0</v>
      </c>
      <c r="S29" s="94">
        <v>0</v>
      </c>
      <c r="T29" s="94">
        <v>0</v>
      </c>
      <c r="U29" s="49">
        <f t="shared" si="1"/>
        <v>0</v>
      </c>
      <c r="V29" s="49">
        <f t="shared" si="2"/>
        <v>4.3810000000000002</v>
      </c>
      <c r="W29" s="224">
        <f t="shared" si="3"/>
        <v>0.25770588235294117</v>
      </c>
      <c r="X29" s="508"/>
    </row>
    <row r="30" spans="1:547" x14ac:dyDescent="0.25">
      <c r="A30" s="125">
        <v>24</v>
      </c>
      <c r="B30" s="28" t="s">
        <v>157</v>
      </c>
      <c r="C30" s="94">
        <v>0.93700000000000006</v>
      </c>
      <c r="D30" s="93">
        <v>0.96599999999999997</v>
      </c>
      <c r="E30" s="93">
        <v>3.4000000000000002E-2</v>
      </c>
      <c r="F30" s="93">
        <v>1</v>
      </c>
      <c r="G30" s="93">
        <v>0.65500000000000003</v>
      </c>
      <c r="H30" s="93">
        <v>0.66700000000000004</v>
      </c>
      <c r="I30" s="94">
        <v>0</v>
      </c>
      <c r="J30" s="93">
        <v>3.4000000000000002E-2</v>
      </c>
      <c r="K30" s="93">
        <v>0</v>
      </c>
      <c r="L30" s="93">
        <v>0</v>
      </c>
      <c r="M30" s="86">
        <f>'1.2.10 Проф'!E31</f>
        <v>0.5</v>
      </c>
      <c r="N30" s="86">
        <f>'1.2.10 Проф'!H31</f>
        <v>1</v>
      </c>
      <c r="O30" s="86">
        <f>'1.2.10 Проф'!K31</f>
        <v>0</v>
      </c>
      <c r="P30" s="94">
        <v>0</v>
      </c>
      <c r="Q30" s="49">
        <f t="shared" si="0"/>
        <v>5.7930000000000001</v>
      </c>
      <c r="R30" s="94">
        <v>0</v>
      </c>
      <c r="S30" s="94">
        <v>0</v>
      </c>
      <c r="T30" s="94">
        <v>0</v>
      </c>
      <c r="U30" s="49">
        <f t="shared" si="1"/>
        <v>0</v>
      </c>
      <c r="V30" s="49">
        <f t="shared" si="2"/>
        <v>5.7930000000000001</v>
      </c>
      <c r="W30" s="224">
        <f t="shared" si="3"/>
        <v>0.34076470588235297</v>
      </c>
      <c r="X30" s="508"/>
    </row>
    <row r="31" spans="1:547" s="128" customFormat="1" x14ac:dyDescent="0.25">
      <c r="A31" s="125">
        <v>25</v>
      </c>
      <c r="B31" s="28" t="s">
        <v>159</v>
      </c>
      <c r="C31" s="94">
        <v>0.96699999999999997</v>
      </c>
      <c r="D31" s="94">
        <v>0.96699999999999997</v>
      </c>
      <c r="E31" s="94">
        <v>3.3000000000000002E-2</v>
      </c>
      <c r="F31" s="94">
        <v>1</v>
      </c>
      <c r="G31" s="94">
        <v>0.6</v>
      </c>
      <c r="H31" s="94">
        <v>1</v>
      </c>
      <c r="I31" s="93">
        <v>0</v>
      </c>
      <c r="J31" s="94">
        <v>6.7000000000000004E-2</v>
      </c>
      <c r="K31" s="94">
        <v>0.1</v>
      </c>
      <c r="L31" s="94">
        <v>3.3000000000000002E-2</v>
      </c>
      <c r="M31" s="86">
        <f>'1.2.10 Проф'!E32</f>
        <v>0.5</v>
      </c>
      <c r="N31" s="86">
        <f>'1.2.10 Проф'!H32</f>
        <v>0</v>
      </c>
      <c r="O31" s="86">
        <f>'1.2.10 Проф'!K32</f>
        <v>0</v>
      </c>
      <c r="P31" s="74">
        <v>1</v>
      </c>
      <c r="Q31" s="49">
        <f t="shared" si="0"/>
        <v>6.2670000000000003</v>
      </c>
      <c r="R31" s="74">
        <v>0</v>
      </c>
      <c r="S31" s="74">
        <v>0</v>
      </c>
      <c r="T31" s="74">
        <v>0</v>
      </c>
      <c r="U31" s="49">
        <f t="shared" si="1"/>
        <v>0</v>
      </c>
      <c r="V31" s="49">
        <f t="shared" si="2"/>
        <v>6.2670000000000003</v>
      </c>
      <c r="W31" s="224">
        <f t="shared" si="3"/>
        <v>0.36864705882352944</v>
      </c>
      <c r="X31" s="508"/>
    </row>
    <row r="32" spans="1:547" s="128" customFormat="1" x14ac:dyDescent="0.25">
      <c r="A32" s="125">
        <v>26</v>
      </c>
      <c r="B32" s="28" t="s">
        <v>160</v>
      </c>
      <c r="C32" s="74">
        <v>0.97399999999999998</v>
      </c>
      <c r="D32" s="74">
        <v>0.91900000000000004</v>
      </c>
      <c r="E32" s="74">
        <v>8.1000000000000003E-2</v>
      </c>
      <c r="F32" s="74">
        <v>1</v>
      </c>
      <c r="G32" s="74">
        <v>0.56799999999999995</v>
      </c>
      <c r="H32" s="74">
        <v>1</v>
      </c>
      <c r="I32" s="93">
        <v>0</v>
      </c>
      <c r="J32" s="74">
        <v>0</v>
      </c>
      <c r="K32" s="74">
        <v>2.7E-2</v>
      </c>
      <c r="L32" s="74">
        <v>0</v>
      </c>
      <c r="M32" s="86">
        <f>'1.2.10 Проф'!E33</f>
        <v>0</v>
      </c>
      <c r="N32" s="86">
        <f>'1.2.10 Проф'!H33</f>
        <v>0</v>
      </c>
      <c r="O32" s="86">
        <f>'1.2.10 Проф'!K33</f>
        <v>0</v>
      </c>
      <c r="P32" s="74">
        <v>1</v>
      </c>
      <c r="Q32" s="49">
        <f t="shared" si="0"/>
        <v>5.569</v>
      </c>
      <c r="R32" s="74">
        <v>0</v>
      </c>
      <c r="S32" s="74">
        <v>-3.2000000000000001E-2</v>
      </c>
      <c r="T32" s="74">
        <v>0</v>
      </c>
      <c r="U32" s="49">
        <f t="shared" si="1"/>
        <v>-3.2000000000000001E-2</v>
      </c>
      <c r="V32" s="49">
        <f t="shared" si="2"/>
        <v>5.5369999999999999</v>
      </c>
      <c r="W32" s="224">
        <f t="shared" si="3"/>
        <v>0.32570588235294118</v>
      </c>
      <c r="X32" s="508"/>
    </row>
    <row r="33" spans="1:1026" x14ac:dyDescent="0.25">
      <c r="A33" s="125">
        <v>27</v>
      </c>
      <c r="B33" s="28" t="s">
        <v>158</v>
      </c>
      <c r="C33" s="74">
        <v>1</v>
      </c>
      <c r="D33" s="106">
        <v>0.90300000000000002</v>
      </c>
      <c r="E33" s="74">
        <v>9.7000000000000003E-2</v>
      </c>
      <c r="F33" s="74">
        <v>1</v>
      </c>
      <c r="G33" s="74">
        <v>0.45100000000000001</v>
      </c>
      <c r="H33" s="74">
        <v>1</v>
      </c>
      <c r="I33" s="93">
        <v>0</v>
      </c>
      <c r="J33" s="74">
        <v>0</v>
      </c>
      <c r="K33" s="74">
        <v>0</v>
      </c>
      <c r="L33" s="74">
        <v>0.129</v>
      </c>
      <c r="M33" s="86">
        <f>'1.2.10 Проф'!E34</f>
        <v>0</v>
      </c>
      <c r="N33" s="86">
        <f>'1.2.10 Проф'!H34</f>
        <v>0</v>
      </c>
      <c r="O33" s="86">
        <f>'1.2.10 Проф'!K34</f>
        <v>0</v>
      </c>
      <c r="P33" s="94">
        <v>1</v>
      </c>
      <c r="Q33" s="49">
        <f t="shared" si="0"/>
        <v>5.58</v>
      </c>
      <c r="R33" s="93">
        <v>-0.4</v>
      </c>
      <c r="S33" s="93">
        <v>0</v>
      </c>
      <c r="T33" s="94">
        <v>-6.6000000000000003E-2</v>
      </c>
      <c r="U33" s="49">
        <f t="shared" si="1"/>
        <v>-0.46600000000000003</v>
      </c>
      <c r="V33" s="49">
        <f t="shared" si="2"/>
        <v>5.1139999999999999</v>
      </c>
      <c r="W33" s="224">
        <f t="shared" si="3"/>
        <v>0.30082352941176471</v>
      </c>
      <c r="X33" s="508"/>
    </row>
    <row r="34" spans="1:1026" x14ac:dyDescent="0.25">
      <c r="A34" s="125">
        <v>28</v>
      </c>
      <c r="B34" s="28" t="s">
        <v>161</v>
      </c>
      <c r="C34" s="93">
        <v>0.93</v>
      </c>
      <c r="D34" s="93">
        <v>0.81</v>
      </c>
      <c r="E34" s="93">
        <v>0.19</v>
      </c>
      <c r="F34" s="93">
        <v>0.8</v>
      </c>
      <c r="G34" s="93">
        <v>0.26600000000000001</v>
      </c>
      <c r="H34" s="93">
        <v>0.6</v>
      </c>
      <c r="I34" s="93">
        <v>-0.4</v>
      </c>
      <c r="J34" s="93">
        <v>0</v>
      </c>
      <c r="K34" s="93">
        <v>0.06</v>
      </c>
      <c r="L34" s="93">
        <v>0.06</v>
      </c>
      <c r="M34" s="86">
        <f>'1.2.10 Проф'!E35</f>
        <v>0</v>
      </c>
      <c r="N34" s="86">
        <f>'1.2.10 Проф'!H35</f>
        <v>1</v>
      </c>
      <c r="O34" s="86">
        <f>'1.2.10 Проф'!K35</f>
        <v>0.13636363636363635</v>
      </c>
      <c r="P34" s="94">
        <v>1</v>
      </c>
      <c r="Q34" s="49">
        <f t="shared" si="0"/>
        <v>5.4523636363636374</v>
      </c>
      <c r="R34" s="94">
        <v>0</v>
      </c>
      <c r="S34" s="94">
        <v>-9.8000000000000004E-2</v>
      </c>
      <c r="T34" s="94">
        <v>-5.8999999999999997E-2</v>
      </c>
      <c r="U34" s="49">
        <f t="shared" si="1"/>
        <v>-0.157</v>
      </c>
      <c r="V34" s="49">
        <f t="shared" si="2"/>
        <v>5.2953636363636374</v>
      </c>
      <c r="W34" s="224">
        <f t="shared" si="3"/>
        <v>0.31149197860962574</v>
      </c>
      <c r="X34" s="508"/>
    </row>
    <row r="35" spans="1:1026" x14ac:dyDescent="0.25">
      <c r="A35" s="125">
        <v>29</v>
      </c>
      <c r="B35" s="28" t="s">
        <v>162</v>
      </c>
      <c r="C35" s="94">
        <v>0.82699999999999996</v>
      </c>
      <c r="D35" s="78">
        <v>0.81</v>
      </c>
      <c r="E35" s="78">
        <v>0.19800000000000001</v>
      </c>
      <c r="F35" s="78">
        <v>1</v>
      </c>
      <c r="G35" s="78">
        <v>0.31</v>
      </c>
      <c r="H35" s="94">
        <v>1</v>
      </c>
      <c r="I35" s="94">
        <v>0</v>
      </c>
      <c r="J35" s="94">
        <v>0.02</v>
      </c>
      <c r="K35" s="94">
        <v>0.02</v>
      </c>
      <c r="L35" s="94">
        <v>3.9E-2</v>
      </c>
      <c r="M35" s="86">
        <f>'1.2.10 Проф'!E36</f>
        <v>0</v>
      </c>
      <c r="N35" s="86">
        <f>'1.2.10 Проф'!H36</f>
        <v>0</v>
      </c>
      <c r="O35" s="86">
        <f>'1.2.10 Проф'!K36</f>
        <v>0</v>
      </c>
      <c r="P35" s="94">
        <v>1</v>
      </c>
      <c r="Q35" s="49">
        <f t="shared" si="0"/>
        <v>5.2239999999999984</v>
      </c>
      <c r="R35" s="94">
        <v>-0.2</v>
      </c>
      <c r="S35" s="94">
        <v>-0.111</v>
      </c>
      <c r="T35" s="94">
        <v>-5.3999999999999999E-2</v>
      </c>
      <c r="U35" s="49">
        <f t="shared" si="1"/>
        <v>-0.36499999999999999</v>
      </c>
      <c r="V35" s="49">
        <f t="shared" si="2"/>
        <v>4.8589999999999982</v>
      </c>
      <c r="W35" s="224">
        <f t="shared" si="3"/>
        <v>0.2858235294117647</v>
      </c>
      <c r="X35" s="508"/>
    </row>
    <row r="36" spans="1:1026" ht="15.75" customHeight="1" x14ac:dyDescent="0.25">
      <c r="A36" s="125">
        <v>30</v>
      </c>
      <c r="B36" s="28" t="s">
        <v>163</v>
      </c>
      <c r="C36" s="94">
        <v>0.94</v>
      </c>
      <c r="D36" s="78">
        <v>0.90200000000000002</v>
      </c>
      <c r="E36" s="78">
        <v>3.6999999999999998E-2</v>
      </c>
      <c r="F36" s="78">
        <v>1</v>
      </c>
      <c r="G36" s="78">
        <v>0.59</v>
      </c>
      <c r="H36" s="94">
        <v>0.8</v>
      </c>
      <c r="I36" s="93">
        <v>-0.2</v>
      </c>
      <c r="J36" s="94">
        <v>2.7E-2</v>
      </c>
      <c r="K36" s="94">
        <v>2.7E-2</v>
      </c>
      <c r="L36" s="94">
        <v>8.3000000000000004E-2</v>
      </c>
      <c r="M36" s="86">
        <f>'1.2.10 Проф'!E37</f>
        <v>0</v>
      </c>
      <c r="N36" s="86">
        <f>'1.2.10 Проф'!H37</f>
        <v>0</v>
      </c>
      <c r="O36" s="86">
        <f>'1.2.10 Проф'!K37</f>
        <v>0</v>
      </c>
      <c r="P36" s="78">
        <v>1</v>
      </c>
      <c r="Q36" s="49">
        <f t="shared" si="0"/>
        <v>5.2060000000000004</v>
      </c>
      <c r="R36" s="94">
        <v>-0.6</v>
      </c>
      <c r="S36" s="94">
        <v>0</v>
      </c>
      <c r="T36" s="94">
        <v>0</v>
      </c>
      <c r="U36" s="49">
        <f t="shared" si="1"/>
        <v>-0.6</v>
      </c>
      <c r="V36" s="49">
        <f t="shared" si="2"/>
        <v>4.6060000000000008</v>
      </c>
      <c r="W36" s="224">
        <f t="shared" si="3"/>
        <v>0.27094117647058824</v>
      </c>
      <c r="X36" s="508"/>
    </row>
    <row r="37" spans="1:1026" x14ac:dyDescent="0.25">
      <c r="A37" s="43">
        <v>31</v>
      </c>
      <c r="B37" s="26" t="s">
        <v>164</v>
      </c>
      <c r="C37" s="94">
        <v>1</v>
      </c>
      <c r="D37" s="94">
        <v>0.97399999999999998</v>
      </c>
      <c r="E37" s="94">
        <v>2.5999999999999999E-2</v>
      </c>
      <c r="F37" s="94">
        <v>1</v>
      </c>
      <c r="G37" s="94">
        <v>0.48699999999999999</v>
      </c>
      <c r="H37" s="94">
        <v>0.4</v>
      </c>
      <c r="I37" s="94">
        <v>0</v>
      </c>
      <c r="J37" s="94">
        <v>2.5999999999999999E-2</v>
      </c>
      <c r="K37" s="94">
        <v>0</v>
      </c>
      <c r="L37" s="94">
        <v>0</v>
      </c>
      <c r="M37" s="86">
        <f>'1.2.10 Проф'!E38</f>
        <v>0.5</v>
      </c>
      <c r="N37" s="86">
        <f>'1.2.10 Проф'!H38</f>
        <v>0</v>
      </c>
      <c r="O37" s="86">
        <f>'1.2.10 Проф'!K38</f>
        <v>0</v>
      </c>
      <c r="P37" s="94">
        <v>1</v>
      </c>
      <c r="Q37" s="49">
        <f t="shared" si="0"/>
        <v>5.4130000000000003</v>
      </c>
      <c r="R37" s="94">
        <v>-0.6</v>
      </c>
      <c r="S37" s="94">
        <v>0</v>
      </c>
      <c r="T37" s="94">
        <v>0</v>
      </c>
      <c r="U37" s="49">
        <f t="shared" si="1"/>
        <v>-0.6</v>
      </c>
      <c r="V37" s="49">
        <f t="shared" si="2"/>
        <v>4.8130000000000006</v>
      </c>
      <c r="W37" s="224">
        <f t="shared" si="3"/>
        <v>0.28311764705882358</v>
      </c>
      <c r="X37" s="508"/>
      <c r="UA37" s="76"/>
    </row>
    <row r="38" spans="1:1026" customFormat="1" x14ac:dyDescent="0.25">
      <c r="A38" s="125">
        <v>31</v>
      </c>
      <c r="B38" s="81" t="s">
        <v>165</v>
      </c>
      <c r="C38" s="94">
        <v>1</v>
      </c>
      <c r="D38" s="94">
        <v>0.94899999999999995</v>
      </c>
      <c r="E38" s="94">
        <v>5.0999999999999997E-2</v>
      </c>
      <c r="F38" s="94">
        <v>1</v>
      </c>
      <c r="G38" s="94">
        <v>0.64100000000000001</v>
      </c>
      <c r="H38" s="94">
        <v>0.10299999999999999</v>
      </c>
      <c r="I38" s="94">
        <v>0</v>
      </c>
      <c r="J38" s="94">
        <v>0</v>
      </c>
      <c r="K38" s="94">
        <v>0</v>
      </c>
      <c r="L38" s="94">
        <v>5.0999999999999997E-2</v>
      </c>
      <c r="M38" s="86">
        <f>'1.2.10 Проф'!E39</f>
        <v>0</v>
      </c>
      <c r="N38" s="86">
        <f>'1.2.10 Проф'!H39</f>
        <v>0</v>
      </c>
      <c r="O38" s="86">
        <f>'1.2.10 Проф'!K39</f>
        <v>0</v>
      </c>
      <c r="P38" s="94">
        <v>1</v>
      </c>
      <c r="Q38" s="49">
        <f t="shared" si="0"/>
        <v>4.7949999999999999</v>
      </c>
      <c r="R38" s="94">
        <v>0</v>
      </c>
      <c r="S38" s="94">
        <v>-2.5999999999999999E-2</v>
      </c>
      <c r="T38" s="94">
        <v>-2.5999999999999999E-2</v>
      </c>
      <c r="U38" s="49">
        <f t="shared" si="1"/>
        <v>-5.1999999999999998E-2</v>
      </c>
      <c r="V38" s="49">
        <f t="shared" si="2"/>
        <v>4.7430000000000003</v>
      </c>
      <c r="W38" s="224">
        <f t="shared" si="3"/>
        <v>0.27900000000000003</v>
      </c>
      <c r="X38" s="508"/>
    </row>
    <row r="39" spans="1:1026" x14ac:dyDescent="0.25">
      <c r="A39" s="125">
        <v>33</v>
      </c>
      <c r="B39" s="28" t="s">
        <v>166</v>
      </c>
      <c r="C39" s="78">
        <v>0.88100000000000001</v>
      </c>
      <c r="D39" s="78">
        <v>0.7</v>
      </c>
      <c r="E39" s="78">
        <v>0.3</v>
      </c>
      <c r="F39" s="78">
        <v>1</v>
      </c>
      <c r="G39" s="78">
        <v>0.43</v>
      </c>
      <c r="H39" s="94">
        <v>1</v>
      </c>
      <c r="I39" s="93">
        <v>0</v>
      </c>
      <c r="J39" s="94">
        <v>0.04</v>
      </c>
      <c r="K39" s="94">
        <v>0</v>
      </c>
      <c r="L39" s="119">
        <v>2.9000000000000001E-2</v>
      </c>
      <c r="M39" s="86">
        <f>'1.2.10 Проф'!E40</f>
        <v>1</v>
      </c>
      <c r="N39" s="86">
        <f>'1.2.10 Проф'!H40</f>
        <v>0</v>
      </c>
      <c r="O39" s="86">
        <f>'1.2.10 Проф'!K40</f>
        <v>0</v>
      </c>
      <c r="P39" s="94">
        <v>1</v>
      </c>
      <c r="Q39" s="49">
        <f t="shared" si="0"/>
        <v>6.38</v>
      </c>
      <c r="R39" s="94">
        <v>0</v>
      </c>
      <c r="S39" s="94">
        <v>-3.1E-2</v>
      </c>
      <c r="T39" s="94">
        <v>-0.25</v>
      </c>
      <c r="U39" s="49">
        <f t="shared" si="1"/>
        <v>-0.28100000000000003</v>
      </c>
      <c r="V39" s="49">
        <f t="shared" si="2"/>
        <v>6.0990000000000002</v>
      </c>
      <c r="W39" s="224">
        <f t="shared" si="3"/>
        <v>0.35876470588235287</v>
      </c>
      <c r="X39" s="508"/>
    </row>
    <row r="40" spans="1:1026" x14ac:dyDescent="0.25">
      <c r="A40" s="125">
        <v>34</v>
      </c>
      <c r="B40" s="28" t="s">
        <v>167</v>
      </c>
      <c r="C40" s="78">
        <v>0.94199999999999995</v>
      </c>
      <c r="D40" s="78">
        <v>0.73</v>
      </c>
      <c r="E40" s="78">
        <v>9.4E-2</v>
      </c>
      <c r="F40" s="78">
        <v>1</v>
      </c>
      <c r="G40" s="78">
        <v>0.188</v>
      </c>
      <c r="H40" s="94">
        <v>0</v>
      </c>
      <c r="I40" s="94">
        <v>0</v>
      </c>
      <c r="J40" s="94">
        <v>3.1E-2</v>
      </c>
      <c r="K40" s="78">
        <v>0.06</v>
      </c>
      <c r="L40" s="78">
        <v>0.03</v>
      </c>
      <c r="M40" s="86">
        <f>'1.2.10 Проф'!E41</f>
        <v>1</v>
      </c>
      <c r="N40" s="86">
        <f>'1.2.10 Проф'!H41</f>
        <v>0</v>
      </c>
      <c r="O40" s="86">
        <f>'1.2.10 Проф'!K41</f>
        <v>0.66666666666666663</v>
      </c>
      <c r="P40" s="94">
        <v>1</v>
      </c>
      <c r="Q40" s="49">
        <f t="shared" si="0"/>
        <v>5.7416666666666671</v>
      </c>
      <c r="R40" s="94">
        <v>0</v>
      </c>
      <c r="S40" s="94">
        <v>-2.7E-2</v>
      </c>
      <c r="T40" s="94">
        <v>-2.7E-2</v>
      </c>
      <c r="U40" s="49">
        <f t="shared" si="1"/>
        <v>-5.3999999999999999E-2</v>
      </c>
      <c r="V40" s="49">
        <f t="shared" si="2"/>
        <v>5.6876666666666669</v>
      </c>
      <c r="W40" s="224">
        <f t="shared" si="3"/>
        <v>0.33456862745098043</v>
      </c>
      <c r="X40" s="508"/>
    </row>
    <row r="41" spans="1:1026" x14ac:dyDescent="0.25">
      <c r="A41" s="125">
        <v>35</v>
      </c>
      <c r="B41" s="28" t="s">
        <v>168</v>
      </c>
      <c r="C41" s="78">
        <v>0.72799999999999998</v>
      </c>
      <c r="D41" s="78">
        <v>0.96899999999999997</v>
      </c>
      <c r="E41" s="78">
        <v>8.1000000000000003E-2</v>
      </c>
      <c r="F41" s="78">
        <v>1</v>
      </c>
      <c r="G41" s="78">
        <v>0.54100000000000004</v>
      </c>
      <c r="H41" s="94">
        <v>1</v>
      </c>
      <c r="I41" s="93">
        <v>0</v>
      </c>
      <c r="J41" s="94">
        <v>2.7E-2</v>
      </c>
      <c r="K41" s="78">
        <v>0</v>
      </c>
      <c r="L41" s="78">
        <v>2.7E-2</v>
      </c>
      <c r="M41" s="86">
        <f>'1.2.10 Проф'!E42</f>
        <v>1</v>
      </c>
      <c r="N41" s="86">
        <f>'1.2.10 Проф'!H42</f>
        <v>0</v>
      </c>
      <c r="O41" s="86">
        <f>'1.2.10 Проф'!K42</f>
        <v>0</v>
      </c>
      <c r="P41" s="94">
        <v>1</v>
      </c>
      <c r="Q41" s="49">
        <f t="shared" si="0"/>
        <v>6.3730000000000002</v>
      </c>
      <c r="R41" s="94">
        <v>0</v>
      </c>
      <c r="S41" s="94">
        <v>0</v>
      </c>
      <c r="T41" s="94">
        <v>0.08</v>
      </c>
      <c r="U41" s="49">
        <f t="shared" si="1"/>
        <v>0.08</v>
      </c>
      <c r="V41" s="49">
        <f t="shared" si="2"/>
        <v>6.4530000000000003</v>
      </c>
      <c r="W41" s="224">
        <f t="shared" si="3"/>
        <v>0.37958823529411762</v>
      </c>
      <c r="X41" s="508"/>
    </row>
    <row r="42" spans="1:1026" x14ac:dyDescent="0.25">
      <c r="A42" s="125">
        <v>0</v>
      </c>
      <c r="B42" s="81" t="s">
        <v>169</v>
      </c>
      <c r="C42" s="78">
        <v>0.90600000000000003</v>
      </c>
      <c r="D42" s="78">
        <v>0.91900000000000004</v>
      </c>
      <c r="E42" s="78">
        <v>0.04</v>
      </c>
      <c r="F42" s="78">
        <v>1</v>
      </c>
      <c r="G42" s="78">
        <v>0.4</v>
      </c>
      <c r="H42" s="94">
        <v>0.66700000000000004</v>
      </c>
      <c r="I42" s="93">
        <v>0</v>
      </c>
      <c r="J42" s="94">
        <v>0.04</v>
      </c>
      <c r="K42" s="94">
        <v>0.04</v>
      </c>
      <c r="L42" s="94">
        <v>0.08</v>
      </c>
      <c r="M42" s="86">
        <f>'1.2.10 Проф'!E43</f>
        <v>0.66666666666666663</v>
      </c>
      <c r="N42" s="86">
        <f>'1.2.10 Проф'!H43</f>
        <v>1</v>
      </c>
      <c r="O42" s="86">
        <f>'1.2.10 Проф'!K43</f>
        <v>0</v>
      </c>
      <c r="P42" s="94">
        <v>1</v>
      </c>
      <c r="Q42" s="49">
        <f t="shared" si="0"/>
        <v>6.7586666666666675</v>
      </c>
      <c r="R42" s="94">
        <v>0</v>
      </c>
      <c r="S42" s="94">
        <v>0</v>
      </c>
      <c r="T42" s="94">
        <v>-0.36</v>
      </c>
      <c r="U42" s="49">
        <f t="shared" si="1"/>
        <v>-0.36</v>
      </c>
      <c r="V42" s="49">
        <f t="shared" si="2"/>
        <v>6.3986666666666672</v>
      </c>
      <c r="W42" s="224">
        <f t="shared" si="3"/>
        <v>0.37639215686274513</v>
      </c>
      <c r="X42" s="508"/>
    </row>
    <row r="43" spans="1:1026" customFormat="1" x14ac:dyDescent="0.25">
      <c r="A43" s="125">
        <v>37</v>
      </c>
      <c r="B43" s="28" t="s">
        <v>170</v>
      </c>
      <c r="C43" s="78">
        <v>0.94</v>
      </c>
      <c r="D43" s="78">
        <v>0.96</v>
      </c>
      <c r="E43" s="78">
        <v>0.04</v>
      </c>
      <c r="F43" s="78">
        <v>1</v>
      </c>
      <c r="G43" s="78">
        <v>0.64</v>
      </c>
      <c r="H43" s="94">
        <v>1</v>
      </c>
      <c r="I43" s="93">
        <v>0</v>
      </c>
      <c r="J43" s="94">
        <v>1.2E-2</v>
      </c>
      <c r="K43" s="94">
        <v>0</v>
      </c>
      <c r="L43" s="94">
        <v>0</v>
      </c>
      <c r="M43" s="86">
        <f>'1.2.10 Проф'!E44</f>
        <v>1</v>
      </c>
      <c r="N43" s="86">
        <f>'1.2.10 Проф'!H44</f>
        <v>0</v>
      </c>
      <c r="O43" s="86">
        <f>'1.2.10 Проф'!K44</f>
        <v>0</v>
      </c>
      <c r="P43" s="145">
        <v>1</v>
      </c>
      <c r="Q43" s="49">
        <f t="shared" si="0"/>
        <v>6.5919999999999996</v>
      </c>
      <c r="R43" s="145">
        <v>0</v>
      </c>
      <c r="S43" s="145">
        <v>0</v>
      </c>
      <c r="T43" s="145">
        <v>-0.08</v>
      </c>
      <c r="U43" s="49">
        <f t="shared" si="1"/>
        <v>-0.08</v>
      </c>
      <c r="V43" s="49">
        <f t="shared" si="2"/>
        <v>6.5119999999999996</v>
      </c>
      <c r="W43" s="224">
        <f t="shared" si="3"/>
        <v>0.38305882352941173</v>
      </c>
      <c r="X43" s="508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49"/>
      <c r="EC43" s="149"/>
      <c r="ED43" s="149"/>
      <c r="EE43" s="149"/>
      <c r="EF43" s="149"/>
      <c r="EG43" s="149"/>
      <c r="EH43" s="149"/>
      <c r="EI43" s="149"/>
      <c r="EJ43" s="149"/>
      <c r="EK43" s="149"/>
      <c r="EL43" s="149"/>
      <c r="EM43" s="149"/>
      <c r="EN43" s="149"/>
      <c r="EO43" s="149"/>
      <c r="EP43" s="149"/>
      <c r="EQ43" s="149"/>
      <c r="ER43" s="149"/>
      <c r="ES43" s="149"/>
      <c r="ET43" s="149"/>
      <c r="EU43" s="149"/>
      <c r="EV43" s="149"/>
      <c r="EW43" s="149"/>
      <c r="EX43" s="149"/>
      <c r="EY43" s="149"/>
      <c r="EZ43" s="149"/>
      <c r="FA43" s="149"/>
      <c r="FB43" s="149"/>
      <c r="FC43" s="149"/>
      <c r="FD43" s="149"/>
      <c r="FE43" s="149"/>
      <c r="FF43" s="149"/>
      <c r="FG43" s="149"/>
      <c r="FH43" s="149"/>
      <c r="FI43" s="149"/>
      <c r="FJ43" s="149"/>
      <c r="FK43" s="149"/>
      <c r="FL43" s="149"/>
      <c r="FM43" s="149"/>
      <c r="FN43" s="149"/>
      <c r="FO43" s="149"/>
      <c r="FP43" s="149"/>
      <c r="FQ43" s="149"/>
      <c r="FR43" s="149"/>
      <c r="FS43" s="149"/>
      <c r="FT43" s="149"/>
      <c r="FU43" s="149"/>
      <c r="FV43" s="149"/>
      <c r="FW43" s="149"/>
      <c r="FX43" s="149"/>
      <c r="FY43" s="149"/>
      <c r="FZ43" s="149"/>
      <c r="GA43" s="149"/>
      <c r="GB43" s="149"/>
      <c r="GC43" s="149"/>
      <c r="GD43" s="149"/>
      <c r="GE43" s="149"/>
      <c r="GF43" s="149"/>
      <c r="GG43" s="149"/>
      <c r="GH43" s="149"/>
      <c r="GI43" s="149"/>
      <c r="GJ43" s="149"/>
      <c r="GK43" s="149"/>
      <c r="GL43" s="149"/>
      <c r="GM43" s="149"/>
      <c r="GN43" s="149"/>
      <c r="GO43" s="149"/>
      <c r="GP43" s="149"/>
      <c r="GQ43" s="149"/>
      <c r="GR43" s="149"/>
      <c r="GS43" s="149"/>
      <c r="GT43" s="149"/>
      <c r="GU43" s="149"/>
      <c r="GV43" s="149"/>
      <c r="GW43" s="149"/>
      <c r="GX43" s="149"/>
      <c r="GY43" s="149"/>
      <c r="GZ43" s="149"/>
      <c r="HA43" s="149"/>
      <c r="HB43" s="149"/>
      <c r="HC43" s="149"/>
      <c r="HD43" s="149"/>
      <c r="HE43" s="149"/>
      <c r="HF43" s="149"/>
      <c r="HG43" s="149"/>
      <c r="HH43" s="149"/>
      <c r="HI43" s="149"/>
      <c r="HJ43" s="149"/>
      <c r="HK43" s="149"/>
      <c r="HL43" s="149"/>
      <c r="HM43" s="149"/>
      <c r="HN43" s="149"/>
      <c r="HO43" s="149"/>
      <c r="HP43" s="149"/>
      <c r="HQ43" s="149"/>
      <c r="HR43" s="149"/>
      <c r="HS43" s="149"/>
      <c r="HT43" s="149"/>
      <c r="HU43" s="149"/>
      <c r="HV43" s="149"/>
      <c r="HW43" s="149"/>
      <c r="HX43" s="149"/>
      <c r="HY43" s="149"/>
      <c r="HZ43" s="149"/>
      <c r="IA43" s="149"/>
      <c r="IB43" s="149"/>
      <c r="IC43" s="149"/>
      <c r="ID43" s="149"/>
      <c r="IE43" s="149"/>
      <c r="IF43" s="149"/>
      <c r="IG43" s="149"/>
      <c r="IH43" s="149"/>
      <c r="II43" s="149"/>
      <c r="IJ43" s="149"/>
      <c r="IK43" s="149"/>
      <c r="IL43" s="149"/>
      <c r="IM43" s="149"/>
      <c r="IN43" s="149"/>
      <c r="IO43" s="149"/>
      <c r="IP43" s="149"/>
      <c r="IQ43" s="149"/>
      <c r="IR43" s="149"/>
      <c r="IS43" s="149"/>
      <c r="IT43" s="149"/>
      <c r="IU43" s="149"/>
      <c r="IV43" s="149"/>
      <c r="IW43" s="149"/>
      <c r="IX43" s="149"/>
      <c r="IY43" s="149"/>
      <c r="IZ43" s="149"/>
      <c r="JA43" s="149"/>
      <c r="JB43" s="149"/>
      <c r="JC43" s="149"/>
      <c r="JD43" s="149"/>
      <c r="JE43" s="149"/>
      <c r="JF43" s="149"/>
      <c r="JG43" s="149"/>
      <c r="JH43" s="149"/>
      <c r="JI43" s="149"/>
      <c r="JJ43" s="149"/>
      <c r="JK43" s="149"/>
      <c r="JL43" s="149"/>
      <c r="JM43" s="149"/>
      <c r="JN43" s="149"/>
      <c r="JO43" s="149"/>
      <c r="JP43" s="149"/>
      <c r="JQ43" s="149"/>
      <c r="JR43" s="149"/>
      <c r="JS43" s="149"/>
      <c r="JT43" s="149"/>
      <c r="JU43" s="149"/>
      <c r="JV43" s="149"/>
      <c r="JW43" s="149"/>
      <c r="JX43" s="149"/>
      <c r="JY43" s="149"/>
      <c r="JZ43" s="149"/>
      <c r="KA43" s="149"/>
      <c r="KB43" s="149"/>
      <c r="KC43" s="149"/>
      <c r="KD43" s="149"/>
      <c r="KE43" s="149"/>
      <c r="KF43" s="149"/>
      <c r="KG43" s="149"/>
      <c r="KH43" s="149"/>
      <c r="KI43" s="149"/>
      <c r="KJ43" s="149"/>
      <c r="KK43" s="149"/>
      <c r="KL43" s="149"/>
      <c r="KM43" s="149"/>
      <c r="KN43" s="149"/>
      <c r="KO43" s="149"/>
      <c r="KP43" s="149"/>
      <c r="KQ43" s="149"/>
      <c r="KR43" s="149"/>
      <c r="KS43" s="149"/>
      <c r="KT43" s="149"/>
      <c r="KU43" s="149"/>
      <c r="KV43" s="149"/>
      <c r="KW43" s="149"/>
      <c r="KX43" s="149"/>
      <c r="KY43" s="149"/>
      <c r="KZ43" s="149"/>
      <c r="LA43" s="149"/>
      <c r="LB43" s="149"/>
      <c r="LC43" s="149"/>
      <c r="LD43" s="149"/>
      <c r="LE43" s="149"/>
      <c r="LF43" s="149"/>
      <c r="LG43" s="149"/>
      <c r="LH43" s="149"/>
      <c r="LI43" s="149"/>
      <c r="LJ43" s="149"/>
      <c r="LK43" s="149"/>
      <c r="LL43" s="149"/>
      <c r="LM43" s="149"/>
      <c r="LN43" s="149"/>
      <c r="LO43" s="149"/>
      <c r="LP43" s="149"/>
      <c r="LQ43" s="149"/>
      <c r="LR43" s="149"/>
      <c r="LS43" s="149"/>
      <c r="LT43" s="149"/>
      <c r="LU43" s="149"/>
      <c r="LV43" s="149"/>
      <c r="LW43" s="149"/>
      <c r="LX43" s="149"/>
      <c r="LY43" s="149"/>
      <c r="LZ43" s="149"/>
      <c r="MA43" s="149"/>
      <c r="MB43" s="149"/>
      <c r="MC43" s="149"/>
      <c r="MD43" s="149"/>
      <c r="ME43" s="149"/>
      <c r="MF43" s="149"/>
      <c r="MG43" s="149"/>
      <c r="MH43" s="149"/>
      <c r="MI43" s="149"/>
      <c r="MJ43" s="149"/>
      <c r="MK43" s="149"/>
      <c r="ML43" s="149"/>
      <c r="MM43" s="149"/>
      <c r="MN43" s="149"/>
      <c r="MO43" s="149"/>
      <c r="MP43" s="149"/>
      <c r="MQ43" s="149"/>
      <c r="MR43" s="149"/>
      <c r="MS43" s="149"/>
      <c r="MT43" s="149"/>
      <c r="MU43" s="149"/>
      <c r="MV43" s="149"/>
      <c r="MW43" s="149"/>
      <c r="MX43" s="149"/>
      <c r="MY43" s="149"/>
      <c r="MZ43" s="149"/>
      <c r="NA43" s="149"/>
      <c r="NB43" s="149"/>
      <c r="NC43" s="149"/>
      <c r="ND43" s="149"/>
      <c r="NE43" s="149"/>
      <c r="NF43" s="149"/>
      <c r="NG43" s="149"/>
      <c r="NH43" s="149"/>
      <c r="NI43" s="149"/>
      <c r="NJ43" s="149"/>
      <c r="NK43" s="149"/>
      <c r="NL43" s="149"/>
      <c r="NM43" s="149"/>
      <c r="NN43" s="149"/>
      <c r="NO43" s="149"/>
      <c r="NP43" s="149"/>
      <c r="NQ43" s="149"/>
      <c r="NR43" s="149"/>
      <c r="NS43" s="149"/>
      <c r="NT43" s="149"/>
      <c r="NU43" s="149"/>
      <c r="NV43" s="149"/>
      <c r="NW43" s="149"/>
      <c r="NX43" s="149"/>
      <c r="NY43" s="149"/>
      <c r="NZ43" s="149"/>
      <c r="OA43" s="149"/>
      <c r="OB43" s="149"/>
      <c r="OC43" s="149"/>
      <c r="OD43" s="149"/>
      <c r="OE43" s="149"/>
      <c r="OF43" s="149"/>
      <c r="OG43" s="149"/>
      <c r="OH43" s="149"/>
      <c r="OI43" s="149"/>
      <c r="OJ43" s="149"/>
      <c r="OK43" s="149"/>
      <c r="OL43" s="149"/>
      <c r="OM43" s="149"/>
      <c r="ON43" s="149"/>
      <c r="OO43" s="149"/>
      <c r="OP43" s="149"/>
      <c r="OQ43" s="149"/>
      <c r="OR43" s="149"/>
      <c r="OS43" s="149"/>
      <c r="OT43" s="149"/>
      <c r="OU43" s="149"/>
      <c r="OV43" s="149"/>
      <c r="OW43" s="149"/>
      <c r="OX43" s="149"/>
      <c r="OY43" s="149"/>
      <c r="OZ43" s="149"/>
      <c r="PA43" s="149"/>
      <c r="PB43" s="149"/>
      <c r="PC43" s="149"/>
      <c r="PD43" s="149"/>
      <c r="PE43" s="149"/>
      <c r="PF43" s="149"/>
      <c r="PG43" s="149"/>
      <c r="PH43" s="149"/>
      <c r="PI43" s="149"/>
      <c r="PJ43" s="149"/>
      <c r="PK43" s="149"/>
      <c r="PL43" s="149"/>
      <c r="PM43" s="149"/>
      <c r="PN43" s="149"/>
      <c r="PO43" s="149"/>
      <c r="PP43" s="149"/>
      <c r="PQ43" s="149"/>
      <c r="PR43" s="149"/>
      <c r="PS43" s="149"/>
      <c r="PT43" s="149"/>
      <c r="PU43" s="149"/>
      <c r="PV43" s="149"/>
      <c r="PW43" s="149"/>
      <c r="PX43" s="149"/>
      <c r="PY43" s="149"/>
      <c r="PZ43" s="149"/>
      <c r="QA43" s="149"/>
      <c r="QB43" s="149"/>
      <c r="QC43" s="149"/>
      <c r="QD43" s="149"/>
      <c r="QE43" s="149"/>
      <c r="QF43" s="149"/>
      <c r="QG43" s="149"/>
      <c r="QH43" s="149"/>
      <c r="QI43" s="149"/>
      <c r="QJ43" s="149"/>
      <c r="QK43" s="149"/>
      <c r="QL43" s="149"/>
      <c r="QM43" s="149"/>
      <c r="QN43" s="149"/>
      <c r="QO43" s="149"/>
      <c r="QP43" s="149"/>
      <c r="QQ43" s="149"/>
      <c r="QR43" s="149"/>
      <c r="QS43" s="149"/>
      <c r="QT43" s="149"/>
      <c r="QU43" s="149"/>
      <c r="QV43" s="149"/>
      <c r="QW43" s="149"/>
      <c r="QX43" s="149"/>
      <c r="QY43" s="149"/>
      <c r="QZ43" s="149"/>
      <c r="RA43" s="149"/>
      <c r="RB43" s="149"/>
      <c r="RC43" s="149"/>
      <c r="RD43" s="149"/>
      <c r="RE43" s="149"/>
      <c r="RF43" s="149"/>
      <c r="RG43" s="149"/>
      <c r="RH43" s="149"/>
      <c r="RI43" s="149"/>
      <c r="RJ43" s="149"/>
      <c r="RK43" s="149"/>
      <c r="RL43" s="149"/>
      <c r="RM43" s="149"/>
      <c r="RN43" s="149"/>
      <c r="RO43" s="149"/>
      <c r="RP43" s="149"/>
      <c r="RQ43" s="149"/>
      <c r="RR43" s="149"/>
      <c r="RS43" s="149"/>
      <c r="RT43" s="149"/>
      <c r="RU43" s="149"/>
      <c r="RV43" s="149"/>
      <c r="RW43" s="149"/>
      <c r="RX43" s="149"/>
      <c r="RY43" s="149"/>
      <c r="RZ43" s="149"/>
      <c r="SA43" s="149"/>
      <c r="SB43" s="149"/>
      <c r="SC43" s="149"/>
      <c r="SD43" s="149"/>
      <c r="SE43" s="149"/>
      <c r="SF43" s="149"/>
      <c r="SG43" s="149"/>
      <c r="SH43" s="149"/>
      <c r="SI43" s="149"/>
      <c r="SJ43" s="149"/>
      <c r="SK43" s="149"/>
      <c r="SL43" s="149"/>
      <c r="SM43" s="149"/>
      <c r="SN43" s="149"/>
      <c r="SO43" s="149"/>
      <c r="SP43" s="149"/>
      <c r="SQ43" s="149"/>
      <c r="SR43" s="149"/>
      <c r="SS43" s="149"/>
      <c r="ST43" s="149"/>
      <c r="SU43" s="149"/>
      <c r="SV43" s="149"/>
      <c r="SW43" s="149"/>
      <c r="SX43" s="149"/>
      <c r="SY43" s="149"/>
      <c r="SZ43" s="149"/>
      <c r="TA43" s="149"/>
      <c r="TB43" s="149"/>
      <c r="TC43" s="149"/>
      <c r="TD43" s="149"/>
      <c r="TE43" s="149"/>
      <c r="TF43" s="149"/>
      <c r="TG43" s="149"/>
      <c r="TH43" s="149"/>
      <c r="TI43" s="149"/>
      <c r="TJ43" s="149"/>
      <c r="TK43" s="149"/>
      <c r="TL43" s="149"/>
      <c r="TM43" s="149"/>
      <c r="TN43" s="149"/>
      <c r="TO43" s="149"/>
      <c r="TP43" s="149"/>
      <c r="TQ43" s="149"/>
      <c r="TR43" s="149"/>
      <c r="TS43" s="149"/>
      <c r="TT43" s="149"/>
      <c r="TU43" s="149"/>
      <c r="TV43" s="149"/>
      <c r="TW43" s="149"/>
      <c r="TX43" s="149"/>
      <c r="TY43" s="149"/>
      <c r="TZ43" s="149"/>
      <c r="UA43" s="149"/>
      <c r="UB43" s="150"/>
      <c r="UC43" s="150"/>
      <c r="UD43" s="150"/>
      <c r="UE43" s="150"/>
      <c r="UF43" s="150"/>
      <c r="UG43" s="150"/>
      <c r="UH43" s="150"/>
      <c r="UI43" s="150"/>
      <c r="UJ43" s="150"/>
      <c r="UK43" s="150"/>
      <c r="UL43" s="150"/>
      <c r="UM43" s="150"/>
      <c r="UN43" s="150"/>
      <c r="UO43" s="150"/>
      <c r="UP43" s="150"/>
      <c r="UQ43" s="150"/>
      <c r="UR43" s="150"/>
      <c r="US43" s="150"/>
      <c r="UT43" s="150"/>
      <c r="UU43" s="150"/>
      <c r="UV43" s="150"/>
      <c r="UW43" s="150"/>
      <c r="UX43" s="150"/>
      <c r="UY43" s="150"/>
      <c r="UZ43" s="150"/>
      <c r="VA43" s="150"/>
      <c r="VB43" s="150"/>
      <c r="VC43" s="150"/>
      <c r="VD43" s="150"/>
      <c r="VE43" s="150"/>
      <c r="VF43" s="150"/>
      <c r="VG43" s="150"/>
      <c r="VH43" s="150"/>
      <c r="VI43" s="150"/>
      <c r="VJ43" s="150"/>
      <c r="VK43" s="150"/>
      <c r="VL43" s="150"/>
      <c r="VM43" s="150"/>
      <c r="VN43" s="150"/>
      <c r="VO43" s="150"/>
      <c r="VP43" s="150"/>
      <c r="VQ43" s="150"/>
      <c r="VR43" s="150"/>
      <c r="VS43" s="150"/>
      <c r="VT43" s="150"/>
      <c r="VU43" s="150"/>
      <c r="VV43" s="150"/>
      <c r="VW43" s="150"/>
      <c r="VX43" s="150"/>
      <c r="VY43" s="150"/>
      <c r="VZ43" s="150"/>
      <c r="WA43" s="150"/>
      <c r="WB43" s="150"/>
      <c r="WC43" s="150"/>
      <c r="WD43" s="150"/>
      <c r="WE43" s="150"/>
      <c r="WF43" s="150"/>
      <c r="WG43" s="150"/>
      <c r="WH43" s="150"/>
      <c r="WI43" s="150"/>
      <c r="WJ43" s="150"/>
      <c r="WK43" s="150"/>
      <c r="WL43" s="150"/>
      <c r="WM43" s="150"/>
      <c r="WN43" s="150"/>
      <c r="WO43" s="150"/>
      <c r="WP43" s="150"/>
      <c r="WQ43" s="150"/>
      <c r="WR43" s="150"/>
      <c r="WS43" s="150"/>
      <c r="WT43" s="150"/>
      <c r="WU43" s="150"/>
      <c r="WV43" s="150"/>
      <c r="WW43" s="150"/>
      <c r="WX43" s="150"/>
      <c r="WY43" s="150"/>
      <c r="WZ43" s="150"/>
      <c r="XA43" s="150"/>
      <c r="XB43" s="150"/>
      <c r="XC43" s="150"/>
      <c r="XD43" s="150"/>
      <c r="XE43" s="150"/>
      <c r="XF43" s="150"/>
      <c r="XG43" s="150"/>
      <c r="XH43" s="150"/>
      <c r="XI43" s="150"/>
      <c r="XJ43" s="150"/>
      <c r="XK43" s="150"/>
      <c r="XL43" s="150"/>
      <c r="XM43" s="150"/>
      <c r="XN43" s="150"/>
      <c r="XO43" s="150"/>
      <c r="XP43" s="150"/>
      <c r="XQ43" s="150"/>
      <c r="XR43" s="150"/>
      <c r="XS43" s="150"/>
      <c r="XT43" s="150"/>
      <c r="XU43" s="150"/>
      <c r="XV43" s="150"/>
      <c r="XW43" s="150"/>
      <c r="XX43" s="150"/>
      <c r="XY43" s="150"/>
      <c r="XZ43" s="150"/>
      <c r="YA43" s="150"/>
      <c r="YB43" s="150"/>
      <c r="YC43" s="150"/>
      <c r="YD43" s="150"/>
      <c r="YE43" s="150"/>
      <c r="YF43" s="150"/>
      <c r="YG43" s="150"/>
      <c r="YH43" s="150"/>
      <c r="YI43" s="150"/>
      <c r="YJ43" s="150"/>
      <c r="YK43" s="150"/>
      <c r="YL43" s="150"/>
      <c r="YM43" s="150"/>
      <c r="YN43" s="150"/>
      <c r="YO43" s="150"/>
      <c r="YP43" s="150"/>
      <c r="YQ43" s="150"/>
      <c r="YR43" s="150"/>
      <c r="YS43" s="150"/>
      <c r="YT43" s="150"/>
      <c r="YU43" s="150"/>
      <c r="YV43" s="150"/>
      <c r="YW43" s="150"/>
      <c r="YX43" s="150"/>
      <c r="YY43" s="150"/>
      <c r="YZ43" s="150"/>
      <c r="ZA43" s="150"/>
      <c r="ZB43" s="150"/>
      <c r="ZC43" s="150"/>
      <c r="ZD43" s="150"/>
      <c r="ZE43" s="150"/>
      <c r="ZF43" s="150"/>
      <c r="ZG43" s="150"/>
      <c r="ZH43" s="150"/>
      <c r="ZI43" s="150"/>
      <c r="ZJ43" s="150"/>
      <c r="ZK43" s="150"/>
      <c r="ZL43" s="150"/>
      <c r="ZM43" s="150"/>
      <c r="ZN43" s="150"/>
      <c r="ZO43" s="150"/>
      <c r="ZP43" s="150"/>
      <c r="ZQ43" s="150"/>
      <c r="ZR43" s="150"/>
      <c r="ZS43" s="150"/>
      <c r="ZT43" s="150"/>
      <c r="ZU43" s="150"/>
      <c r="ZV43" s="150"/>
      <c r="ZW43" s="150"/>
      <c r="ZX43" s="150"/>
      <c r="ZY43" s="150"/>
      <c r="ZZ43" s="150"/>
      <c r="AAA43" s="150"/>
      <c r="AAB43" s="150"/>
      <c r="AAC43" s="150"/>
      <c r="AAD43" s="150"/>
      <c r="AAE43" s="150"/>
      <c r="AAF43" s="150"/>
      <c r="AAG43" s="150"/>
      <c r="AAH43" s="150"/>
      <c r="AAI43" s="150"/>
      <c r="AAJ43" s="150"/>
      <c r="AAK43" s="150"/>
      <c r="AAL43" s="150"/>
      <c r="AAM43" s="150"/>
      <c r="AAN43" s="150"/>
      <c r="AAO43" s="150"/>
      <c r="AAP43" s="150"/>
      <c r="AAQ43" s="150"/>
      <c r="AAR43" s="150"/>
      <c r="AAS43" s="150"/>
      <c r="AAT43" s="150"/>
      <c r="AAU43" s="150"/>
      <c r="AAV43" s="150"/>
      <c r="AAW43" s="150"/>
      <c r="AAX43" s="150"/>
      <c r="AAY43" s="150"/>
      <c r="AAZ43" s="150"/>
      <c r="ABA43" s="150"/>
      <c r="ABB43" s="150"/>
      <c r="ABC43" s="150"/>
      <c r="ABD43" s="150"/>
      <c r="ABE43" s="150"/>
      <c r="ABF43" s="150"/>
      <c r="ABG43" s="150"/>
      <c r="ABH43" s="150"/>
      <c r="ABI43" s="150"/>
      <c r="ABJ43" s="150"/>
      <c r="ABK43" s="150"/>
      <c r="ABL43" s="150"/>
      <c r="ABM43" s="150"/>
      <c r="ABN43" s="150"/>
      <c r="ABO43" s="150"/>
      <c r="ABP43" s="150"/>
      <c r="ABQ43" s="150"/>
      <c r="ABR43" s="150"/>
      <c r="ABS43" s="150"/>
      <c r="ABT43" s="150"/>
      <c r="ABU43" s="150"/>
      <c r="ABV43" s="150"/>
      <c r="ABW43" s="150"/>
      <c r="ABX43" s="150"/>
      <c r="ABY43" s="150"/>
      <c r="ABZ43" s="150"/>
      <c r="ACA43" s="150"/>
      <c r="ACB43" s="150"/>
      <c r="ACC43" s="150"/>
      <c r="ACD43" s="150"/>
      <c r="ACE43" s="150"/>
      <c r="ACF43" s="150"/>
      <c r="ACG43" s="150"/>
      <c r="ACH43" s="150"/>
      <c r="ACI43" s="150"/>
      <c r="ACJ43" s="150"/>
      <c r="ACK43" s="150"/>
      <c r="ACL43" s="150"/>
      <c r="ACM43" s="150"/>
      <c r="ACN43" s="150"/>
      <c r="ACO43" s="150"/>
      <c r="ACP43" s="150"/>
      <c r="ACQ43" s="150"/>
      <c r="ACR43" s="150"/>
      <c r="ACS43" s="150"/>
      <c r="ACT43" s="150"/>
      <c r="ACU43" s="150"/>
      <c r="ACV43" s="150"/>
      <c r="ACW43" s="150"/>
      <c r="ACX43" s="150"/>
      <c r="ACY43" s="150"/>
      <c r="ACZ43" s="150"/>
      <c r="ADA43" s="150"/>
      <c r="ADB43" s="150"/>
      <c r="ADC43" s="150"/>
      <c r="ADD43" s="150"/>
      <c r="ADE43" s="150"/>
      <c r="ADF43" s="150"/>
      <c r="ADG43" s="150"/>
      <c r="ADH43" s="150"/>
      <c r="ADI43" s="150"/>
      <c r="ADJ43" s="150"/>
      <c r="ADK43" s="150"/>
      <c r="ADL43" s="150"/>
      <c r="ADM43" s="150"/>
      <c r="ADN43" s="150"/>
      <c r="ADO43" s="150"/>
      <c r="ADP43" s="150"/>
      <c r="ADQ43" s="150"/>
      <c r="ADR43" s="150"/>
      <c r="ADS43" s="150"/>
      <c r="ADT43" s="150"/>
      <c r="ADU43" s="150"/>
      <c r="ADV43" s="150"/>
      <c r="ADW43" s="150"/>
      <c r="ADX43" s="150"/>
      <c r="ADY43" s="150"/>
      <c r="ADZ43" s="150"/>
      <c r="AEA43" s="150"/>
      <c r="AEB43" s="150"/>
      <c r="AEC43" s="150"/>
      <c r="AED43" s="150"/>
      <c r="AEE43" s="150"/>
      <c r="AEF43" s="150"/>
      <c r="AEG43" s="150"/>
      <c r="AEH43" s="150"/>
      <c r="AEI43" s="150"/>
      <c r="AEJ43" s="150"/>
      <c r="AEK43" s="150"/>
      <c r="AEL43" s="150"/>
      <c r="AEM43" s="150"/>
      <c r="AEN43" s="150"/>
      <c r="AEO43" s="150"/>
      <c r="AEP43" s="150"/>
      <c r="AEQ43" s="150"/>
      <c r="AER43" s="150"/>
      <c r="AES43" s="150"/>
      <c r="AET43" s="150"/>
      <c r="AEU43" s="150"/>
      <c r="AEV43" s="150"/>
      <c r="AEW43" s="150"/>
      <c r="AEX43" s="150"/>
      <c r="AEY43" s="150"/>
      <c r="AEZ43" s="150"/>
      <c r="AFA43" s="150"/>
      <c r="AFB43" s="150"/>
      <c r="AFC43" s="150"/>
      <c r="AFD43" s="150"/>
      <c r="AFE43" s="150"/>
      <c r="AFF43" s="150"/>
      <c r="AFG43" s="150"/>
      <c r="AFH43" s="150"/>
      <c r="AFI43" s="150"/>
      <c r="AFJ43" s="150"/>
      <c r="AFK43" s="150"/>
      <c r="AFL43" s="150"/>
      <c r="AFM43" s="150"/>
      <c r="AFN43" s="150"/>
      <c r="AFO43" s="150"/>
      <c r="AFP43" s="150"/>
      <c r="AFQ43" s="150"/>
      <c r="AFR43" s="150"/>
      <c r="AFS43" s="150"/>
      <c r="AFT43" s="150"/>
      <c r="AFU43" s="150"/>
      <c r="AFV43" s="150"/>
      <c r="AFW43" s="150"/>
      <c r="AFX43" s="150"/>
      <c r="AFY43" s="150"/>
      <c r="AFZ43" s="150"/>
      <c r="AGA43" s="150"/>
      <c r="AGB43" s="150"/>
      <c r="AGC43" s="150"/>
      <c r="AGD43" s="150"/>
      <c r="AGE43" s="150"/>
      <c r="AGF43" s="150"/>
      <c r="AGG43" s="150"/>
      <c r="AGH43" s="150"/>
      <c r="AGI43" s="150"/>
      <c r="AGJ43" s="150"/>
      <c r="AGK43" s="150"/>
      <c r="AGL43" s="150"/>
      <c r="AGM43" s="150"/>
      <c r="AGN43" s="150"/>
      <c r="AGO43" s="150"/>
      <c r="AGP43" s="150"/>
      <c r="AGQ43" s="150"/>
      <c r="AGR43" s="150"/>
      <c r="AGS43" s="150"/>
      <c r="AGT43" s="150"/>
      <c r="AGU43" s="150"/>
      <c r="AGV43" s="150"/>
      <c r="AGW43" s="150"/>
      <c r="AGX43" s="150"/>
      <c r="AGY43" s="150"/>
      <c r="AGZ43" s="150"/>
      <c r="AHA43" s="150"/>
      <c r="AHB43" s="150"/>
      <c r="AHC43" s="150"/>
      <c r="AHD43" s="150"/>
      <c r="AHE43" s="150"/>
      <c r="AHF43" s="150"/>
      <c r="AHG43" s="150"/>
      <c r="AHH43" s="150"/>
      <c r="AHI43" s="150"/>
      <c r="AHJ43" s="150"/>
      <c r="AHK43" s="150"/>
      <c r="AHL43" s="150"/>
      <c r="AHM43" s="150"/>
      <c r="AHN43" s="150"/>
      <c r="AHO43" s="150"/>
      <c r="AHP43" s="150"/>
      <c r="AHQ43" s="150"/>
      <c r="AHR43" s="150"/>
      <c r="AHS43" s="150"/>
      <c r="AHT43" s="150"/>
      <c r="AHU43" s="150"/>
      <c r="AHV43" s="150"/>
      <c r="AHW43" s="150"/>
      <c r="AHX43" s="150"/>
      <c r="AHY43" s="150"/>
      <c r="AHZ43" s="150"/>
      <c r="AIA43" s="150"/>
      <c r="AIB43" s="150"/>
      <c r="AIC43" s="150"/>
      <c r="AID43" s="150"/>
      <c r="AIE43" s="150"/>
      <c r="AIF43" s="150"/>
      <c r="AIG43" s="150"/>
      <c r="AIH43" s="150"/>
      <c r="AII43" s="150"/>
      <c r="AIJ43" s="150"/>
      <c r="AIK43" s="150"/>
      <c r="AIL43" s="150"/>
      <c r="AIM43" s="150"/>
      <c r="AIN43" s="150"/>
      <c r="AIO43" s="150"/>
      <c r="AIP43" s="150"/>
      <c r="AIQ43" s="150"/>
      <c r="AIR43" s="150"/>
      <c r="AIS43" s="150"/>
      <c r="AIT43" s="150"/>
      <c r="AIU43" s="150"/>
      <c r="AIV43" s="150"/>
      <c r="AIW43" s="150"/>
      <c r="AIX43" s="150"/>
      <c r="AIY43" s="150"/>
      <c r="AIZ43" s="150"/>
      <c r="AJA43" s="150"/>
      <c r="AJB43" s="150"/>
      <c r="AJC43" s="150"/>
      <c r="AJD43" s="150"/>
      <c r="AJE43" s="150"/>
      <c r="AJF43" s="150"/>
      <c r="AJG43" s="150"/>
      <c r="AJH43" s="150"/>
      <c r="AJI43" s="150"/>
      <c r="AJJ43" s="150"/>
      <c r="AJK43" s="150"/>
      <c r="AJL43" s="150"/>
      <c r="AJM43" s="150"/>
      <c r="AJN43" s="150"/>
      <c r="AJO43" s="150"/>
      <c r="AJP43" s="150"/>
      <c r="AJQ43" s="150"/>
      <c r="AJR43" s="150"/>
      <c r="AJS43" s="150"/>
      <c r="AJT43" s="150"/>
      <c r="AJU43" s="150"/>
      <c r="AJV43" s="150"/>
      <c r="AJW43" s="150"/>
      <c r="AJX43" s="150"/>
      <c r="AJY43" s="150"/>
      <c r="AJZ43" s="150"/>
      <c r="AKA43" s="150"/>
      <c r="AKB43" s="150"/>
      <c r="AKC43" s="150"/>
      <c r="AKD43" s="150"/>
      <c r="AKE43" s="150"/>
      <c r="AKF43" s="150"/>
      <c r="AKG43" s="150"/>
      <c r="AKH43" s="150"/>
      <c r="AKI43" s="150"/>
      <c r="AKJ43" s="150"/>
      <c r="AKK43" s="150"/>
      <c r="AKL43" s="150"/>
      <c r="AKM43" s="150"/>
      <c r="AKN43" s="150"/>
      <c r="AKO43" s="150"/>
      <c r="AKP43" s="150"/>
      <c r="AKQ43" s="150"/>
      <c r="AKR43" s="150"/>
      <c r="AKS43" s="150"/>
      <c r="AKT43" s="150"/>
      <c r="AKU43" s="150"/>
      <c r="AKV43" s="150"/>
      <c r="AKW43" s="150"/>
      <c r="AKX43" s="150"/>
      <c r="AKY43" s="150"/>
      <c r="AKZ43" s="150"/>
      <c r="ALA43" s="150"/>
      <c r="ALB43" s="150"/>
      <c r="ALC43" s="150"/>
      <c r="ALD43" s="150"/>
      <c r="ALE43" s="150"/>
      <c r="ALF43" s="150"/>
      <c r="ALG43" s="150"/>
      <c r="ALH43" s="150"/>
      <c r="ALI43" s="150"/>
      <c r="ALJ43" s="150"/>
      <c r="ALK43" s="150"/>
      <c r="ALL43" s="150"/>
      <c r="ALM43" s="150"/>
      <c r="ALN43" s="150"/>
      <c r="ALO43" s="150"/>
      <c r="ALP43" s="150"/>
      <c r="ALQ43" s="150"/>
      <c r="ALR43" s="150"/>
      <c r="ALS43" s="150"/>
      <c r="ALT43" s="150"/>
      <c r="ALU43" s="150"/>
      <c r="ALV43" s="150"/>
      <c r="ALW43" s="150"/>
      <c r="ALX43" s="150"/>
      <c r="ALY43" s="150"/>
      <c r="ALZ43" s="150"/>
      <c r="AMA43" s="150"/>
      <c r="AMB43" s="150"/>
      <c r="AMC43" s="150"/>
      <c r="AMD43" s="150"/>
      <c r="AME43" s="150"/>
      <c r="AMF43" s="150"/>
      <c r="AMG43" s="150"/>
      <c r="AMH43" s="150"/>
      <c r="AMI43" s="150"/>
      <c r="AMJ43" s="150"/>
      <c r="AMK43" s="150"/>
      <c r="AML43" s="150"/>
    </row>
    <row r="44" spans="1:1026" s="84" customFormat="1" x14ac:dyDescent="0.25">
      <c r="A44" s="233">
        <v>38</v>
      </c>
      <c r="B44" s="227" t="s">
        <v>171</v>
      </c>
      <c r="C44" s="145">
        <v>1</v>
      </c>
      <c r="D44" s="145">
        <v>0.8</v>
      </c>
      <c r="E44" s="145">
        <v>0.2</v>
      </c>
      <c r="F44" s="145">
        <v>1</v>
      </c>
      <c r="G44" s="145">
        <v>0.52</v>
      </c>
      <c r="H44" s="145">
        <v>1</v>
      </c>
      <c r="I44" s="216">
        <v>0</v>
      </c>
      <c r="J44" s="145">
        <v>0.08</v>
      </c>
      <c r="K44" s="145">
        <v>0.16</v>
      </c>
      <c r="L44" s="145">
        <v>0.08</v>
      </c>
      <c r="M44" s="86">
        <f>'1.2.10 Проф'!E45</f>
        <v>0.39035087719298245</v>
      </c>
      <c r="N44" s="86">
        <f>'1.2.10 Проф'!H45</f>
        <v>0.20394736842105263</v>
      </c>
      <c r="O44" s="86">
        <f>'1.2.10 Проф'!K45</f>
        <v>9.7448165869218492E-2</v>
      </c>
      <c r="P44" s="145">
        <v>1</v>
      </c>
      <c r="Q44" s="49">
        <f>SUM(C44:P44)</f>
        <v>6.5317464114832537</v>
      </c>
      <c r="R44" s="145">
        <v>0</v>
      </c>
      <c r="S44" s="218">
        <v>0</v>
      </c>
      <c r="T44" s="218">
        <v>-0.08</v>
      </c>
      <c r="U44" s="49">
        <f t="shared" si="1"/>
        <v>-0.08</v>
      </c>
      <c r="V44" s="49">
        <f t="shared" si="2"/>
        <v>6.4517464114832537</v>
      </c>
      <c r="W44" s="224">
        <f t="shared" si="3"/>
        <v>0.3795144947931326</v>
      </c>
      <c r="X44" s="508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  <c r="IX44" s="83"/>
      <c r="IY44" s="83"/>
      <c r="IZ44" s="83"/>
      <c r="JA44" s="83"/>
      <c r="JB44" s="83"/>
      <c r="JC44" s="83"/>
      <c r="JD44" s="83"/>
      <c r="JE44" s="83"/>
      <c r="JF44" s="83"/>
      <c r="JG44" s="83"/>
      <c r="JH44" s="83"/>
      <c r="JI44" s="83"/>
      <c r="JJ44" s="83"/>
      <c r="JK44" s="83"/>
      <c r="JL44" s="83"/>
      <c r="JM44" s="83"/>
      <c r="JN44" s="83"/>
      <c r="JO44" s="83"/>
      <c r="JP44" s="83"/>
      <c r="JQ44" s="83"/>
      <c r="JR44" s="83"/>
      <c r="JS44" s="83"/>
      <c r="JT44" s="83"/>
      <c r="JU44" s="83"/>
      <c r="JV44" s="83"/>
      <c r="JW44" s="83"/>
      <c r="JX44" s="83"/>
      <c r="JY44" s="83"/>
      <c r="JZ44" s="83"/>
      <c r="KA44" s="83"/>
      <c r="KB44" s="83"/>
      <c r="KC44" s="83"/>
      <c r="KD44" s="83"/>
      <c r="KE44" s="83"/>
      <c r="KF44" s="83"/>
      <c r="KG44" s="83"/>
      <c r="KH44" s="83"/>
      <c r="KI44" s="83"/>
      <c r="KJ44" s="83"/>
      <c r="KK44" s="83"/>
      <c r="KL44" s="83"/>
      <c r="KM44" s="83"/>
      <c r="KN44" s="83"/>
      <c r="KO44" s="83"/>
      <c r="KP44" s="83"/>
      <c r="KQ44" s="83"/>
      <c r="KR44" s="83"/>
      <c r="KS44" s="83"/>
      <c r="KT44" s="83"/>
      <c r="KU44" s="83"/>
      <c r="KV44" s="83"/>
      <c r="KW44" s="83"/>
      <c r="KX44" s="83"/>
      <c r="KY44" s="83"/>
      <c r="KZ44" s="83"/>
      <c r="LA44" s="83"/>
      <c r="LB44" s="83"/>
      <c r="LC44" s="83"/>
      <c r="LD44" s="83"/>
      <c r="LE44" s="83"/>
      <c r="LF44" s="83"/>
      <c r="LG44" s="83"/>
      <c r="LH44" s="83"/>
      <c r="LI44" s="83"/>
      <c r="LJ44" s="83"/>
      <c r="LK44" s="83"/>
      <c r="LL44" s="83"/>
      <c r="LM44" s="83"/>
      <c r="LN44" s="83"/>
      <c r="LO44" s="83"/>
      <c r="LP44" s="83"/>
      <c r="LQ44" s="83"/>
      <c r="LR44" s="83"/>
      <c r="LS44" s="83"/>
      <c r="LT44" s="83"/>
      <c r="LU44" s="83"/>
      <c r="LV44" s="83"/>
      <c r="LW44" s="83"/>
      <c r="LX44" s="83"/>
      <c r="LY44" s="83"/>
      <c r="LZ44" s="83"/>
      <c r="MA44" s="83"/>
      <c r="MB44" s="83"/>
      <c r="MC44" s="83"/>
      <c r="MD44" s="83"/>
      <c r="ME44" s="83"/>
      <c r="MF44" s="83"/>
      <c r="MG44" s="83"/>
      <c r="MH44" s="83"/>
      <c r="MI44" s="83"/>
      <c r="MJ44" s="83"/>
      <c r="MK44" s="83"/>
      <c r="ML44" s="83"/>
      <c r="MM44" s="83"/>
      <c r="MN44" s="83"/>
      <c r="MO44" s="83"/>
      <c r="MP44" s="83"/>
      <c r="MQ44" s="83"/>
      <c r="MR44" s="83"/>
      <c r="MS44" s="83"/>
      <c r="MT44" s="83"/>
      <c r="MU44" s="83"/>
      <c r="MV44" s="83"/>
      <c r="MW44" s="83"/>
      <c r="MX44" s="83"/>
      <c r="MY44" s="83"/>
      <c r="MZ44" s="83"/>
      <c r="NA44" s="83"/>
      <c r="NB44" s="83"/>
      <c r="NC44" s="83"/>
      <c r="ND44" s="83"/>
      <c r="NE44" s="83"/>
      <c r="NF44" s="83"/>
      <c r="NG44" s="83"/>
      <c r="NH44" s="83"/>
      <c r="NI44" s="83"/>
      <c r="NJ44" s="83"/>
      <c r="NK44" s="83"/>
      <c r="NL44" s="83"/>
      <c r="NM44" s="83"/>
      <c r="NN44" s="83"/>
      <c r="NO44" s="83"/>
      <c r="NP44" s="83"/>
      <c r="NQ44" s="83"/>
      <c r="NR44" s="83"/>
      <c r="NS44" s="83"/>
      <c r="NT44" s="83"/>
      <c r="NU44" s="83"/>
      <c r="NV44" s="83"/>
      <c r="NW44" s="83"/>
      <c r="NX44" s="83"/>
      <c r="NY44" s="83"/>
      <c r="NZ44" s="83"/>
      <c r="OA44" s="83"/>
      <c r="OB44" s="83"/>
      <c r="OC44" s="83"/>
      <c r="OD44" s="83"/>
      <c r="OE44" s="83"/>
      <c r="OF44" s="83"/>
      <c r="OG44" s="83"/>
      <c r="OH44" s="83"/>
      <c r="OI44" s="83"/>
      <c r="OJ44" s="83"/>
      <c r="OK44" s="83"/>
      <c r="OL44" s="83"/>
      <c r="OM44" s="83"/>
      <c r="ON44" s="83"/>
      <c r="OO44" s="83"/>
      <c r="OP44" s="83"/>
      <c r="OQ44" s="83"/>
      <c r="OR44" s="83"/>
      <c r="OS44" s="83"/>
      <c r="OT44" s="83"/>
      <c r="OU44" s="83"/>
      <c r="OV44" s="83"/>
      <c r="OW44" s="83"/>
      <c r="OX44" s="83"/>
      <c r="OY44" s="83"/>
      <c r="OZ44" s="83"/>
      <c r="PA44" s="83"/>
      <c r="PB44" s="83"/>
      <c r="PC44" s="83"/>
      <c r="PD44" s="83"/>
      <c r="PE44" s="83"/>
      <c r="PF44" s="83"/>
      <c r="PG44" s="83"/>
      <c r="PH44" s="83"/>
      <c r="PI44" s="83"/>
      <c r="PJ44" s="83"/>
      <c r="PK44" s="83"/>
      <c r="PL44" s="83"/>
      <c r="PM44" s="83"/>
      <c r="PN44" s="83"/>
      <c r="PO44" s="83"/>
      <c r="PP44" s="83"/>
      <c r="PQ44" s="83"/>
      <c r="PR44" s="83"/>
      <c r="PS44" s="83"/>
      <c r="PT44" s="83"/>
      <c r="PU44" s="83"/>
      <c r="PV44" s="83"/>
      <c r="PW44" s="83"/>
      <c r="PX44" s="83"/>
      <c r="PY44" s="83"/>
      <c r="PZ44" s="83"/>
      <c r="QA44" s="83"/>
      <c r="QB44" s="83"/>
      <c r="QC44" s="83"/>
      <c r="QD44" s="83"/>
      <c r="QE44" s="83"/>
      <c r="QF44" s="83"/>
      <c r="QG44" s="83"/>
      <c r="QH44" s="83"/>
      <c r="QI44" s="83"/>
      <c r="QJ44" s="83"/>
      <c r="QK44" s="83"/>
      <c r="QL44" s="83"/>
      <c r="QM44" s="83"/>
      <c r="QN44" s="83"/>
      <c r="QO44" s="83"/>
      <c r="QP44" s="83"/>
      <c r="QQ44" s="83"/>
      <c r="QR44" s="83"/>
      <c r="QS44" s="83"/>
      <c r="QT44" s="83"/>
      <c r="QU44" s="83"/>
      <c r="QV44" s="83"/>
      <c r="QW44" s="83"/>
      <c r="QX44" s="83"/>
      <c r="QY44" s="83"/>
      <c r="QZ44" s="83"/>
      <c r="RA44" s="83"/>
      <c r="RB44" s="83"/>
      <c r="RC44" s="83"/>
      <c r="RD44" s="83"/>
      <c r="RE44" s="83"/>
      <c r="RF44" s="83"/>
      <c r="RG44" s="83"/>
      <c r="RH44" s="83"/>
      <c r="RI44" s="83"/>
      <c r="RJ44" s="83"/>
      <c r="RK44" s="83"/>
      <c r="RL44" s="83"/>
      <c r="RM44" s="83"/>
      <c r="RN44" s="83"/>
      <c r="RO44" s="83"/>
      <c r="RP44" s="83"/>
      <c r="RQ44" s="83"/>
      <c r="RR44" s="83"/>
      <c r="RS44" s="83"/>
      <c r="RT44" s="83"/>
      <c r="RU44" s="83"/>
      <c r="RV44" s="83"/>
      <c r="RW44" s="83"/>
      <c r="RX44" s="83"/>
      <c r="RY44" s="83"/>
      <c r="RZ44" s="83"/>
      <c r="SA44" s="83"/>
      <c r="SB44" s="83"/>
      <c r="SC44" s="83"/>
      <c r="SD44" s="83"/>
      <c r="SE44" s="83"/>
      <c r="SF44" s="83"/>
      <c r="SG44" s="83"/>
      <c r="SH44" s="83"/>
      <c r="SI44" s="83"/>
      <c r="SJ44" s="83"/>
      <c r="SK44" s="83"/>
      <c r="SL44" s="83"/>
      <c r="SM44" s="83"/>
      <c r="SN44" s="83"/>
      <c r="SO44" s="83"/>
      <c r="SP44" s="83"/>
      <c r="SQ44" s="83"/>
      <c r="SR44" s="83"/>
      <c r="SS44" s="83"/>
      <c r="ST44" s="83"/>
      <c r="SU44" s="83"/>
      <c r="SV44" s="83"/>
      <c r="SW44" s="83"/>
      <c r="SX44" s="83"/>
      <c r="SY44" s="83"/>
      <c r="SZ44" s="83"/>
      <c r="TA44" s="83"/>
      <c r="TB44" s="83"/>
      <c r="TC44" s="83"/>
      <c r="TD44" s="83"/>
      <c r="TE44" s="83"/>
      <c r="TF44" s="83"/>
      <c r="TG44" s="83"/>
      <c r="TH44" s="83"/>
      <c r="TI44" s="83"/>
      <c r="TJ44" s="83"/>
      <c r="TK44" s="83"/>
      <c r="TL44" s="83"/>
      <c r="TM44" s="83"/>
      <c r="TN44" s="83"/>
      <c r="TO44" s="83"/>
      <c r="TP44" s="83"/>
      <c r="TQ44" s="83"/>
      <c r="TR44" s="83"/>
      <c r="TS44" s="83"/>
      <c r="TT44" s="83"/>
      <c r="TU44" s="83"/>
      <c r="TV44" s="83"/>
      <c r="TW44" s="83"/>
      <c r="TX44" s="83"/>
      <c r="TY44" s="83"/>
      <c r="TZ44" s="83"/>
      <c r="UA44" s="83"/>
    </row>
    <row r="45" spans="1:1026" ht="15.75" thickBot="1" x14ac:dyDescent="0.3">
      <c r="A45" s="615" t="s">
        <v>118</v>
      </c>
      <c r="B45" s="616"/>
      <c r="C45" s="406">
        <f>AVERAGE(C7:C44)</f>
        <v>0.94960526315789462</v>
      </c>
      <c r="D45" s="406">
        <f t="shared" ref="D45:M45" si="4">AVERAGE(D7:D44)</f>
        <v>0.92086842105263145</v>
      </c>
      <c r="E45" s="406">
        <f t="shared" si="4"/>
        <v>7.3315789473684195E-2</v>
      </c>
      <c r="F45" s="406">
        <f t="shared" si="4"/>
        <v>0.981578947368421</v>
      </c>
      <c r="G45" s="406">
        <f t="shared" si="4"/>
        <v>0.48335135135135127</v>
      </c>
      <c r="H45" s="406">
        <f t="shared" si="4"/>
        <v>0.80384210526315802</v>
      </c>
      <c r="I45" s="406">
        <f t="shared" si="4"/>
        <v>-6.191891891891893E-2</v>
      </c>
      <c r="J45" s="406">
        <f t="shared" si="4"/>
        <v>2.7756756756756762E-2</v>
      </c>
      <c r="K45" s="406">
        <f t="shared" si="4"/>
        <v>4.4763157894736845E-2</v>
      </c>
      <c r="L45" s="406">
        <f t="shared" si="4"/>
        <v>3.6144736842105264E-2</v>
      </c>
      <c r="M45" s="406">
        <f t="shared" si="4"/>
        <v>0.37430747922437674</v>
      </c>
      <c r="N45" s="406">
        <f>AVERAGE(N7:N44)</f>
        <v>0.20931440443213295</v>
      </c>
      <c r="O45" s="406">
        <f t="shared" ref="O45:P45" si="5">AVERAGE(O7:O44)</f>
        <v>0.1000125912868295</v>
      </c>
      <c r="P45" s="406">
        <f t="shared" si="5"/>
        <v>0.95526315789473681</v>
      </c>
      <c r="Q45" s="406">
        <f t="shared" ref="Q45" si="6">AVERAGE(Q7:Q44)</f>
        <v>5.8863844749433385</v>
      </c>
      <c r="R45" s="406">
        <f t="shared" ref="R45" si="7">AVERAGE(R7:R44)</f>
        <v>-9.1868421052631599E-2</v>
      </c>
      <c r="S45" s="406">
        <f t="shared" ref="S45" si="8">AVERAGE(S7:S44)</f>
        <v>-2.3526315789473687E-2</v>
      </c>
      <c r="T45" s="406">
        <f t="shared" ref="T45" si="9">AVERAGE(T7:T44)</f>
        <v>-4.5710526315789479E-2</v>
      </c>
      <c r="U45" s="406">
        <f t="shared" ref="U45" si="10">AVERAGE(U7:U44)</f>
        <v>-0.16110526315789472</v>
      </c>
      <c r="V45" s="406">
        <f t="shared" ref="V45" si="11">AVERAGE(V7:V44)</f>
        <v>5.7252792117854439</v>
      </c>
      <c r="W45" s="425">
        <f>AVERAGE(W7:W44)</f>
        <v>0.33846614687489207</v>
      </c>
    </row>
    <row r="47" spans="1:1026" ht="15.75" thickBot="1" x14ac:dyDescent="0.3"/>
    <row r="48" spans="1:1026" ht="25.5" x14ac:dyDescent="0.25">
      <c r="A48" s="219">
        <v>1</v>
      </c>
      <c r="B48" s="220" t="s">
        <v>174</v>
      </c>
      <c r="C48" s="221">
        <v>0.89600000000000002</v>
      </c>
      <c r="D48" s="221">
        <v>0.84599999999999997</v>
      </c>
      <c r="E48" s="221">
        <v>0.154</v>
      </c>
      <c r="F48" s="221">
        <v>1</v>
      </c>
      <c r="G48" s="221">
        <v>0.53800000000000003</v>
      </c>
      <c r="H48" s="221">
        <v>1</v>
      </c>
      <c r="I48" s="222">
        <v>0</v>
      </c>
      <c r="J48" s="221">
        <v>0</v>
      </c>
      <c r="K48" s="221">
        <v>0</v>
      </c>
      <c r="L48" s="221"/>
      <c r="M48" s="223">
        <f>'1.2.10 Проф'!E48</f>
        <v>0</v>
      </c>
      <c r="N48" s="223">
        <f>'1.2.10 Проф'!H48</f>
        <v>0</v>
      </c>
      <c r="O48" s="223">
        <f>'1.2.10 Проф'!K48</f>
        <v>0</v>
      </c>
      <c r="P48" s="221">
        <v>1</v>
      </c>
      <c r="Q48" s="49">
        <f>SUM(C48:P48)</f>
        <v>5.4340000000000002</v>
      </c>
      <c r="R48" s="221">
        <v>0</v>
      </c>
      <c r="S48" s="221">
        <v>0</v>
      </c>
      <c r="T48" s="221">
        <v>0</v>
      </c>
      <c r="U48" s="49">
        <f>SUM(R48:T48)</f>
        <v>0</v>
      </c>
      <c r="V48" s="49">
        <f>Q48-U48</f>
        <v>5.4340000000000002</v>
      </c>
      <c r="W48" s="224">
        <f t="shared" ref="W48:W50" si="12">AVERAGE(R48:T48,C48:P48)</f>
        <v>0.33962500000000001</v>
      </c>
    </row>
    <row r="49" spans="1:547" ht="25.5" x14ac:dyDescent="0.25">
      <c r="A49" s="125">
        <v>2</v>
      </c>
      <c r="B49" s="81" t="s">
        <v>175</v>
      </c>
      <c r="C49" s="94">
        <v>1</v>
      </c>
      <c r="D49" s="94">
        <v>1</v>
      </c>
      <c r="E49" s="94">
        <v>0</v>
      </c>
      <c r="F49" s="94">
        <v>1</v>
      </c>
      <c r="G49" s="94">
        <v>0.66600000000000004</v>
      </c>
      <c r="H49" s="94">
        <v>1</v>
      </c>
      <c r="I49" s="93">
        <v>0</v>
      </c>
      <c r="J49" s="94">
        <v>0</v>
      </c>
      <c r="K49" s="94">
        <v>0</v>
      </c>
      <c r="L49" s="94"/>
      <c r="M49" s="86">
        <f>'1.2.10 Проф'!E49</f>
        <v>0</v>
      </c>
      <c r="N49" s="86">
        <f>'1.2.10 Проф'!H49</f>
        <v>0</v>
      </c>
      <c r="O49" s="86">
        <f>'1.2.10 Проф'!K49</f>
        <v>0.9375</v>
      </c>
      <c r="P49" s="94">
        <v>1</v>
      </c>
      <c r="Q49" s="49">
        <f t="shared" ref="Q49:Q50" si="13">SUM(C49:P49)</f>
        <v>6.6035000000000004</v>
      </c>
      <c r="R49" s="94">
        <v>0</v>
      </c>
      <c r="S49" s="94">
        <v>0</v>
      </c>
      <c r="T49" s="94">
        <v>0</v>
      </c>
      <c r="U49" s="49">
        <f t="shared" ref="U49:U50" si="14">SUM(R49:T49)</f>
        <v>0</v>
      </c>
      <c r="V49" s="49">
        <f t="shared" ref="V49:V50" si="15">Q49-U49</f>
        <v>6.6035000000000004</v>
      </c>
      <c r="W49" s="224">
        <f t="shared" si="12"/>
        <v>0.41271875000000002</v>
      </c>
    </row>
    <row r="50" spans="1:547" s="84" customFormat="1" ht="25.5" x14ac:dyDescent="0.25">
      <c r="A50" s="125">
        <v>3</v>
      </c>
      <c r="B50" s="81" t="s">
        <v>176</v>
      </c>
      <c r="C50" s="94">
        <v>1</v>
      </c>
      <c r="D50" s="94">
        <v>1</v>
      </c>
      <c r="E50" s="94">
        <v>0</v>
      </c>
      <c r="F50" s="94">
        <v>1</v>
      </c>
      <c r="G50" s="119">
        <v>0.43</v>
      </c>
      <c r="H50" s="119">
        <v>0.43</v>
      </c>
      <c r="I50" s="93">
        <v>0</v>
      </c>
      <c r="J50" s="119">
        <v>0</v>
      </c>
      <c r="K50" s="94">
        <v>7.0000000000000001E-3</v>
      </c>
      <c r="L50" s="94"/>
      <c r="M50" s="86">
        <f>'1.2.10 Проф'!E50</f>
        <v>0</v>
      </c>
      <c r="N50" s="86">
        <f>'1.2.10 Проф'!H50</f>
        <v>0</v>
      </c>
      <c r="O50" s="86">
        <f>'1.2.10 Проф'!K50</f>
        <v>0</v>
      </c>
      <c r="P50" s="94">
        <v>1</v>
      </c>
      <c r="Q50" s="49">
        <f t="shared" si="13"/>
        <v>4.8670000000000009</v>
      </c>
      <c r="R50" s="94">
        <v>0</v>
      </c>
      <c r="S50" s="94">
        <v>0</v>
      </c>
      <c r="T50" s="94">
        <v>0</v>
      </c>
      <c r="U50" s="49">
        <f t="shared" si="14"/>
        <v>0</v>
      </c>
      <c r="V50" s="49">
        <f t="shared" si="15"/>
        <v>4.8670000000000009</v>
      </c>
      <c r="W50" s="224">
        <f t="shared" si="12"/>
        <v>0.30418750000000006</v>
      </c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  <c r="IW50" s="83"/>
      <c r="IX50" s="83"/>
      <c r="IY50" s="83"/>
      <c r="IZ50" s="83"/>
      <c r="JA50" s="83"/>
      <c r="JB50" s="83"/>
      <c r="JC50" s="83"/>
      <c r="JD50" s="83"/>
      <c r="JE50" s="83"/>
      <c r="JF50" s="83"/>
      <c r="JG50" s="83"/>
      <c r="JH50" s="83"/>
      <c r="JI50" s="83"/>
      <c r="JJ50" s="83"/>
      <c r="JK50" s="83"/>
      <c r="JL50" s="83"/>
      <c r="JM50" s="83"/>
      <c r="JN50" s="83"/>
      <c r="JO50" s="83"/>
      <c r="JP50" s="83"/>
      <c r="JQ50" s="83"/>
      <c r="JR50" s="83"/>
      <c r="JS50" s="83"/>
      <c r="JT50" s="83"/>
      <c r="JU50" s="83"/>
      <c r="JV50" s="83"/>
      <c r="JW50" s="83"/>
      <c r="JX50" s="83"/>
      <c r="JY50" s="83"/>
      <c r="JZ50" s="83"/>
      <c r="KA50" s="83"/>
      <c r="KB50" s="83"/>
      <c r="KC50" s="83"/>
      <c r="KD50" s="83"/>
      <c r="KE50" s="83"/>
      <c r="KF50" s="83"/>
      <c r="KG50" s="83"/>
      <c r="KH50" s="83"/>
      <c r="KI50" s="83"/>
      <c r="KJ50" s="83"/>
      <c r="KK50" s="83"/>
      <c r="KL50" s="83"/>
      <c r="KM50" s="83"/>
      <c r="KN50" s="83"/>
      <c r="KO50" s="83"/>
      <c r="KP50" s="83"/>
      <c r="KQ50" s="83"/>
      <c r="KR50" s="83"/>
      <c r="KS50" s="83"/>
      <c r="KT50" s="83"/>
      <c r="KU50" s="83"/>
      <c r="KV50" s="83"/>
      <c r="KW50" s="83"/>
      <c r="KX50" s="83"/>
      <c r="KY50" s="83"/>
      <c r="KZ50" s="83"/>
      <c r="LA50" s="83"/>
      <c r="LB50" s="83"/>
      <c r="LC50" s="83"/>
      <c r="LD50" s="83"/>
      <c r="LE50" s="83"/>
      <c r="LF50" s="83"/>
      <c r="LG50" s="83"/>
      <c r="LH50" s="83"/>
      <c r="LI50" s="83"/>
      <c r="LJ50" s="83"/>
      <c r="LK50" s="83"/>
      <c r="LL50" s="83"/>
      <c r="LM50" s="83"/>
      <c r="LN50" s="83"/>
      <c r="LO50" s="83"/>
      <c r="LP50" s="83"/>
      <c r="LQ50" s="83"/>
      <c r="LR50" s="83"/>
      <c r="LS50" s="83"/>
      <c r="LT50" s="83"/>
      <c r="LU50" s="83"/>
      <c r="LV50" s="83"/>
      <c r="LW50" s="83"/>
      <c r="LX50" s="83"/>
      <c r="LY50" s="83"/>
      <c r="LZ50" s="83"/>
      <c r="MA50" s="83"/>
      <c r="MB50" s="83"/>
      <c r="MC50" s="83"/>
      <c r="MD50" s="83"/>
      <c r="ME50" s="83"/>
      <c r="MF50" s="83"/>
      <c r="MG50" s="83"/>
      <c r="MH50" s="83"/>
      <c r="MI50" s="83"/>
      <c r="MJ50" s="83"/>
      <c r="MK50" s="83"/>
      <c r="ML50" s="83"/>
      <c r="MM50" s="83"/>
      <c r="MN50" s="83"/>
      <c r="MO50" s="83"/>
      <c r="MP50" s="83"/>
      <c r="MQ50" s="83"/>
      <c r="MR50" s="83"/>
      <c r="MS50" s="83"/>
      <c r="MT50" s="83"/>
      <c r="MU50" s="83"/>
      <c r="MV50" s="83"/>
      <c r="MW50" s="83"/>
      <c r="MX50" s="83"/>
      <c r="MY50" s="83"/>
      <c r="MZ50" s="83"/>
      <c r="NA50" s="83"/>
      <c r="NB50" s="83"/>
      <c r="NC50" s="83"/>
      <c r="ND50" s="83"/>
      <c r="NE50" s="83"/>
      <c r="NF50" s="83"/>
      <c r="NG50" s="83"/>
      <c r="NH50" s="83"/>
      <c r="NI50" s="83"/>
      <c r="NJ50" s="83"/>
      <c r="NK50" s="83"/>
      <c r="NL50" s="83"/>
      <c r="NM50" s="83"/>
      <c r="NN50" s="83"/>
      <c r="NO50" s="83"/>
      <c r="NP50" s="83"/>
      <c r="NQ50" s="83"/>
      <c r="NR50" s="83"/>
      <c r="NS50" s="83"/>
      <c r="NT50" s="83"/>
      <c r="NU50" s="83"/>
      <c r="NV50" s="83"/>
      <c r="NW50" s="83"/>
      <c r="NX50" s="83"/>
      <c r="NY50" s="83"/>
      <c r="NZ50" s="83"/>
      <c r="OA50" s="83"/>
      <c r="OB50" s="83"/>
      <c r="OC50" s="83"/>
      <c r="OD50" s="83"/>
      <c r="OE50" s="83"/>
      <c r="OF50" s="83"/>
      <c r="OG50" s="83"/>
      <c r="OH50" s="83"/>
      <c r="OI50" s="83"/>
      <c r="OJ50" s="83"/>
      <c r="OK50" s="83"/>
      <c r="OL50" s="83"/>
      <c r="OM50" s="83"/>
      <c r="ON50" s="83"/>
      <c r="OO50" s="83"/>
      <c r="OP50" s="83"/>
      <c r="OQ50" s="83"/>
      <c r="OR50" s="83"/>
      <c r="OS50" s="83"/>
      <c r="OT50" s="83"/>
      <c r="OU50" s="83"/>
      <c r="OV50" s="83"/>
      <c r="OW50" s="83"/>
      <c r="OX50" s="83"/>
      <c r="OY50" s="83"/>
      <c r="OZ50" s="83"/>
      <c r="PA50" s="83"/>
      <c r="PB50" s="83"/>
      <c r="PC50" s="83"/>
      <c r="PD50" s="83"/>
      <c r="PE50" s="83"/>
      <c r="PF50" s="83"/>
      <c r="PG50" s="83"/>
      <c r="PH50" s="83"/>
      <c r="PI50" s="83"/>
      <c r="PJ50" s="83"/>
      <c r="PK50" s="83"/>
      <c r="PL50" s="83"/>
      <c r="PM50" s="83"/>
      <c r="PN50" s="83"/>
      <c r="PO50" s="83"/>
      <c r="PP50" s="83"/>
      <c r="PQ50" s="83"/>
      <c r="PR50" s="83"/>
      <c r="PS50" s="83"/>
      <c r="PT50" s="83"/>
      <c r="PU50" s="83"/>
      <c r="PV50" s="83"/>
      <c r="PW50" s="83"/>
      <c r="PX50" s="83"/>
      <c r="PY50" s="83"/>
      <c r="PZ50" s="83"/>
      <c r="QA50" s="83"/>
      <c r="QB50" s="83"/>
      <c r="QC50" s="83"/>
      <c r="QD50" s="83"/>
      <c r="QE50" s="83"/>
      <c r="QF50" s="83"/>
      <c r="QG50" s="83"/>
      <c r="QH50" s="83"/>
      <c r="QI50" s="83"/>
      <c r="QJ50" s="83"/>
      <c r="QK50" s="83"/>
      <c r="QL50" s="83"/>
      <c r="QM50" s="83"/>
      <c r="QN50" s="83"/>
      <c r="QO50" s="83"/>
      <c r="QP50" s="83"/>
      <c r="QQ50" s="83"/>
      <c r="QR50" s="83"/>
      <c r="QS50" s="83"/>
      <c r="QT50" s="83"/>
      <c r="QU50" s="83"/>
      <c r="QV50" s="83"/>
      <c r="QW50" s="83"/>
      <c r="QX50" s="83"/>
      <c r="QY50" s="83"/>
      <c r="QZ50" s="83"/>
      <c r="RA50" s="83"/>
      <c r="RB50" s="83"/>
      <c r="RC50" s="83"/>
      <c r="RD50" s="83"/>
      <c r="RE50" s="83"/>
      <c r="RF50" s="83"/>
      <c r="RG50" s="83"/>
      <c r="RH50" s="83"/>
      <c r="RI50" s="83"/>
      <c r="RJ50" s="83"/>
      <c r="RK50" s="83"/>
      <c r="RL50" s="83"/>
      <c r="RM50" s="83"/>
      <c r="RN50" s="83"/>
      <c r="RO50" s="83"/>
      <c r="RP50" s="83"/>
      <c r="RQ50" s="83"/>
      <c r="RR50" s="83"/>
      <c r="RS50" s="83"/>
      <c r="RT50" s="83"/>
      <c r="RU50" s="83"/>
      <c r="RV50" s="83"/>
      <c r="RW50" s="83"/>
      <c r="RX50" s="83"/>
      <c r="RY50" s="83"/>
      <c r="RZ50" s="83"/>
      <c r="SA50" s="83"/>
      <c r="SB50" s="83"/>
      <c r="SC50" s="83"/>
      <c r="SD50" s="83"/>
      <c r="SE50" s="83"/>
      <c r="SF50" s="83"/>
      <c r="SG50" s="83"/>
      <c r="SH50" s="83"/>
      <c r="SI50" s="83"/>
      <c r="SJ50" s="83"/>
      <c r="SK50" s="83"/>
      <c r="SL50" s="83"/>
      <c r="SM50" s="83"/>
      <c r="SN50" s="83"/>
      <c r="SO50" s="83"/>
      <c r="SP50" s="83"/>
      <c r="SQ50" s="83"/>
      <c r="SR50" s="83"/>
      <c r="SS50" s="83"/>
      <c r="ST50" s="83"/>
      <c r="SU50" s="83"/>
      <c r="SV50" s="83"/>
      <c r="SW50" s="83"/>
      <c r="SX50" s="83"/>
      <c r="SY50" s="83"/>
      <c r="SZ50" s="83"/>
      <c r="TA50" s="83"/>
      <c r="TB50" s="83"/>
      <c r="TC50" s="83"/>
      <c r="TD50" s="83"/>
      <c r="TE50" s="83"/>
      <c r="TF50" s="83"/>
      <c r="TG50" s="83"/>
      <c r="TH50" s="83"/>
      <c r="TI50" s="83"/>
      <c r="TJ50" s="83"/>
      <c r="TK50" s="83"/>
      <c r="TL50" s="83"/>
      <c r="TM50" s="83"/>
      <c r="TN50" s="83"/>
      <c r="TO50" s="83"/>
      <c r="TP50" s="83"/>
      <c r="TQ50" s="83"/>
      <c r="TR50" s="83"/>
      <c r="TS50" s="83"/>
      <c r="TT50" s="83"/>
      <c r="TU50" s="83"/>
      <c r="TV50" s="83"/>
      <c r="TW50" s="83"/>
      <c r="TX50" s="83"/>
      <c r="TY50" s="83"/>
      <c r="TZ50" s="83"/>
      <c r="UA50" s="83"/>
    </row>
    <row r="51" spans="1:547" ht="15.75" thickBot="1" x14ac:dyDescent="0.3">
      <c r="A51" s="615" t="s">
        <v>118</v>
      </c>
      <c r="B51" s="616"/>
      <c r="C51" s="406">
        <f>AVERAGE(C48:C50)</f>
        <v>0.96533333333333327</v>
      </c>
      <c r="D51" s="406">
        <f t="shared" ref="D51:V51" si="16">AVERAGE(D48:D50)</f>
        <v>0.94866666666666666</v>
      </c>
      <c r="E51" s="406">
        <f t="shared" si="16"/>
        <v>5.1333333333333335E-2</v>
      </c>
      <c r="F51" s="406">
        <f t="shared" si="16"/>
        <v>1</v>
      </c>
      <c r="G51" s="406">
        <f t="shared" si="16"/>
        <v>0.54466666666666674</v>
      </c>
      <c r="H51" s="406">
        <f t="shared" si="16"/>
        <v>0.81</v>
      </c>
      <c r="I51" s="406">
        <f t="shared" si="16"/>
        <v>0</v>
      </c>
      <c r="J51" s="406">
        <f t="shared" si="16"/>
        <v>0</v>
      </c>
      <c r="K51" s="406">
        <f t="shared" si="16"/>
        <v>2.3333333333333335E-3</v>
      </c>
      <c r="L51" s="406"/>
      <c r="M51" s="406">
        <f t="shared" si="16"/>
        <v>0</v>
      </c>
      <c r="N51" s="406">
        <f t="shared" si="16"/>
        <v>0</v>
      </c>
      <c r="O51" s="406">
        <f t="shared" si="16"/>
        <v>0.3125</v>
      </c>
      <c r="P51" s="406">
        <f t="shared" si="16"/>
        <v>1</v>
      </c>
      <c r="Q51" s="406">
        <f t="shared" si="16"/>
        <v>5.6348333333333338</v>
      </c>
      <c r="R51" s="406">
        <f t="shared" si="16"/>
        <v>0</v>
      </c>
      <c r="S51" s="406">
        <f t="shared" si="16"/>
        <v>0</v>
      </c>
      <c r="T51" s="406">
        <f t="shared" si="16"/>
        <v>0</v>
      </c>
      <c r="U51" s="406">
        <f>AVERAGE(U48:U50)</f>
        <v>0</v>
      </c>
      <c r="V51" s="406">
        <f t="shared" si="16"/>
        <v>5.6348333333333338</v>
      </c>
      <c r="W51" s="225">
        <f>AVERAGE(W48:W50)</f>
        <v>0.35217708333333336</v>
      </c>
    </row>
  </sheetData>
  <sheetProtection algorithmName="SHA-512" hashValue="uHy1twAAVIipVq5qrmoGh5a7rj7/TZykdkA511xm3JdMwFSZ9MOmx1d6E0J13CuI7mVFld70ou70ENfFMTV99g==" saltValue="NnMPYvJtoJb3U7et1unMYQ==" spinCount="100000" sheet="1" objects="1" selectLockedCells="1" selectUnlockedCells="1"/>
  <protectedRanges>
    <protectedRange algorithmName="SHA-512" hashValue="luQZaIG0nGyH3Rs2G1Phxmmps8NI6shDijFNXjVnBwQZmYIG+VecSSxo+qEyEVzA0s2jZljPfw6G7FBmu/Ym+g==" saltValue="XXgzxDHbYQlQRncKgreuNw==" spinCount="100000" sqref="M7:O44" name="Диапазон1"/>
    <protectedRange algorithmName="SHA-512" hashValue="luQZaIG0nGyH3Rs2G1Phxmmps8NI6shDijFNXjVnBwQZmYIG+VecSSxo+qEyEVzA0s2jZljPfw6G7FBmu/Ym+g==" saltValue="XXgzxDHbYQlQRncKgreuNw==" spinCount="100000" sqref="M48:O50" name="Диапазон1_35"/>
    <protectedRange algorithmName="SHA-512" hashValue="luQZaIG0nGyH3Rs2G1Phxmmps8NI6shDijFNXjVnBwQZmYIG+VecSSxo+qEyEVzA0s2jZljPfw6G7FBmu/Ym+g==" saltValue="XXgzxDHbYQlQRncKgreuNw==" spinCount="100000" sqref="L37" name="Диапазон1_1"/>
  </protectedRanges>
  <mergeCells count="15">
    <mergeCell ref="A2:W2"/>
    <mergeCell ref="A4:A6"/>
    <mergeCell ref="B4:B6"/>
    <mergeCell ref="C4:C6"/>
    <mergeCell ref="D4:E4"/>
    <mergeCell ref="F4:F6"/>
    <mergeCell ref="G4:G6"/>
    <mergeCell ref="J4:J6"/>
    <mergeCell ref="K4:K6"/>
    <mergeCell ref="P4:P6"/>
    <mergeCell ref="A51:B51"/>
    <mergeCell ref="A45:B45"/>
    <mergeCell ref="M4:O4"/>
    <mergeCell ref="L4:L6"/>
    <mergeCell ref="S4:T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K51"/>
  <sheetViews>
    <sheetView zoomScale="80" zoomScaleNormal="80" workbookViewId="0">
      <pane ySplit="6" topLeftCell="A23" activePane="bottomLeft" state="frozen"/>
      <selection activeCell="B38" sqref="B38"/>
      <selection pane="bottomLeft" activeCell="B38" sqref="B38"/>
    </sheetView>
  </sheetViews>
  <sheetFormatPr defaultColWidth="8.85546875" defaultRowHeight="15" x14ac:dyDescent="0.25"/>
  <cols>
    <col min="1" max="1" width="8.85546875" style="8"/>
    <col min="2" max="2" width="45.140625" style="8" customWidth="1"/>
    <col min="3" max="3" width="14.7109375" style="8" customWidth="1"/>
    <col min="4" max="4" width="10.85546875" style="8" customWidth="1"/>
    <col min="5" max="5" width="9.7109375" style="8" customWidth="1"/>
    <col min="6" max="6" width="9.42578125" style="8" customWidth="1"/>
    <col min="7" max="7" width="11.140625" style="8" customWidth="1"/>
    <col min="8" max="8" width="10.7109375" style="8" customWidth="1"/>
    <col min="9" max="9" width="9.7109375" style="8" customWidth="1"/>
    <col min="10" max="16384" width="8.85546875" style="8"/>
  </cols>
  <sheetData>
    <row r="1" spans="1:14" ht="15.75" customHeight="1" x14ac:dyDescent="0.25"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</row>
    <row r="2" spans="1:14" ht="15.75" customHeight="1" x14ac:dyDescent="0.25">
      <c r="A2" s="12"/>
      <c r="B2" s="12"/>
      <c r="C2" s="13" t="s">
        <v>28</v>
      </c>
      <c r="D2" s="12"/>
      <c r="E2" s="12"/>
      <c r="F2" s="12"/>
      <c r="G2" s="12"/>
      <c r="H2" s="12"/>
      <c r="I2" s="12"/>
      <c r="J2" s="12"/>
    </row>
    <row r="3" spans="1:14" ht="15.75" customHeight="1" thickBot="1" x14ac:dyDescent="0.3">
      <c r="C3" s="14"/>
    </row>
    <row r="4" spans="1:14" ht="59.25" customHeight="1" x14ac:dyDescent="0.25">
      <c r="A4" s="629" t="s">
        <v>3</v>
      </c>
      <c r="B4" s="632" t="s">
        <v>4</v>
      </c>
      <c r="C4" s="634" t="s">
        <v>183</v>
      </c>
      <c r="D4" s="637" t="s">
        <v>184</v>
      </c>
      <c r="E4" s="637"/>
      <c r="F4" s="234" t="s">
        <v>96</v>
      </c>
      <c r="G4" s="230" t="s">
        <v>30</v>
      </c>
      <c r="H4" s="230" t="s">
        <v>31</v>
      </c>
      <c r="I4" s="427" t="s">
        <v>32</v>
      </c>
    </row>
    <row r="5" spans="1:14" ht="16.5" customHeight="1" x14ac:dyDescent="0.25">
      <c r="A5" s="630"/>
      <c r="B5" s="633"/>
      <c r="C5" s="635"/>
      <c r="D5" s="177" t="s">
        <v>185</v>
      </c>
      <c r="E5" s="15" t="s">
        <v>186</v>
      </c>
      <c r="F5" s="178" t="s">
        <v>29</v>
      </c>
      <c r="G5" s="178" t="s">
        <v>91</v>
      </c>
      <c r="H5" s="178" t="s">
        <v>29</v>
      </c>
      <c r="I5" s="638" t="s">
        <v>92</v>
      </c>
    </row>
    <row r="6" spans="1:14" ht="19.149999999999999" customHeight="1" x14ac:dyDescent="0.25">
      <c r="A6" s="631"/>
      <c r="B6" s="633"/>
      <c r="C6" s="636"/>
      <c r="D6" s="177" t="s">
        <v>10</v>
      </c>
      <c r="E6" s="15" t="s">
        <v>11</v>
      </c>
      <c r="F6" s="48"/>
      <c r="G6" s="48"/>
      <c r="H6" s="48"/>
      <c r="I6" s="639"/>
    </row>
    <row r="7" spans="1:14" ht="15.75" customHeight="1" x14ac:dyDescent="0.25">
      <c r="A7" s="23">
        <v>1</v>
      </c>
      <c r="B7" s="26" t="s">
        <v>139</v>
      </c>
      <c r="C7" s="114">
        <v>0</v>
      </c>
      <c r="D7" s="180">
        <v>0.75700000000000001</v>
      </c>
      <c r="E7" s="180">
        <v>0.65</v>
      </c>
      <c r="F7" s="426">
        <f>AVERAGE(C7:E7)</f>
        <v>0.46900000000000003</v>
      </c>
      <c r="G7" s="426">
        <f>'1.1. 1-4'!X8</f>
        <v>0.98014285714285698</v>
      </c>
      <c r="H7" s="426">
        <f>'1.2. 20'!W7</f>
        <v>0.2366470588235294</v>
      </c>
      <c r="I7" s="428">
        <f>AVERAGE(F7:H7)</f>
        <v>0.56192997198879546</v>
      </c>
    </row>
    <row r="8" spans="1:14" ht="15.75" customHeight="1" x14ac:dyDescent="0.25">
      <c r="A8" s="23">
        <v>2</v>
      </c>
      <c r="B8" s="26" t="s">
        <v>140</v>
      </c>
      <c r="C8" s="79">
        <v>0</v>
      </c>
      <c r="D8" s="79">
        <v>0.55000000000000004</v>
      </c>
      <c r="E8" s="79">
        <v>0.43</v>
      </c>
      <c r="F8" s="426">
        <f t="shared" ref="F8:F44" si="0">AVERAGE(C8:E8)</f>
        <v>0.32666666666666666</v>
      </c>
      <c r="G8" s="426">
        <f>'1.1. 1-4'!X9</f>
        <v>1.2946071428571428</v>
      </c>
      <c r="H8" s="426">
        <f>'1.2. 20'!W8</f>
        <v>0.33038235294117646</v>
      </c>
      <c r="I8" s="428">
        <f t="shared" ref="I8:I44" si="1">AVERAGE(F8:H8)</f>
        <v>0.65055205415499529</v>
      </c>
    </row>
    <row r="9" spans="1:14" ht="15.75" customHeight="1" x14ac:dyDescent="0.25">
      <c r="A9" s="23">
        <v>3</v>
      </c>
      <c r="B9" s="26" t="s">
        <v>141</v>
      </c>
      <c r="C9" s="94">
        <v>0</v>
      </c>
      <c r="D9" s="94">
        <v>0.42299999999999999</v>
      </c>
      <c r="E9" s="94">
        <v>0.45</v>
      </c>
      <c r="F9" s="426">
        <f t="shared" si="0"/>
        <v>0.29099999999999998</v>
      </c>
      <c r="G9" s="426">
        <f>'1.1. 1-4'!X10</f>
        <v>1.1399999999999999</v>
      </c>
      <c r="H9" s="426">
        <f>'1.2. 20'!W9</f>
        <v>0.502</v>
      </c>
      <c r="I9" s="428">
        <f t="shared" si="1"/>
        <v>0.64433333333333331</v>
      </c>
    </row>
    <row r="10" spans="1:14" x14ac:dyDescent="0.25">
      <c r="A10" s="23">
        <v>4</v>
      </c>
      <c r="B10" s="26" t="s">
        <v>142</v>
      </c>
      <c r="C10" s="94">
        <v>0</v>
      </c>
      <c r="D10" s="94">
        <v>0.51600000000000001</v>
      </c>
      <c r="E10" s="94">
        <v>0.60299999999999998</v>
      </c>
      <c r="F10" s="426">
        <f t="shared" si="0"/>
        <v>0.373</v>
      </c>
      <c r="G10" s="426">
        <f>'1.1. 1-4'!X11</f>
        <v>1.1457692307692309</v>
      </c>
      <c r="H10" s="426">
        <f>'1.2. 20'!W10</f>
        <v>0.3686666666666667</v>
      </c>
      <c r="I10" s="428">
        <f t="shared" si="1"/>
        <v>0.62914529914529915</v>
      </c>
    </row>
    <row r="11" spans="1:14" x14ac:dyDescent="0.25">
      <c r="A11" s="23">
        <v>5</v>
      </c>
      <c r="B11" s="26" t="s">
        <v>143</v>
      </c>
      <c r="C11" s="114">
        <v>0</v>
      </c>
      <c r="D11" s="114">
        <v>0.51100000000000001</v>
      </c>
      <c r="E11" s="114">
        <v>0.54</v>
      </c>
      <c r="F11" s="426">
        <f t="shared" si="0"/>
        <v>0.35033333333333339</v>
      </c>
      <c r="G11" s="426">
        <f>'1.1. 1-4'!X12</f>
        <v>0.95282142857142849</v>
      </c>
      <c r="H11" s="426">
        <f>'1.2. 20'!W11</f>
        <v>0.29358823529411765</v>
      </c>
      <c r="I11" s="428">
        <f t="shared" si="1"/>
        <v>0.5322476657329599</v>
      </c>
    </row>
    <row r="12" spans="1:14" ht="25.5" x14ac:dyDescent="0.25">
      <c r="A12" s="23">
        <v>6</v>
      </c>
      <c r="B12" s="26" t="s">
        <v>177</v>
      </c>
      <c r="C12" s="94">
        <v>0</v>
      </c>
      <c r="D12" s="79">
        <v>0.35</v>
      </c>
      <c r="E12" s="79">
        <v>0.3</v>
      </c>
      <c r="F12" s="426">
        <f t="shared" si="0"/>
        <v>0.21666666666666665</v>
      </c>
      <c r="G12" s="426">
        <f>'1.1. 1-4'!X13</f>
        <v>1.1091428571428572</v>
      </c>
      <c r="H12" s="426">
        <f>'1.2. 20'!W12</f>
        <v>0.28547058823529409</v>
      </c>
      <c r="I12" s="428">
        <f t="shared" si="1"/>
        <v>0.53709337068160601</v>
      </c>
    </row>
    <row r="13" spans="1:14" x14ac:dyDescent="0.25">
      <c r="A13" s="23">
        <v>7</v>
      </c>
      <c r="B13" s="27" t="s">
        <v>144</v>
      </c>
      <c r="C13" s="79">
        <v>0</v>
      </c>
      <c r="D13" s="79">
        <v>0.6</v>
      </c>
      <c r="E13" s="79">
        <v>0.72499999999999998</v>
      </c>
      <c r="F13" s="426">
        <f t="shared" si="0"/>
        <v>0.44166666666666665</v>
      </c>
      <c r="G13" s="426">
        <f>'1.1. 1-4'!X14</f>
        <v>1.1351785714285714</v>
      </c>
      <c r="H13" s="426">
        <f>'1.2. 20'!W13</f>
        <v>0.32</v>
      </c>
      <c r="I13" s="428">
        <f t="shared" si="1"/>
        <v>0.63228174603174603</v>
      </c>
    </row>
    <row r="14" spans="1:14" x14ac:dyDescent="0.25">
      <c r="A14" s="23">
        <v>8</v>
      </c>
      <c r="B14" s="26" t="s">
        <v>145</v>
      </c>
      <c r="C14" s="94">
        <v>0</v>
      </c>
      <c r="D14" s="180">
        <v>0.44</v>
      </c>
      <c r="E14" s="180">
        <v>0.66</v>
      </c>
      <c r="F14" s="426">
        <f t="shared" si="0"/>
        <v>0.3666666666666667</v>
      </c>
      <c r="G14" s="426">
        <f>'1.1. 1-4'!X15</f>
        <v>1.0821428571428571</v>
      </c>
      <c r="H14" s="426">
        <f>'1.2. 20'!W14</f>
        <v>0.44705882352941173</v>
      </c>
      <c r="I14" s="428">
        <f t="shared" si="1"/>
        <v>0.63195611577964517</v>
      </c>
    </row>
    <row r="15" spans="1:14" x14ac:dyDescent="0.25">
      <c r="A15" s="23">
        <v>9</v>
      </c>
      <c r="B15" s="26" t="s">
        <v>146</v>
      </c>
      <c r="C15" s="94"/>
      <c r="D15" s="94">
        <v>0.67500000000000004</v>
      </c>
      <c r="E15" s="94">
        <v>0.64</v>
      </c>
      <c r="F15" s="426">
        <f t="shared" si="0"/>
        <v>0.65749999999999997</v>
      </c>
      <c r="G15" s="426">
        <f>'1.1. 1-4'!X16</f>
        <v>0.95217857142857143</v>
      </c>
      <c r="H15" s="426">
        <f>'1.2. 20'!W15</f>
        <v>0.24311764705882352</v>
      </c>
      <c r="I15" s="428">
        <f t="shared" si="1"/>
        <v>0.61759873949579824</v>
      </c>
    </row>
    <row r="16" spans="1:14" x14ac:dyDescent="0.25">
      <c r="A16" s="23">
        <v>10</v>
      </c>
      <c r="B16" s="26" t="s">
        <v>172</v>
      </c>
      <c r="C16" s="79"/>
      <c r="D16" s="79">
        <v>0.22500000000000001</v>
      </c>
      <c r="E16" s="79">
        <v>0.76</v>
      </c>
      <c r="F16" s="426">
        <f t="shared" si="0"/>
        <v>0.49249999999999999</v>
      </c>
      <c r="G16" s="426">
        <f>'1.1. 1-4'!X17</f>
        <v>0.5629615384615384</v>
      </c>
      <c r="H16" s="426">
        <f>'1.2. 20'!W16</f>
        <v>0.31268627450980396</v>
      </c>
      <c r="I16" s="428">
        <f t="shared" si="1"/>
        <v>0.45604927099044751</v>
      </c>
    </row>
    <row r="17" spans="1:9" x14ac:dyDescent="0.25">
      <c r="A17" s="23">
        <v>11</v>
      </c>
      <c r="B17" s="26" t="s">
        <v>147</v>
      </c>
      <c r="C17" s="94">
        <v>0</v>
      </c>
      <c r="D17" s="94">
        <v>1</v>
      </c>
      <c r="E17" s="94">
        <v>0.98</v>
      </c>
      <c r="F17" s="426">
        <f t="shared" si="0"/>
        <v>0.66</v>
      </c>
      <c r="G17" s="426">
        <f>'1.1. 1-4'!X18</f>
        <v>1.179642857142857</v>
      </c>
      <c r="H17" s="426">
        <f>'1.2. 20'!W17</f>
        <v>0.36682352941176471</v>
      </c>
      <c r="I17" s="428">
        <f t="shared" si="1"/>
        <v>0.73548879551820734</v>
      </c>
    </row>
    <row r="18" spans="1:9" ht="25.5" x14ac:dyDescent="0.25">
      <c r="A18" s="23">
        <v>12</v>
      </c>
      <c r="B18" s="26" t="s">
        <v>178</v>
      </c>
      <c r="C18" s="94">
        <v>0</v>
      </c>
      <c r="D18" s="94">
        <v>0.5</v>
      </c>
      <c r="E18" s="94">
        <v>0.56000000000000005</v>
      </c>
      <c r="F18" s="426">
        <f t="shared" si="0"/>
        <v>0.35333333333333333</v>
      </c>
      <c r="G18" s="426">
        <f>'1.1. 1-4'!X19</f>
        <v>1.08</v>
      </c>
      <c r="H18" s="426">
        <f>'1.2. 20'!W18</f>
        <v>0.37705882352941178</v>
      </c>
      <c r="I18" s="428">
        <f t="shared" si="1"/>
        <v>0.60346405228758171</v>
      </c>
    </row>
    <row r="19" spans="1:9" x14ac:dyDescent="0.25">
      <c r="A19" s="23">
        <v>13</v>
      </c>
      <c r="B19" s="26" t="s">
        <v>148</v>
      </c>
      <c r="C19" s="94">
        <v>0</v>
      </c>
      <c r="D19" s="94">
        <v>0.8</v>
      </c>
      <c r="E19" s="94">
        <v>0.62</v>
      </c>
      <c r="F19" s="426">
        <f t="shared" si="0"/>
        <v>0.47333333333333333</v>
      </c>
      <c r="G19" s="426">
        <f>'1.1. 1-4'!X20</f>
        <v>1.0981071428571427</v>
      </c>
      <c r="H19" s="426">
        <f>'1.2. 20'!W19</f>
        <v>0.3033529411764706</v>
      </c>
      <c r="I19" s="428">
        <f t="shared" si="1"/>
        <v>0.62493113912231557</v>
      </c>
    </row>
    <row r="20" spans="1:9" x14ac:dyDescent="0.25">
      <c r="A20" s="23">
        <v>14</v>
      </c>
      <c r="B20" s="26" t="s">
        <v>173</v>
      </c>
      <c r="C20" s="94"/>
      <c r="D20" s="94">
        <v>0.47</v>
      </c>
      <c r="E20" s="94">
        <v>0.4</v>
      </c>
      <c r="F20" s="426">
        <f t="shared" si="0"/>
        <v>0.435</v>
      </c>
      <c r="G20" s="426">
        <f>'1.1. 1-4'!X21</f>
        <v>0.62423076923076937</v>
      </c>
      <c r="H20" s="426">
        <f>'1.2. 20'!W20</f>
        <v>0.35118749999999999</v>
      </c>
      <c r="I20" s="428">
        <f t="shared" si="1"/>
        <v>0.47013942307692314</v>
      </c>
    </row>
    <row r="21" spans="1:9" x14ac:dyDescent="0.25">
      <c r="A21" s="23">
        <v>15</v>
      </c>
      <c r="B21" s="26" t="s">
        <v>149</v>
      </c>
      <c r="C21" s="41">
        <v>0</v>
      </c>
      <c r="D21" s="41">
        <v>0.6</v>
      </c>
      <c r="E21" s="41">
        <v>0.72</v>
      </c>
      <c r="F21" s="426">
        <f t="shared" si="0"/>
        <v>0.43999999999999995</v>
      </c>
      <c r="G21" s="426">
        <f>'1.1. 1-4'!X22</f>
        <v>0.90042857142857147</v>
      </c>
      <c r="H21" s="426">
        <f>'1.2. 20'!W21</f>
        <v>0.36764705882352938</v>
      </c>
      <c r="I21" s="428">
        <f t="shared" si="1"/>
        <v>0.56935854341736691</v>
      </c>
    </row>
    <row r="22" spans="1:9" x14ac:dyDescent="0.25">
      <c r="A22" s="23">
        <v>16</v>
      </c>
      <c r="B22" s="26" t="s">
        <v>150</v>
      </c>
      <c r="C22" s="94">
        <v>0</v>
      </c>
      <c r="D22" s="94">
        <v>0.66300000000000003</v>
      </c>
      <c r="E22" s="94">
        <v>0.43</v>
      </c>
      <c r="F22" s="426">
        <f t="shared" si="0"/>
        <v>0.36433333333333334</v>
      </c>
      <c r="G22" s="426">
        <f>'1.1. 1-4'!X23</f>
        <v>1.0992857142857142</v>
      </c>
      <c r="H22" s="426">
        <f>'1.2. 20'!W22</f>
        <v>0.33276470588235291</v>
      </c>
      <c r="I22" s="428">
        <f t="shared" si="1"/>
        <v>0.59879458450046685</v>
      </c>
    </row>
    <row r="23" spans="1:9" x14ac:dyDescent="0.25">
      <c r="A23" s="23">
        <v>17</v>
      </c>
      <c r="B23" s="26" t="s">
        <v>151</v>
      </c>
      <c r="C23" s="118">
        <v>0</v>
      </c>
      <c r="D23" s="118">
        <v>0.3</v>
      </c>
      <c r="E23" s="118">
        <v>0.34</v>
      </c>
      <c r="F23" s="426">
        <f t="shared" si="0"/>
        <v>0.21333333333333335</v>
      </c>
      <c r="G23" s="426">
        <f>'1.1. 1-4'!X24</f>
        <v>0.83571428571428574</v>
      </c>
      <c r="H23" s="426">
        <f>'1.2. 20'!W23</f>
        <v>0.45176470588235296</v>
      </c>
      <c r="I23" s="428">
        <f t="shared" si="1"/>
        <v>0.5002707749766574</v>
      </c>
    </row>
    <row r="24" spans="1:9" x14ac:dyDescent="0.25">
      <c r="A24" s="23">
        <v>18</v>
      </c>
      <c r="B24" s="26" t="s">
        <v>152</v>
      </c>
      <c r="C24" s="119">
        <v>0</v>
      </c>
      <c r="D24" s="94">
        <v>0.69</v>
      </c>
      <c r="E24" s="94">
        <v>0.58799999999999997</v>
      </c>
      <c r="F24" s="426">
        <f t="shared" si="0"/>
        <v>0.42599999999999999</v>
      </c>
      <c r="G24" s="426">
        <f>'1.1. 1-4'!X25</f>
        <v>0.80292857142857155</v>
      </c>
      <c r="H24" s="426">
        <f>'1.2. 20'!W24</f>
        <v>0.37905882352941184</v>
      </c>
      <c r="I24" s="428">
        <f t="shared" si="1"/>
        <v>0.53599579831932787</v>
      </c>
    </row>
    <row r="25" spans="1:9" x14ac:dyDescent="0.25">
      <c r="A25" s="23">
        <v>19</v>
      </c>
      <c r="B25" s="26" t="s">
        <v>153</v>
      </c>
      <c r="C25" s="94">
        <v>0</v>
      </c>
      <c r="D25" s="93">
        <v>0.72499999999999998</v>
      </c>
      <c r="E25" s="114">
        <v>0.875</v>
      </c>
      <c r="F25" s="426">
        <f t="shared" si="0"/>
        <v>0.53333333333333333</v>
      </c>
      <c r="G25" s="426">
        <f>'1.1. 1-4'!X26</f>
        <v>1.1935714285714285</v>
      </c>
      <c r="H25" s="426">
        <f>'1.2. 20'!W25</f>
        <v>0.41011764705882359</v>
      </c>
      <c r="I25" s="428">
        <f t="shared" si="1"/>
        <v>0.71234080298786173</v>
      </c>
    </row>
    <row r="26" spans="1:9" x14ac:dyDescent="0.25">
      <c r="A26" s="23">
        <v>20</v>
      </c>
      <c r="B26" s="26" t="s">
        <v>154</v>
      </c>
      <c r="C26" s="94">
        <v>0</v>
      </c>
      <c r="D26" s="94">
        <v>0.90300000000000002</v>
      </c>
      <c r="E26" s="94">
        <v>0.76</v>
      </c>
      <c r="F26" s="426">
        <f t="shared" si="0"/>
        <v>0.55433333333333334</v>
      </c>
      <c r="G26" s="426">
        <f>'1.1. 1-4'!X27</f>
        <v>1.2518571428571428</v>
      </c>
      <c r="H26" s="426">
        <f>'1.2. 20'!W26</f>
        <v>0.33117647058823541</v>
      </c>
      <c r="I26" s="428">
        <f t="shared" si="1"/>
        <v>0.71245564892623714</v>
      </c>
    </row>
    <row r="27" spans="1:9" x14ac:dyDescent="0.25">
      <c r="A27" s="23">
        <v>21</v>
      </c>
      <c r="B27" s="26" t="s">
        <v>155</v>
      </c>
      <c r="C27" s="94">
        <v>0</v>
      </c>
      <c r="D27" s="94">
        <v>0.71399999999999997</v>
      </c>
      <c r="E27" s="94">
        <v>0.69499999999999995</v>
      </c>
      <c r="F27" s="426">
        <f t="shared" si="0"/>
        <v>0.46966666666666662</v>
      </c>
      <c r="G27" s="426">
        <f>'1.1. 1-4'!X28</f>
        <v>0.82414285714285729</v>
      </c>
      <c r="H27" s="426">
        <f>'1.2. 20'!W27</f>
        <v>0.32817647058823535</v>
      </c>
      <c r="I27" s="428">
        <f t="shared" si="1"/>
        <v>0.54066199813258642</v>
      </c>
    </row>
    <row r="28" spans="1:9" x14ac:dyDescent="0.25">
      <c r="A28" s="23">
        <v>22</v>
      </c>
      <c r="B28" s="26" t="s">
        <v>277</v>
      </c>
      <c r="C28" s="94">
        <v>0</v>
      </c>
      <c r="D28" s="94" t="s">
        <v>292</v>
      </c>
      <c r="E28" s="94">
        <v>0.73</v>
      </c>
      <c r="F28" s="426">
        <f t="shared" si="0"/>
        <v>0.36499999999999999</v>
      </c>
      <c r="G28" s="426">
        <f>'1.1. 1-4'!X29</f>
        <v>1.1008928571428571</v>
      </c>
      <c r="H28" s="426">
        <f>'1.2. 20'!W28</f>
        <v>0.28705882352941176</v>
      </c>
      <c r="I28" s="428">
        <f t="shared" si="1"/>
        <v>0.58431722689075627</v>
      </c>
    </row>
    <row r="29" spans="1:9" x14ac:dyDescent="0.25">
      <c r="A29" s="23">
        <v>23</v>
      </c>
      <c r="B29" s="26" t="s">
        <v>156</v>
      </c>
      <c r="C29" s="79">
        <v>0</v>
      </c>
      <c r="D29" s="79">
        <v>0.6</v>
      </c>
      <c r="E29" s="79">
        <v>0.4</v>
      </c>
      <c r="F29" s="426">
        <f t="shared" si="0"/>
        <v>0.33333333333333331</v>
      </c>
      <c r="G29" s="426">
        <f>'1.1. 1-4'!X30</f>
        <v>0.94392857142857145</v>
      </c>
      <c r="H29" s="426">
        <f>'1.2. 20'!W29</f>
        <v>0.25770588235294117</v>
      </c>
      <c r="I29" s="428">
        <f t="shared" si="1"/>
        <v>0.51165592903828194</v>
      </c>
    </row>
    <row r="30" spans="1:9" x14ac:dyDescent="0.25">
      <c r="A30" s="23">
        <v>24</v>
      </c>
      <c r="B30" s="26" t="s">
        <v>157</v>
      </c>
      <c r="C30" s="114">
        <v>0</v>
      </c>
      <c r="D30" s="114">
        <v>0.56599999999999995</v>
      </c>
      <c r="E30" s="114">
        <v>0.38800000000000001</v>
      </c>
      <c r="F30" s="426">
        <f t="shared" si="0"/>
        <v>0.318</v>
      </c>
      <c r="G30" s="426">
        <f>'1.1. 1-4'!X31</f>
        <v>0.99996428571428586</v>
      </c>
      <c r="H30" s="426">
        <f>'1.2. 20'!W30</f>
        <v>0.34076470588235297</v>
      </c>
      <c r="I30" s="428">
        <f t="shared" si="1"/>
        <v>0.5529096638655463</v>
      </c>
    </row>
    <row r="31" spans="1:9" x14ac:dyDescent="0.25">
      <c r="A31" s="23">
        <v>25</v>
      </c>
      <c r="B31" s="26" t="s">
        <v>159</v>
      </c>
      <c r="C31" s="94">
        <v>0</v>
      </c>
      <c r="D31" s="94">
        <v>0.6</v>
      </c>
      <c r="E31" s="94">
        <v>0.63300000000000001</v>
      </c>
      <c r="F31" s="426">
        <f t="shared" si="0"/>
        <v>0.41100000000000003</v>
      </c>
      <c r="G31" s="426">
        <f>'1.1. 1-4'!X32</f>
        <v>0.91960714285714285</v>
      </c>
      <c r="H31" s="426">
        <f>'1.2. 20'!W31</f>
        <v>0.36864705882352944</v>
      </c>
      <c r="I31" s="428">
        <f t="shared" si="1"/>
        <v>0.56641806722689081</v>
      </c>
    </row>
    <row r="32" spans="1:9" x14ac:dyDescent="0.25">
      <c r="A32" s="23">
        <v>26</v>
      </c>
      <c r="B32" s="26" t="s">
        <v>160</v>
      </c>
      <c r="C32" s="94">
        <v>0</v>
      </c>
      <c r="D32" s="94">
        <v>0.5</v>
      </c>
      <c r="E32" s="94">
        <v>0.5</v>
      </c>
      <c r="F32" s="426">
        <f t="shared" si="0"/>
        <v>0.33333333333333331</v>
      </c>
      <c r="G32" s="426">
        <f>'1.1. 1-4'!X33</f>
        <v>1.0191428571428571</v>
      </c>
      <c r="H32" s="426">
        <f>'1.2. 20'!W32</f>
        <v>0.32570588235294118</v>
      </c>
      <c r="I32" s="428">
        <f t="shared" si="1"/>
        <v>0.55939402427637719</v>
      </c>
    </row>
    <row r="33" spans="1:1025" x14ac:dyDescent="0.25">
      <c r="A33" s="23">
        <v>27</v>
      </c>
      <c r="B33" s="26" t="s">
        <v>158</v>
      </c>
      <c r="C33" s="94">
        <v>1</v>
      </c>
      <c r="D33" s="94">
        <v>1</v>
      </c>
      <c r="E33" s="94">
        <v>1</v>
      </c>
      <c r="F33" s="426">
        <f t="shared" si="0"/>
        <v>1</v>
      </c>
      <c r="G33" s="426">
        <f>'1.1. 1-4'!X34</f>
        <v>1.2154285714285713</v>
      </c>
      <c r="H33" s="426">
        <f>'1.2. 20'!W33</f>
        <v>0.30082352941176471</v>
      </c>
      <c r="I33" s="428">
        <f t="shared" si="1"/>
        <v>0.83875070028011189</v>
      </c>
    </row>
    <row r="34" spans="1:1025" x14ac:dyDescent="0.25">
      <c r="A34" s="23">
        <v>28</v>
      </c>
      <c r="B34" s="26" t="s">
        <v>161</v>
      </c>
      <c r="C34" s="94">
        <v>0</v>
      </c>
      <c r="D34" s="78">
        <v>0.65</v>
      </c>
      <c r="E34" s="78">
        <v>0.55000000000000004</v>
      </c>
      <c r="F34" s="426">
        <f t="shared" si="0"/>
        <v>0.40000000000000008</v>
      </c>
      <c r="G34" s="426">
        <f>'1.1. 1-4'!X35</f>
        <v>0.94017857142857142</v>
      </c>
      <c r="H34" s="426">
        <f>'1.2. 20'!W34</f>
        <v>0.31149197860962574</v>
      </c>
      <c r="I34" s="428">
        <f t="shared" si="1"/>
        <v>0.55055685001273236</v>
      </c>
    </row>
    <row r="35" spans="1:1025" x14ac:dyDescent="0.25">
      <c r="A35" s="23">
        <v>29</v>
      </c>
      <c r="B35" s="26" t="s">
        <v>162</v>
      </c>
      <c r="C35" s="94">
        <v>0</v>
      </c>
      <c r="D35" s="94">
        <v>0.443</v>
      </c>
      <c r="E35" s="94">
        <v>0.254</v>
      </c>
      <c r="F35" s="426">
        <f t="shared" si="0"/>
        <v>0.23233333333333336</v>
      </c>
      <c r="G35" s="426">
        <f>'1.1. 1-4'!X36</f>
        <v>1.1388214285714287</v>
      </c>
      <c r="H35" s="426">
        <f>'1.2. 20'!W35</f>
        <v>0.2858235294117647</v>
      </c>
      <c r="I35" s="428">
        <f t="shared" si="1"/>
        <v>0.55232609710550884</v>
      </c>
    </row>
    <row r="36" spans="1:1025" x14ac:dyDescent="0.25">
      <c r="A36" s="23">
        <v>30</v>
      </c>
      <c r="B36" s="26" t="s">
        <v>163</v>
      </c>
      <c r="C36" s="94">
        <v>0</v>
      </c>
      <c r="D36" s="94">
        <v>0.66200000000000003</v>
      </c>
      <c r="E36" s="94">
        <v>0.63300000000000001</v>
      </c>
      <c r="F36" s="426">
        <f t="shared" si="0"/>
        <v>0.43166666666666664</v>
      </c>
      <c r="G36" s="426">
        <f>'1.1. 1-4'!X37</f>
        <v>0.89357142857142868</v>
      </c>
      <c r="H36" s="426">
        <f>'1.2. 20'!W36</f>
        <v>0.27094117647058824</v>
      </c>
      <c r="I36" s="428">
        <f t="shared" si="1"/>
        <v>0.53205975723622789</v>
      </c>
    </row>
    <row r="37" spans="1:1025" x14ac:dyDescent="0.25">
      <c r="A37" s="23">
        <v>31</v>
      </c>
      <c r="B37" s="26" t="s">
        <v>164</v>
      </c>
      <c r="C37" s="94">
        <v>0</v>
      </c>
      <c r="D37" s="94">
        <v>0.375</v>
      </c>
      <c r="E37" s="94">
        <v>0.433</v>
      </c>
      <c r="F37" s="426">
        <f t="shared" si="0"/>
        <v>0.26933333333333337</v>
      </c>
      <c r="G37" s="426">
        <f>'1.1. 1-4'!X38</f>
        <v>0.84878571428571425</v>
      </c>
      <c r="H37" s="426">
        <f>'1.2. 20'!W37</f>
        <v>0.28311764705882358</v>
      </c>
      <c r="I37" s="428">
        <f t="shared" si="1"/>
        <v>0.46707889822595705</v>
      </c>
    </row>
    <row r="38" spans="1:1025" x14ac:dyDescent="0.25">
      <c r="A38" s="23">
        <v>32</v>
      </c>
      <c r="B38" s="26" t="s">
        <v>165</v>
      </c>
      <c r="C38" s="41"/>
      <c r="D38" s="41">
        <v>0.84299999999999997</v>
      </c>
      <c r="E38" s="41">
        <v>0.73299999999999998</v>
      </c>
      <c r="F38" s="426">
        <f t="shared" si="0"/>
        <v>0.78800000000000003</v>
      </c>
      <c r="G38" s="426">
        <f>'1.1. 1-4'!X39</f>
        <v>0.86089285714285713</v>
      </c>
      <c r="H38" s="426">
        <f>'1.2. 20'!W38</f>
        <v>0.27900000000000003</v>
      </c>
      <c r="I38" s="428">
        <f t="shared" si="1"/>
        <v>0.64263095238095236</v>
      </c>
    </row>
    <row r="39" spans="1:1025" x14ac:dyDescent="0.25">
      <c r="A39" s="23">
        <v>33</v>
      </c>
      <c r="B39" s="26" t="s">
        <v>166</v>
      </c>
      <c r="C39" s="119">
        <v>0</v>
      </c>
      <c r="D39" s="119">
        <v>0.52</v>
      </c>
      <c r="E39" s="119">
        <v>0.54</v>
      </c>
      <c r="F39" s="426">
        <f t="shared" si="0"/>
        <v>0.35333333333333333</v>
      </c>
      <c r="G39" s="426">
        <f>'1.1. 1-4'!X40</f>
        <v>1.0212857142857144</v>
      </c>
      <c r="H39" s="426">
        <f>'1.2. 20'!W39</f>
        <v>0.35876470588235287</v>
      </c>
      <c r="I39" s="428">
        <f t="shared" si="1"/>
        <v>0.57779458450046683</v>
      </c>
    </row>
    <row r="40" spans="1:1025" x14ac:dyDescent="0.25">
      <c r="A40" s="23">
        <v>34</v>
      </c>
      <c r="B40" s="26" t="s">
        <v>167</v>
      </c>
      <c r="C40" s="94">
        <v>0</v>
      </c>
      <c r="D40" s="94">
        <v>1</v>
      </c>
      <c r="E40" s="94">
        <v>0.93</v>
      </c>
      <c r="F40" s="426">
        <f t="shared" si="0"/>
        <v>0.64333333333333342</v>
      </c>
      <c r="G40" s="426">
        <f>'1.1. 1-4'!X41</f>
        <v>0.93567857142857136</v>
      </c>
      <c r="H40" s="426">
        <f>'1.2. 20'!W40</f>
        <v>0.33456862745098043</v>
      </c>
      <c r="I40" s="428">
        <f t="shared" si="1"/>
        <v>0.63786017740429513</v>
      </c>
    </row>
    <row r="41" spans="1:1025" x14ac:dyDescent="0.25">
      <c r="A41" s="23">
        <v>35</v>
      </c>
      <c r="B41" s="26" t="s">
        <v>168</v>
      </c>
      <c r="C41" s="94">
        <v>0</v>
      </c>
      <c r="D41" s="94">
        <v>0.35</v>
      </c>
      <c r="E41" s="94">
        <v>0.3</v>
      </c>
      <c r="F41" s="426">
        <f t="shared" si="0"/>
        <v>0.21666666666666665</v>
      </c>
      <c r="G41" s="426">
        <f>'1.1. 1-4'!X42</f>
        <v>0.95057142857142851</v>
      </c>
      <c r="H41" s="426">
        <f>'1.2. 20'!W41</f>
        <v>0.37958823529411762</v>
      </c>
      <c r="I41" s="428">
        <f t="shared" si="1"/>
        <v>0.51560877684407092</v>
      </c>
    </row>
    <row r="42" spans="1:1025" s="76" customFormat="1" x14ac:dyDescent="0.25">
      <c r="A42" s="125">
        <v>36</v>
      </c>
      <c r="B42" s="87" t="s">
        <v>169</v>
      </c>
      <c r="C42" s="79">
        <v>0</v>
      </c>
      <c r="D42" s="79">
        <v>0.52</v>
      </c>
      <c r="E42" s="79">
        <v>0.62</v>
      </c>
      <c r="F42" s="426">
        <f t="shared" si="0"/>
        <v>0.38000000000000006</v>
      </c>
      <c r="G42" s="426">
        <f>'1.1. 1-4'!X43</f>
        <v>1.0160357142857144</v>
      </c>
      <c r="H42" s="426">
        <f>'1.2. 20'!W42</f>
        <v>0.37639215686274513</v>
      </c>
      <c r="I42" s="428">
        <f t="shared" si="1"/>
        <v>0.59080929038281982</v>
      </c>
    </row>
    <row r="43" spans="1:1025" x14ac:dyDescent="0.25">
      <c r="A43" s="23">
        <v>37</v>
      </c>
      <c r="B43" s="26" t="s">
        <v>170</v>
      </c>
      <c r="C43" s="94">
        <v>0</v>
      </c>
      <c r="D43" s="94">
        <v>0.37</v>
      </c>
      <c r="E43" s="94">
        <v>0.48499999999999999</v>
      </c>
      <c r="F43" s="426">
        <f t="shared" si="0"/>
        <v>0.28499999999999998</v>
      </c>
      <c r="G43" s="426">
        <f>'1.1. 1-4'!X44</f>
        <v>1.2501428571428572</v>
      </c>
      <c r="H43" s="426">
        <f>'1.2. 20'!W43</f>
        <v>0.38305882352941173</v>
      </c>
      <c r="I43" s="428">
        <f t="shared" si="1"/>
        <v>0.63940056022408964</v>
      </c>
    </row>
    <row r="44" spans="1:1025" customFormat="1" x14ac:dyDescent="0.25">
      <c r="A44" s="143">
        <v>38</v>
      </c>
      <c r="B44" s="144" t="s">
        <v>171</v>
      </c>
      <c r="C44" s="549">
        <v>0</v>
      </c>
      <c r="D44" s="145">
        <v>0.92500000000000004</v>
      </c>
      <c r="E44" s="145">
        <v>0.57999999999999996</v>
      </c>
      <c r="F44" s="426">
        <f t="shared" si="0"/>
        <v>0.50166666666666659</v>
      </c>
      <c r="G44" s="426">
        <f>'1.1. 1-4'!X45</f>
        <v>0.84696428571428561</v>
      </c>
      <c r="H44" s="426">
        <f>'1.2. 20'!W44</f>
        <v>0.3795144947931326</v>
      </c>
      <c r="I44" s="428">
        <f t="shared" si="1"/>
        <v>0.57604848239136164</v>
      </c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  <c r="ALL44" s="147"/>
      <c r="ALM44" s="147"/>
      <c r="ALN44" s="147"/>
      <c r="ALO44" s="147"/>
      <c r="ALP44" s="147"/>
      <c r="ALQ44" s="147"/>
      <c r="ALR44" s="147"/>
      <c r="ALS44" s="147"/>
      <c r="ALT44" s="147"/>
      <c r="ALU44" s="147"/>
      <c r="ALV44" s="147"/>
      <c r="ALW44" s="147"/>
      <c r="ALX44" s="147"/>
      <c r="ALY44" s="147"/>
      <c r="ALZ44" s="147"/>
      <c r="AMA44" s="147"/>
      <c r="AMB44" s="147"/>
      <c r="AMC44" s="147"/>
      <c r="AMD44" s="147"/>
      <c r="AME44" s="147"/>
      <c r="AMF44" s="147"/>
      <c r="AMG44" s="147"/>
      <c r="AMH44" s="147"/>
      <c r="AMI44" s="147"/>
      <c r="AMJ44" s="147"/>
      <c r="AMK44" s="147"/>
    </row>
    <row r="45" spans="1:1025" ht="16.5" thickBot="1" x14ac:dyDescent="0.3">
      <c r="A45" s="627" t="s">
        <v>118</v>
      </c>
      <c r="B45" s="628"/>
      <c r="C45" s="526">
        <f>AVERAGE(C7:C44)</f>
        <v>2.9411764705882353E-2</v>
      </c>
      <c r="D45" s="526">
        <f t="shared" ref="D45:H45" si="2">AVERAGE(D7:D44)</f>
        <v>0.6036756756756757</v>
      </c>
      <c r="E45" s="526">
        <f t="shared" si="2"/>
        <v>0.59039473684210519</v>
      </c>
      <c r="F45" s="526">
        <f t="shared" si="2"/>
        <v>0.42551754385964918</v>
      </c>
      <c r="G45" s="526">
        <f t="shared" si="2"/>
        <v>1.0038617698091381</v>
      </c>
      <c r="H45" s="526">
        <f t="shared" si="2"/>
        <v>0.33846614687489207</v>
      </c>
      <c r="I45" s="429">
        <f>AVERAGE(I7:I44)</f>
        <v>0.58928182018122655</v>
      </c>
    </row>
    <row r="47" spans="1:1025" ht="15.75" thickBot="1" x14ac:dyDescent="0.3"/>
    <row r="48" spans="1:1025" x14ac:dyDescent="0.25">
      <c r="A48" s="196">
        <v>1</v>
      </c>
      <c r="B48" s="204" t="s">
        <v>174</v>
      </c>
      <c r="C48" s="221"/>
      <c r="D48" s="221">
        <v>0.65700000000000003</v>
      </c>
      <c r="E48" s="221"/>
      <c r="F48" s="200">
        <f t="shared" ref="F48:F50" si="3">AVERAGE(C48:E48)</f>
        <v>0.65700000000000003</v>
      </c>
      <c r="G48" s="200">
        <f>'1.1. 1-4'!X49</f>
        <v>1.0017500000000001</v>
      </c>
      <c r="H48" s="200">
        <f>'1.2. 20'!W48</f>
        <v>0.33962500000000001</v>
      </c>
      <c r="I48" s="430">
        <f>AVERAGE(F48:H48)</f>
        <v>0.66612500000000008</v>
      </c>
    </row>
    <row r="49" spans="1:9" x14ac:dyDescent="0.25">
      <c r="A49" s="23">
        <v>2</v>
      </c>
      <c r="B49" s="28" t="s">
        <v>175</v>
      </c>
      <c r="C49" s="41"/>
      <c r="D49" s="41">
        <v>0.44400000000000001</v>
      </c>
      <c r="E49" s="94"/>
      <c r="F49" s="46">
        <f t="shared" si="3"/>
        <v>0.44400000000000001</v>
      </c>
      <c r="G49" s="46">
        <f>'1.1. 1-4'!X50</f>
        <v>0.83749999999999991</v>
      </c>
      <c r="H49" s="46">
        <f>'1.2. 20'!W49</f>
        <v>0.41271875000000002</v>
      </c>
      <c r="I49" s="430">
        <f t="shared" ref="I49:I50" si="4">AVERAGE(F49:H49)</f>
        <v>0.56473958333333329</v>
      </c>
    </row>
    <row r="50" spans="1:9" ht="25.5" x14ac:dyDescent="0.25">
      <c r="A50" s="23">
        <v>3</v>
      </c>
      <c r="B50" s="28" t="s">
        <v>176</v>
      </c>
      <c r="C50" s="94"/>
      <c r="D50" s="94">
        <v>1</v>
      </c>
      <c r="E50" s="94"/>
      <c r="F50" s="46">
        <f t="shared" si="3"/>
        <v>1</v>
      </c>
      <c r="G50" s="46">
        <f>'1.1. 1-4'!X51</f>
        <v>1.1825000000000001</v>
      </c>
      <c r="H50" s="46">
        <f>'1.2. 20'!W50</f>
        <v>0.30418750000000006</v>
      </c>
      <c r="I50" s="430">
        <f t="shared" si="4"/>
        <v>0.8288958333333335</v>
      </c>
    </row>
    <row r="51" spans="1:9" ht="16.5" thickBot="1" x14ac:dyDescent="0.3">
      <c r="A51" s="625" t="s">
        <v>118</v>
      </c>
      <c r="B51" s="626"/>
      <c r="C51" s="526"/>
      <c r="D51" s="526">
        <f>AVERAGE(D48:D50)</f>
        <v>0.70033333333333336</v>
      </c>
      <c r="E51" s="526"/>
      <c r="F51" s="526">
        <f t="shared" ref="F51:H51" si="5">AVERAGE(F48:F50)</f>
        <v>0.70033333333333336</v>
      </c>
      <c r="G51" s="526">
        <f t="shared" si="5"/>
        <v>1.00725</v>
      </c>
      <c r="H51" s="526">
        <f t="shared" si="5"/>
        <v>0.35217708333333336</v>
      </c>
      <c r="I51" s="431">
        <f>AVERAGE(I48:I50)</f>
        <v>0.68658680555555562</v>
      </c>
    </row>
  </sheetData>
  <sheetProtection algorithmName="SHA-512" hashValue="3Ti5ZY7CknlHJ7NscMIL6XGhqor6JCKVsc/h11MQ+Mw8kngd0wrLGpkTWD+nhTmIqJhtVQM+3Rhicrovw5t++w==" saltValue="fgybCl20LPcMo69e840fnA==" spinCount="100000" sheet="1" objects="1" scenarios="1" selectLockedCells="1" selectUnlockedCells="1"/>
  <mergeCells count="8">
    <mergeCell ref="A51:B51"/>
    <mergeCell ref="A45:B45"/>
    <mergeCell ref="D1:N1"/>
    <mergeCell ref="A4:A6"/>
    <mergeCell ref="B4:B6"/>
    <mergeCell ref="C4:C6"/>
    <mergeCell ref="D4:E4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8"/>
  <sheetViews>
    <sheetView zoomScale="70" zoomScaleNormal="70" workbookViewId="0">
      <selection activeCell="B38" sqref="B38"/>
    </sheetView>
  </sheetViews>
  <sheetFormatPr defaultRowHeight="15" x14ac:dyDescent="0.25"/>
  <cols>
    <col min="2" max="2" width="52.140625" style="245" bestFit="1" customWidth="1"/>
    <col min="3" max="3" width="11.7109375" customWidth="1"/>
    <col min="4" max="4" width="12.5703125" customWidth="1"/>
    <col min="5" max="7" width="14.5703125" customWidth="1"/>
    <col min="8" max="10" width="11.7109375" customWidth="1"/>
    <col min="11" max="11" width="11.5703125" customWidth="1"/>
  </cols>
  <sheetData>
    <row r="1" spans="1:11" ht="51" customHeight="1" x14ac:dyDescent="0.25">
      <c r="A1" s="645" t="s">
        <v>3</v>
      </c>
      <c r="B1" s="647" t="s">
        <v>4</v>
      </c>
      <c r="C1" s="641" t="s">
        <v>294</v>
      </c>
      <c r="D1" s="641"/>
      <c r="E1" s="641"/>
      <c r="F1" s="641"/>
      <c r="G1" s="641"/>
      <c r="H1" s="641"/>
      <c r="I1" s="641"/>
      <c r="J1" s="641"/>
      <c r="K1" s="642"/>
    </row>
    <row r="2" spans="1:11" ht="15.75" x14ac:dyDescent="0.25">
      <c r="A2" s="646"/>
      <c r="B2" s="648"/>
      <c r="C2" s="640" t="s">
        <v>37</v>
      </c>
      <c r="D2" s="640"/>
      <c r="E2" s="640"/>
      <c r="F2" s="640" t="s">
        <v>38</v>
      </c>
      <c r="G2" s="640"/>
      <c r="H2" s="640"/>
      <c r="I2" s="282"/>
      <c r="J2" s="282"/>
      <c r="K2" s="302" t="s">
        <v>39</v>
      </c>
    </row>
    <row r="3" spans="1:11" ht="47.25" x14ac:dyDescent="0.25">
      <c r="A3" s="646"/>
      <c r="B3" s="648"/>
      <c r="C3" s="282" t="s">
        <v>276</v>
      </c>
      <c r="D3" s="282" t="s">
        <v>284</v>
      </c>
      <c r="E3" s="282" t="s">
        <v>10</v>
      </c>
      <c r="F3" s="282" t="s">
        <v>276</v>
      </c>
      <c r="G3" s="282" t="s">
        <v>284</v>
      </c>
      <c r="H3" s="282" t="s">
        <v>11</v>
      </c>
      <c r="I3" s="282" t="s">
        <v>276</v>
      </c>
      <c r="J3" s="282" t="s">
        <v>284</v>
      </c>
      <c r="K3" s="302" t="s">
        <v>12</v>
      </c>
    </row>
    <row r="4" spans="1:11" ht="15.75" x14ac:dyDescent="0.25">
      <c r="A4" s="237">
        <v>1</v>
      </c>
      <c r="B4" s="285" t="s">
        <v>139</v>
      </c>
      <c r="C4" s="287">
        <v>87</v>
      </c>
      <c r="D4" s="287">
        <v>37</v>
      </c>
      <c r="E4" s="283">
        <f>D4/C4</f>
        <v>0.42528735632183906</v>
      </c>
      <c r="F4" s="249">
        <v>129</v>
      </c>
      <c r="G4" s="249">
        <v>36</v>
      </c>
      <c r="H4" s="283">
        <f>G4/F4</f>
        <v>0.27906976744186046</v>
      </c>
      <c r="I4" s="249">
        <v>28</v>
      </c>
      <c r="J4" s="249">
        <v>11</v>
      </c>
      <c r="K4" s="303">
        <f>J4/I4</f>
        <v>0.39285714285714285</v>
      </c>
    </row>
    <row r="5" spans="1:11" ht="15.75" x14ac:dyDescent="0.25">
      <c r="A5" s="237">
        <v>2</v>
      </c>
      <c r="B5" s="285" t="s">
        <v>140</v>
      </c>
      <c r="C5" s="239">
        <v>254</v>
      </c>
      <c r="D5" s="246">
        <f>0.692*C5</f>
        <v>175.768</v>
      </c>
      <c r="E5" s="283">
        <f t="shared" ref="E5:E8" si="0">D5/C5</f>
        <v>0.69199999999999995</v>
      </c>
      <c r="F5" s="240">
        <v>405</v>
      </c>
      <c r="G5" s="246">
        <f>0.427*F5</f>
        <v>172.935</v>
      </c>
      <c r="H5" s="283">
        <f t="shared" ref="H5:H8" si="1">G5/F5</f>
        <v>0.42699999999999999</v>
      </c>
      <c r="I5" s="240">
        <v>61</v>
      </c>
      <c r="J5" s="246">
        <f>0.557*I5</f>
        <v>33.977000000000004</v>
      </c>
      <c r="K5" s="303">
        <f t="shared" ref="K5:K8" si="2">J5/I5</f>
        <v>0.55700000000000005</v>
      </c>
    </row>
    <row r="6" spans="1:11" ht="15.75" x14ac:dyDescent="0.25">
      <c r="A6" s="237">
        <v>3</v>
      </c>
      <c r="B6" s="285" t="s">
        <v>141</v>
      </c>
      <c r="C6" s="287">
        <v>231</v>
      </c>
      <c r="D6" s="287">
        <v>166</v>
      </c>
      <c r="E6" s="283">
        <f t="shared" si="0"/>
        <v>0.7186147186147186</v>
      </c>
      <c r="F6" s="249">
        <v>318</v>
      </c>
      <c r="G6" s="249">
        <v>135</v>
      </c>
      <c r="H6" s="283">
        <f t="shared" si="1"/>
        <v>0.42452830188679247</v>
      </c>
      <c r="I6" s="249">
        <v>69</v>
      </c>
      <c r="J6" s="249">
        <v>26</v>
      </c>
      <c r="K6" s="303">
        <f t="shared" si="2"/>
        <v>0.37681159420289856</v>
      </c>
    </row>
    <row r="7" spans="1:11" ht="15.75" x14ac:dyDescent="0.25">
      <c r="A7" s="237">
        <v>4</v>
      </c>
      <c r="B7" s="285" t="s">
        <v>142</v>
      </c>
      <c r="C7" s="287">
        <v>301</v>
      </c>
      <c r="D7" s="287">
        <f>0.65*C7</f>
        <v>195.65</v>
      </c>
      <c r="E7" s="283">
        <f t="shared" si="0"/>
        <v>0.65</v>
      </c>
      <c r="F7" s="249">
        <v>330</v>
      </c>
      <c r="G7" s="249">
        <f>0.45*F7</f>
        <v>148.5</v>
      </c>
      <c r="H7" s="283">
        <f t="shared" si="1"/>
        <v>0.45</v>
      </c>
      <c r="I7" s="249">
        <v>29</v>
      </c>
      <c r="J7" s="249">
        <f>0.52*I7</f>
        <v>15.08</v>
      </c>
      <c r="K7" s="303">
        <f t="shared" si="2"/>
        <v>0.52</v>
      </c>
    </row>
    <row r="8" spans="1:11" ht="15.75" x14ac:dyDescent="0.25">
      <c r="A8" s="237">
        <v>5</v>
      </c>
      <c r="B8" s="285" t="s">
        <v>143</v>
      </c>
      <c r="C8" s="287">
        <v>143</v>
      </c>
      <c r="D8" s="287">
        <v>79</v>
      </c>
      <c r="E8" s="283">
        <f t="shared" si="0"/>
        <v>0.55244755244755239</v>
      </c>
      <c r="F8" s="249">
        <v>171</v>
      </c>
      <c r="G8" s="249">
        <v>57</v>
      </c>
      <c r="H8" s="283">
        <f t="shared" si="1"/>
        <v>0.33333333333333331</v>
      </c>
      <c r="I8" s="249">
        <v>22</v>
      </c>
      <c r="J8" s="249">
        <v>9</v>
      </c>
      <c r="K8" s="303">
        <f t="shared" si="2"/>
        <v>0.40909090909090912</v>
      </c>
    </row>
    <row r="9" spans="1:11" ht="31.5" x14ac:dyDescent="0.25">
      <c r="A9" s="237">
        <v>6</v>
      </c>
      <c r="B9" s="285" t="s">
        <v>177</v>
      </c>
      <c r="C9" s="287">
        <v>387</v>
      </c>
      <c r="D9" s="287">
        <f>0.595*C9</f>
        <v>230.26499999999999</v>
      </c>
      <c r="E9" s="283">
        <f t="shared" ref="E9:E23" si="3">D9/C9</f>
        <v>0.59499999999999997</v>
      </c>
      <c r="F9" s="249">
        <v>521</v>
      </c>
      <c r="G9" s="249">
        <f>0.336*F9</f>
        <v>175.05600000000001</v>
      </c>
      <c r="H9" s="283">
        <f t="shared" ref="H9:H23" si="4">G9/F9</f>
        <v>0.33600000000000002</v>
      </c>
      <c r="I9" s="249">
        <v>101</v>
      </c>
      <c r="J9" s="249">
        <f>0.554*I9</f>
        <v>55.954000000000008</v>
      </c>
      <c r="K9" s="303">
        <f t="shared" ref="K9:K23" si="5">J9/I9</f>
        <v>0.55400000000000005</v>
      </c>
    </row>
    <row r="10" spans="1:11" ht="15.75" x14ac:dyDescent="0.25">
      <c r="A10" s="237">
        <v>7</v>
      </c>
      <c r="B10" s="285" t="s">
        <v>144</v>
      </c>
      <c r="C10" s="287">
        <v>101</v>
      </c>
      <c r="D10" s="247">
        <v>63</v>
      </c>
      <c r="E10" s="283">
        <f t="shared" si="3"/>
        <v>0.62376237623762376</v>
      </c>
      <c r="F10" s="249">
        <v>131</v>
      </c>
      <c r="G10" s="247">
        <f>0.3*F10</f>
        <v>39.299999999999997</v>
      </c>
      <c r="H10" s="283">
        <f t="shared" si="4"/>
        <v>0.3</v>
      </c>
      <c r="I10" s="249">
        <v>23</v>
      </c>
      <c r="J10" s="247">
        <f>0.417*I10</f>
        <v>9.5909999999999993</v>
      </c>
      <c r="K10" s="303">
        <f t="shared" si="5"/>
        <v>0.41699999999999998</v>
      </c>
    </row>
    <row r="11" spans="1:11" ht="15.75" x14ac:dyDescent="0.25">
      <c r="A11" s="237">
        <v>8</v>
      </c>
      <c r="B11" s="285" t="s">
        <v>145</v>
      </c>
      <c r="C11" s="287">
        <v>82</v>
      </c>
      <c r="D11" s="287">
        <v>45</v>
      </c>
      <c r="E11" s="283">
        <f t="shared" si="3"/>
        <v>0.54878048780487809</v>
      </c>
      <c r="F11" s="249">
        <v>90</v>
      </c>
      <c r="G11" s="249">
        <v>32</v>
      </c>
      <c r="H11" s="283">
        <f t="shared" si="4"/>
        <v>0.35555555555555557</v>
      </c>
      <c r="I11" s="249">
        <v>13</v>
      </c>
      <c r="J11" s="249">
        <v>7</v>
      </c>
      <c r="K11" s="303">
        <f t="shared" si="5"/>
        <v>0.53846153846153844</v>
      </c>
    </row>
    <row r="12" spans="1:11" ht="15.75" x14ac:dyDescent="0.25">
      <c r="A12" s="237">
        <v>9</v>
      </c>
      <c r="B12" s="285" t="s">
        <v>146</v>
      </c>
      <c r="C12" s="287">
        <v>71</v>
      </c>
      <c r="D12" s="287">
        <v>41</v>
      </c>
      <c r="E12" s="283">
        <f t="shared" si="3"/>
        <v>0.57746478873239437</v>
      </c>
      <c r="F12" s="249">
        <v>75</v>
      </c>
      <c r="G12" s="249">
        <v>25</v>
      </c>
      <c r="H12" s="283">
        <f t="shared" si="4"/>
        <v>0.33333333333333331</v>
      </c>
      <c r="I12" s="249"/>
      <c r="J12" s="249"/>
      <c r="K12" s="303"/>
    </row>
    <row r="13" spans="1:11" ht="15.75" x14ac:dyDescent="0.25">
      <c r="A13" s="237">
        <v>10</v>
      </c>
      <c r="B13" s="285" t="s">
        <v>172</v>
      </c>
      <c r="C13" s="287">
        <v>40</v>
      </c>
      <c r="D13" s="246">
        <f>0.65*C13</f>
        <v>26</v>
      </c>
      <c r="E13" s="283">
        <f t="shared" si="3"/>
        <v>0.65</v>
      </c>
      <c r="F13" s="249">
        <v>45</v>
      </c>
      <c r="G13" s="246">
        <f>0.378*F13</f>
        <v>17.010000000000002</v>
      </c>
      <c r="H13" s="283">
        <f t="shared" si="4"/>
        <v>0.37800000000000006</v>
      </c>
      <c r="I13" s="249"/>
      <c r="J13" s="249"/>
      <c r="K13" s="303"/>
    </row>
    <row r="14" spans="1:11" ht="15.75" x14ac:dyDescent="0.25">
      <c r="A14" s="237">
        <v>11</v>
      </c>
      <c r="B14" s="285" t="s">
        <v>147</v>
      </c>
      <c r="C14" s="287">
        <v>176</v>
      </c>
      <c r="D14" s="248">
        <v>81</v>
      </c>
      <c r="E14" s="283">
        <f t="shared" si="3"/>
        <v>0.46022727272727271</v>
      </c>
      <c r="F14" s="249">
        <v>243</v>
      </c>
      <c r="G14" s="249">
        <v>80</v>
      </c>
      <c r="H14" s="283">
        <f t="shared" si="4"/>
        <v>0.32921810699588477</v>
      </c>
      <c r="I14" s="249">
        <v>59</v>
      </c>
      <c r="J14" s="249">
        <v>17</v>
      </c>
      <c r="K14" s="303">
        <f t="shared" ref="K14:K19" si="6">J14/I14</f>
        <v>0.28813559322033899</v>
      </c>
    </row>
    <row r="15" spans="1:11" ht="31.5" x14ac:dyDescent="0.25">
      <c r="A15" s="237">
        <v>12</v>
      </c>
      <c r="B15" s="285" t="s">
        <v>178</v>
      </c>
      <c r="C15" s="287">
        <v>103</v>
      </c>
      <c r="D15" s="287">
        <f>0.737*C15</f>
        <v>75.911000000000001</v>
      </c>
      <c r="E15" s="283">
        <f t="shared" si="3"/>
        <v>0.73699999999999999</v>
      </c>
      <c r="F15" s="249">
        <v>140</v>
      </c>
      <c r="G15" s="249">
        <f>0.414*F15</f>
        <v>57.959999999999994</v>
      </c>
      <c r="H15" s="283">
        <f t="shared" si="4"/>
        <v>0.41399999999999998</v>
      </c>
      <c r="I15" s="249">
        <v>24</v>
      </c>
      <c r="J15" s="249">
        <f>0.541*I15</f>
        <v>12.984000000000002</v>
      </c>
      <c r="K15" s="303">
        <f t="shared" si="6"/>
        <v>0.54100000000000004</v>
      </c>
    </row>
    <row r="16" spans="1:11" ht="15.75" x14ac:dyDescent="0.25">
      <c r="A16" s="237">
        <v>13</v>
      </c>
      <c r="B16" s="285" t="s">
        <v>148</v>
      </c>
      <c r="C16" s="287">
        <v>89</v>
      </c>
      <c r="D16" s="287">
        <v>59</v>
      </c>
      <c r="E16" s="283">
        <f t="shared" si="3"/>
        <v>0.6629213483146067</v>
      </c>
      <c r="F16" s="249">
        <v>99</v>
      </c>
      <c r="G16" s="249">
        <v>33</v>
      </c>
      <c r="H16" s="283">
        <f t="shared" si="4"/>
        <v>0.33333333333333331</v>
      </c>
      <c r="I16" s="249">
        <v>28</v>
      </c>
      <c r="J16" s="249">
        <v>8</v>
      </c>
      <c r="K16" s="303">
        <f t="shared" si="6"/>
        <v>0.2857142857142857</v>
      </c>
    </row>
    <row r="17" spans="1:14" ht="15.75" x14ac:dyDescent="0.25">
      <c r="A17" s="237">
        <v>14</v>
      </c>
      <c r="B17" s="285" t="s">
        <v>173</v>
      </c>
      <c r="C17" s="287">
        <v>64</v>
      </c>
      <c r="D17" s="287">
        <v>38</v>
      </c>
      <c r="E17" s="283">
        <f t="shared" si="3"/>
        <v>0.59375</v>
      </c>
      <c r="F17" s="249">
        <v>83</v>
      </c>
      <c r="G17" s="249">
        <v>33</v>
      </c>
      <c r="H17" s="283">
        <f t="shared" si="4"/>
        <v>0.39759036144578314</v>
      </c>
      <c r="I17" s="249"/>
      <c r="J17" s="249"/>
      <c r="K17" s="303"/>
    </row>
    <row r="18" spans="1:14" ht="15.75" x14ac:dyDescent="0.25">
      <c r="A18" s="237">
        <v>15</v>
      </c>
      <c r="B18" s="285" t="s">
        <v>149</v>
      </c>
      <c r="C18" s="287">
        <v>66</v>
      </c>
      <c r="D18" s="287">
        <v>47</v>
      </c>
      <c r="E18" s="283">
        <f t="shared" si="3"/>
        <v>0.71212121212121215</v>
      </c>
      <c r="F18" s="249">
        <v>71</v>
      </c>
      <c r="G18" s="249">
        <v>35</v>
      </c>
      <c r="H18" s="283">
        <f t="shared" si="4"/>
        <v>0.49295774647887325</v>
      </c>
      <c r="I18" s="249">
        <v>7</v>
      </c>
      <c r="J18" s="249">
        <v>3</v>
      </c>
      <c r="K18" s="303">
        <f t="shared" si="6"/>
        <v>0.42857142857142855</v>
      </c>
    </row>
    <row r="19" spans="1:14" ht="15.75" x14ac:dyDescent="0.25">
      <c r="A19" s="237">
        <v>16</v>
      </c>
      <c r="B19" s="285" t="s">
        <v>150</v>
      </c>
      <c r="C19" s="287">
        <v>194</v>
      </c>
      <c r="D19" s="287">
        <f>0.555*C19</f>
        <v>107.67000000000002</v>
      </c>
      <c r="E19" s="283">
        <f t="shared" si="3"/>
        <v>0.55500000000000005</v>
      </c>
      <c r="F19" s="249">
        <v>194</v>
      </c>
      <c r="G19" s="249">
        <f>0.294*F19</f>
        <v>57.035999999999994</v>
      </c>
      <c r="H19" s="283">
        <f t="shared" si="4"/>
        <v>0.29399999999999998</v>
      </c>
      <c r="I19" s="249">
        <v>32</v>
      </c>
      <c r="J19" s="249">
        <f>0.333*I19</f>
        <v>10.656000000000001</v>
      </c>
      <c r="K19" s="303">
        <f t="shared" si="6"/>
        <v>0.33300000000000002</v>
      </c>
    </row>
    <row r="20" spans="1:14" ht="15.75" x14ac:dyDescent="0.25">
      <c r="A20" s="237">
        <v>17</v>
      </c>
      <c r="B20" s="285" t="s">
        <v>151</v>
      </c>
      <c r="C20" s="287">
        <v>105</v>
      </c>
      <c r="D20" s="287">
        <v>60</v>
      </c>
      <c r="E20" s="283">
        <f t="shared" si="3"/>
        <v>0.5714285714285714</v>
      </c>
      <c r="F20" s="249">
        <v>196</v>
      </c>
      <c r="G20" s="249">
        <v>74</v>
      </c>
      <c r="H20" s="283">
        <f t="shared" si="4"/>
        <v>0.37755102040816324</v>
      </c>
      <c r="I20" s="249">
        <v>25</v>
      </c>
      <c r="J20" s="249">
        <v>10</v>
      </c>
      <c r="K20" s="303">
        <f t="shared" si="5"/>
        <v>0.4</v>
      </c>
    </row>
    <row r="21" spans="1:14" ht="15.75" x14ac:dyDescent="0.25">
      <c r="A21" s="237">
        <v>18</v>
      </c>
      <c r="B21" s="285" t="s">
        <v>152</v>
      </c>
      <c r="C21" s="287">
        <v>152</v>
      </c>
      <c r="D21" s="287">
        <v>109</v>
      </c>
      <c r="E21" s="283">
        <f t="shared" si="3"/>
        <v>0.71710526315789469</v>
      </c>
      <c r="F21" s="249">
        <v>188</v>
      </c>
      <c r="G21" s="249">
        <v>74</v>
      </c>
      <c r="H21" s="283">
        <f t="shared" si="4"/>
        <v>0.39361702127659576</v>
      </c>
      <c r="I21" s="249">
        <v>30</v>
      </c>
      <c r="J21" s="249">
        <v>12</v>
      </c>
      <c r="K21" s="303">
        <f t="shared" si="5"/>
        <v>0.4</v>
      </c>
    </row>
    <row r="22" spans="1:14" ht="15.75" x14ac:dyDescent="0.25">
      <c r="A22" s="237">
        <v>19</v>
      </c>
      <c r="B22" s="285" t="s">
        <v>153</v>
      </c>
      <c r="C22" s="287">
        <v>184</v>
      </c>
      <c r="D22" s="287">
        <v>116</v>
      </c>
      <c r="E22" s="283">
        <f t="shared" si="3"/>
        <v>0.63043478260869568</v>
      </c>
      <c r="F22" s="249">
        <v>254</v>
      </c>
      <c r="G22" s="249">
        <v>92</v>
      </c>
      <c r="H22" s="283">
        <f t="shared" si="4"/>
        <v>0.36220472440944884</v>
      </c>
      <c r="I22" s="249">
        <v>35</v>
      </c>
      <c r="J22" s="249">
        <v>17</v>
      </c>
      <c r="K22" s="303">
        <f t="shared" si="5"/>
        <v>0.48571428571428571</v>
      </c>
    </row>
    <row r="23" spans="1:14" ht="15.75" x14ac:dyDescent="0.25">
      <c r="A23" s="237">
        <v>20</v>
      </c>
      <c r="B23" s="285" t="s">
        <v>154</v>
      </c>
      <c r="C23" s="287">
        <v>245</v>
      </c>
      <c r="D23" s="287">
        <v>157</v>
      </c>
      <c r="E23" s="283">
        <f t="shared" si="3"/>
        <v>0.64081632653061227</v>
      </c>
      <c r="F23" s="249">
        <v>339</v>
      </c>
      <c r="G23" s="249">
        <v>153</v>
      </c>
      <c r="H23" s="283">
        <f t="shared" si="4"/>
        <v>0.45132743362831856</v>
      </c>
      <c r="I23" s="249">
        <v>49</v>
      </c>
      <c r="J23" s="249">
        <v>26</v>
      </c>
      <c r="K23" s="303">
        <f t="shared" si="5"/>
        <v>0.53061224489795922</v>
      </c>
    </row>
    <row r="24" spans="1:14" ht="15.75" x14ac:dyDescent="0.25">
      <c r="A24" s="237">
        <v>21</v>
      </c>
      <c r="B24" s="285" t="s">
        <v>155</v>
      </c>
      <c r="C24" s="288">
        <v>281</v>
      </c>
      <c r="D24" s="287">
        <f>0.732*C24</f>
        <v>205.69200000000001</v>
      </c>
      <c r="E24" s="283">
        <v>0.224</v>
      </c>
      <c r="F24" s="247">
        <v>281</v>
      </c>
      <c r="G24" s="249">
        <f>0.425*F24</f>
        <v>119.425</v>
      </c>
      <c r="H24" s="283">
        <v>0.20200000000000001</v>
      </c>
      <c r="I24" s="247">
        <v>281</v>
      </c>
      <c r="J24" s="249">
        <f>0.8*I24</f>
        <v>224.8</v>
      </c>
      <c r="K24" s="303">
        <v>5.6000000000000001E-2</v>
      </c>
    </row>
    <row r="25" spans="1:14" ht="15.75" x14ac:dyDescent="0.25">
      <c r="A25" s="237">
        <v>22</v>
      </c>
      <c r="B25" s="285" t="s">
        <v>277</v>
      </c>
      <c r="C25" s="287">
        <v>141</v>
      </c>
      <c r="D25" s="287">
        <v>72</v>
      </c>
      <c r="E25" s="283">
        <f t="shared" ref="E25:E34" si="7">D25/C25</f>
        <v>0.51063829787234039</v>
      </c>
      <c r="F25" s="249">
        <v>142</v>
      </c>
      <c r="G25" s="249">
        <v>56</v>
      </c>
      <c r="H25" s="283">
        <f t="shared" ref="H25:H34" si="8">G25/F25</f>
        <v>0.39436619718309857</v>
      </c>
      <c r="I25" s="249">
        <v>29</v>
      </c>
      <c r="J25" s="249">
        <v>14</v>
      </c>
      <c r="K25" s="303">
        <f t="shared" ref="K25:K41" si="9">J25/I25</f>
        <v>0.48275862068965519</v>
      </c>
    </row>
    <row r="26" spans="1:14" ht="15.75" x14ac:dyDescent="0.25">
      <c r="A26" s="237">
        <v>23</v>
      </c>
      <c r="B26" s="285" t="s">
        <v>156</v>
      </c>
      <c r="C26" s="287">
        <v>78</v>
      </c>
      <c r="D26" s="289">
        <f>0.641*C26</f>
        <v>49.998000000000005</v>
      </c>
      <c r="E26" s="283">
        <f t="shared" si="7"/>
        <v>0.64100000000000001</v>
      </c>
      <c r="F26" s="249">
        <v>94</v>
      </c>
      <c r="G26" s="289">
        <f>0.372*F26</f>
        <v>34.967999999999996</v>
      </c>
      <c r="H26" s="283">
        <f t="shared" si="8"/>
        <v>0.37199999999999994</v>
      </c>
      <c r="I26" s="249">
        <v>27</v>
      </c>
      <c r="J26" s="289">
        <f>0.444*I26</f>
        <v>11.988</v>
      </c>
      <c r="K26" s="303">
        <f t="shared" si="9"/>
        <v>0.44400000000000001</v>
      </c>
    </row>
    <row r="27" spans="1:14" ht="15.75" x14ac:dyDescent="0.25">
      <c r="A27" s="237">
        <v>24</v>
      </c>
      <c r="B27" s="285" t="s">
        <v>157</v>
      </c>
      <c r="C27" s="287">
        <v>109</v>
      </c>
      <c r="D27" s="287">
        <f>0.633*C27</f>
        <v>68.997</v>
      </c>
      <c r="E27" s="283">
        <f t="shared" si="7"/>
        <v>0.63300000000000001</v>
      </c>
      <c r="F27" s="249">
        <v>192</v>
      </c>
      <c r="G27" s="249">
        <f>0.359*F27</f>
        <v>68.927999999999997</v>
      </c>
      <c r="H27" s="283">
        <f t="shared" si="8"/>
        <v>0.35899999999999999</v>
      </c>
      <c r="I27" s="249">
        <v>43</v>
      </c>
      <c r="J27" s="249">
        <f>0.452*I27</f>
        <v>19.436</v>
      </c>
      <c r="K27" s="303">
        <f t="shared" si="9"/>
        <v>0.45200000000000001</v>
      </c>
    </row>
    <row r="28" spans="1:14" ht="15.75" x14ac:dyDescent="0.25">
      <c r="A28" s="237">
        <v>25</v>
      </c>
      <c r="B28" s="285" t="s">
        <v>159</v>
      </c>
      <c r="C28" s="287">
        <v>107</v>
      </c>
      <c r="D28" s="287">
        <v>60</v>
      </c>
      <c r="E28" s="283">
        <f t="shared" si="7"/>
        <v>0.56074766355140182</v>
      </c>
      <c r="F28" s="249">
        <v>125</v>
      </c>
      <c r="G28" s="249">
        <v>42</v>
      </c>
      <c r="H28" s="283">
        <f t="shared" si="8"/>
        <v>0.33600000000000002</v>
      </c>
      <c r="I28" s="249">
        <v>14</v>
      </c>
      <c r="J28" s="249">
        <v>5</v>
      </c>
      <c r="K28" s="303">
        <f t="shared" si="9"/>
        <v>0.35714285714285715</v>
      </c>
    </row>
    <row r="29" spans="1:14" ht="15.75" x14ac:dyDescent="0.25">
      <c r="A29" s="237">
        <v>26</v>
      </c>
      <c r="B29" s="285" t="s">
        <v>160</v>
      </c>
      <c r="C29" s="290">
        <v>114</v>
      </c>
      <c r="D29" s="290">
        <f>0.711*C29</f>
        <v>81.054000000000002</v>
      </c>
      <c r="E29" s="283">
        <f t="shared" si="7"/>
        <v>0.71099999999999997</v>
      </c>
      <c r="F29" s="250">
        <v>267</v>
      </c>
      <c r="G29" s="250">
        <f>0.446*F29</f>
        <v>119.08200000000001</v>
      </c>
      <c r="H29" s="283">
        <f t="shared" si="8"/>
        <v>0.44600000000000001</v>
      </c>
      <c r="I29" s="250">
        <v>63</v>
      </c>
      <c r="J29" s="250">
        <f>0.477*I29</f>
        <v>30.050999999999998</v>
      </c>
      <c r="K29" s="303">
        <f t="shared" si="9"/>
        <v>0.47699999999999998</v>
      </c>
    </row>
    <row r="30" spans="1:14" ht="15.75" x14ac:dyDescent="0.25">
      <c r="A30" s="237">
        <v>27</v>
      </c>
      <c r="B30" s="285" t="s">
        <v>158</v>
      </c>
      <c r="C30" s="290">
        <v>450</v>
      </c>
      <c r="D30" s="290">
        <v>199</v>
      </c>
      <c r="E30" s="283">
        <f t="shared" si="7"/>
        <v>0.44222222222222224</v>
      </c>
      <c r="F30" s="250">
        <v>218</v>
      </c>
      <c r="G30" s="250">
        <v>96</v>
      </c>
      <c r="H30" s="283">
        <f t="shared" si="8"/>
        <v>0.44036697247706424</v>
      </c>
      <c r="I30" s="250">
        <v>219</v>
      </c>
      <c r="J30" s="250">
        <v>96</v>
      </c>
      <c r="K30" s="303">
        <f t="shared" si="9"/>
        <v>0.43835616438356162</v>
      </c>
    </row>
    <row r="31" spans="1:14" ht="15.75" x14ac:dyDescent="0.25">
      <c r="A31" s="237">
        <v>28</v>
      </c>
      <c r="B31" s="285" t="s">
        <v>161</v>
      </c>
      <c r="C31" s="287">
        <v>161</v>
      </c>
      <c r="D31" s="248">
        <v>69</v>
      </c>
      <c r="E31" s="283">
        <f t="shared" si="7"/>
        <v>0.42857142857142855</v>
      </c>
      <c r="F31" s="248">
        <v>181</v>
      </c>
      <c r="G31" s="246">
        <v>81</v>
      </c>
      <c r="H31" s="283">
        <f t="shared" si="8"/>
        <v>0.44751381215469616</v>
      </c>
      <c r="I31" s="248">
        <v>23</v>
      </c>
      <c r="J31" s="248">
        <v>13</v>
      </c>
      <c r="K31" s="303">
        <f t="shared" si="9"/>
        <v>0.56521739130434778</v>
      </c>
      <c r="L31" s="136"/>
      <c r="M31" s="137"/>
      <c r="N31" s="138"/>
    </row>
    <row r="32" spans="1:14" ht="15.75" x14ac:dyDescent="0.25">
      <c r="A32" s="237">
        <v>29</v>
      </c>
      <c r="B32" s="285" t="s">
        <v>162</v>
      </c>
      <c r="C32" s="287">
        <v>366</v>
      </c>
      <c r="D32" s="287">
        <f>0.727*C32</f>
        <v>266.08199999999999</v>
      </c>
      <c r="E32" s="283">
        <f t="shared" si="7"/>
        <v>0.72699999999999998</v>
      </c>
      <c r="F32" s="249">
        <v>322</v>
      </c>
      <c r="G32" s="249">
        <f>0.441*F32</f>
        <v>142.00200000000001</v>
      </c>
      <c r="H32" s="283">
        <f t="shared" si="8"/>
        <v>0.441</v>
      </c>
      <c r="I32" s="249">
        <v>32</v>
      </c>
      <c r="J32" s="249">
        <f>0.563*I32</f>
        <v>18.015999999999998</v>
      </c>
      <c r="K32" s="303">
        <f t="shared" si="9"/>
        <v>0.56299999999999994</v>
      </c>
    </row>
    <row r="33" spans="1:11" ht="15.75" x14ac:dyDescent="0.25">
      <c r="A33" s="237">
        <v>30</v>
      </c>
      <c r="B33" s="285" t="s">
        <v>163</v>
      </c>
      <c r="C33" s="287">
        <v>133</v>
      </c>
      <c r="D33" s="287">
        <v>87</v>
      </c>
      <c r="E33" s="283">
        <f t="shared" si="7"/>
        <v>0.65413533834586468</v>
      </c>
      <c r="F33" s="249">
        <v>172</v>
      </c>
      <c r="G33" s="249">
        <v>77</v>
      </c>
      <c r="H33" s="283">
        <f t="shared" si="8"/>
        <v>0.44767441860465118</v>
      </c>
      <c r="I33" s="249">
        <v>28</v>
      </c>
      <c r="J33" s="249">
        <v>16</v>
      </c>
      <c r="K33" s="303">
        <f t="shared" si="9"/>
        <v>0.5714285714285714</v>
      </c>
    </row>
    <row r="34" spans="1:11" ht="15.75" x14ac:dyDescent="0.25">
      <c r="A34" s="237">
        <v>31</v>
      </c>
      <c r="B34" s="285" t="s">
        <v>164</v>
      </c>
      <c r="C34" s="287">
        <v>86</v>
      </c>
      <c r="D34" s="287">
        <f>0.6*C34</f>
        <v>51.6</v>
      </c>
      <c r="E34" s="283">
        <f t="shared" si="7"/>
        <v>0.6</v>
      </c>
      <c r="F34" s="249">
        <v>106</v>
      </c>
      <c r="G34" s="249">
        <f>0.365*F34</f>
        <v>38.69</v>
      </c>
      <c r="H34" s="283">
        <f t="shared" si="8"/>
        <v>0.36499999999999999</v>
      </c>
      <c r="I34" s="249">
        <v>29</v>
      </c>
      <c r="J34" s="249">
        <f>0.448*I34</f>
        <v>12.992000000000001</v>
      </c>
      <c r="K34" s="303">
        <f t="shared" si="9"/>
        <v>0.44800000000000001</v>
      </c>
    </row>
    <row r="35" spans="1:11" ht="15.75" x14ac:dyDescent="0.25">
      <c r="A35" s="237">
        <v>32</v>
      </c>
      <c r="B35" s="285" t="s">
        <v>165</v>
      </c>
      <c r="C35" s="287">
        <v>151</v>
      </c>
      <c r="D35" s="287">
        <v>78</v>
      </c>
      <c r="E35" s="283">
        <v>0.73</v>
      </c>
      <c r="F35" s="249">
        <v>129</v>
      </c>
      <c r="G35" s="249">
        <v>56</v>
      </c>
      <c r="H35" s="283">
        <v>0.44800000000000001</v>
      </c>
      <c r="I35" s="249"/>
      <c r="J35" s="249"/>
      <c r="K35" s="303"/>
    </row>
    <row r="36" spans="1:11" ht="15.75" x14ac:dyDescent="0.25">
      <c r="A36" s="237">
        <v>33</v>
      </c>
      <c r="B36" s="285" t="s">
        <v>166</v>
      </c>
      <c r="C36" s="287">
        <v>104</v>
      </c>
      <c r="D36" s="287">
        <v>65</v>
      </c>
      <c r="E36" s="283">
        <f>D36/C36</f>
        <v>0.625</v>
      </c>
      <c r="F36" s="249">
        <v>87</v>
      </c>
      <c r="G36" s="249">
        <v>20</v>
      </c>
      <c r="H36" s="283">
        <f t="shared" ref="H36:H41" si="10">G36/F36</f>
        <v>0.22988505747126436</v>
      </c>
      <c r="I36" s="249">
        <v>13</v>
      </c>
      <c r="J36" s="249">
        <v>3</v>
      </c>
      <c r="K36" s="303">
        <f t="shared" si="9"/>
        <v>0.23076923076923078</v>
      </c>
    </row>
    <row r="37" spans="1:11" ht="15.75" x14ac:dyDescent="0.25">
      <c r="A37" s="237">
        <v>34</v>
      </c>
      <c r="B37" s="285" t="s">
        <v>167</v>
      </c>
      <c r="C37" s="287">
        <v>139</v>
      </c>
      <c r="D37" s="287">
        <v>76</v>
      </c>
      <c r="E37" s="283">
        <f t="shared" ref="E37:E41" si="11">D37/C37</f>
        <v>0.5467625899280576</v>
      </c>
      <c r="F37" s="249">
        <v>179</v>
      </c>
      <c r="G37" s="249">
        <v>55</v>
      </c>
      <c r="H37" s="283">
        <f t="shared" si="10"/>
        <v>0.30726256983240224</v>
      </c>
      <c r="I37" s="249">
        <v>27</v>
      </c>
      <c r="J37" s="249">
        <v>14</v>
      </c>
      <c r="K37" s="303">
        <f t="shared" si="9"/>
        <v>0.51851851851851849</v>
      </c>
    </row>
    <row r="38" spans="1:11" ht="15.75" x14ac:dyDescent="0.25">
      <c r="A38" s="237">
        <v>35</v>
      </c>
      <c r="B38" s="285" t="s">
        <v>168</v>
      </c>
      <c r="C38" s="287">
        <v>141</v>
      </c>
      <c r="D38" s="287">
        <v>81</v>
      </c>
      <c r="E38" s="283">
        <f t="shared" si="11"/>
        <v>0.57446808510638303</v>
      </c>
      <c r="F38" s="249">
        <v>173</v>
      </c>
      <c r="G38" s="249">
        <v>64</v>
      </c>
      <c r="H38" s="283">
        <f t="shared" si="10"/>
        <v>0.36994219653179189</v>
      </c>
      <c r="I38" s="249">
        <v>24</v>
      </c>
      <c r="J38" s="249">
        <v>9</v>
      </c>
      <c r="K38" s="303">
        <f t="shared" si="9"/>
        <v>0.375</v>
      </c>
    </row>
    <row r="39" spans="1:11" s="30" customFormat="1" ht="15.75" x14ac:dyDescent="0.25">
      <c r="A39" s="237">
        <v>36</v>
      </c>
      <c r="B39" s="285" t="s">
        <v>169</v>
      </c>
      <c r="C39" s="287">
        <v>64</v>
      </c>
      <c r="D39" s="287">
        <v>52</v>
      </c>
      <c r="E39" s="283">
        <f t="shared" si="11"/>
        <v>0.8125</v>
      </c>
      <c r="F39" s="249">
        <v>89</v>
      </c>
      <c r="G39" s="249">
        <v>39</v>
      </c>
      <c r="H39" s="283">
        <f t="shared" si="10"/>
        <v>0.43820224719101125</v>
      </c>
      <c r="I39" s="249">
        <v>27</v>
      </c>
      <c r="J39" s="249">
        <v>6</v>
      </c>
      <c r="K39" s="303">
        <f t="shared" si="9"/>
        <v>0.22222222222222221</v>
      </c>
    </row>
    <row r="40" spans="1:11" ht="15.75" x14ac:dyDescent="0.25">
      <c r="A40" s="237">
        <v>37</v>
      </c>
      <c r="B40" s="285" t="s">
        <v>170</v>
      </c>
      <c r="C40" s="287">
        <v>386</v>
      </c>
      <c r="D40" s="287">
        <v>251</v>
      </c>
      <c r="E40" s="283">
        <f t="shared" si="11"/>
        <v>0.65025906735751293</v>
      </c>
      <c r="F40" s="249">
        <v>492</v>
      </c>
      <c r="G40" s="249">
        <v>207</v>
      </c>
      <c r="H40" s="283">
        <f t="shared" si="10"/>
        <v>0.42073170731707316</v>
      </c>
      <c r="I40" s="249">
        <v>84</v>
      </c>
      <c r="J40" s="249">
        <v>40</v>
      </c>
      <c r="K40" s="303">
        <f t="shared" si="9"/>
        <v>0.47619047619047616</v>
      </c>
    </row>
    <row r="41" spans="1:11" ht="15.75" x14ac:dyDescent="0.25">
      <c r="A41" s="237">
        <v>38</v>
      </c>
      <c r="B41" s="291" t="s">
        <v>171</v>
      </c>
      <c r="C41" s="251">
        <v>72</v>
      </c>
      <c r="D41" s="251">
        <v>51</v>
      </c>
      <c r="E41" s="284">
        <f t="shared" si="11"/>
        <v>0.70833333333333337</v>
      </c>
      <c r="F41" s="251">
        <v>83</v>
      </c>
      <c r="G41" s="251">
        <v>39</v>
      </c>
      <c r="H41" s="283">
        <f t="shared" si="10"/>
        <v>0.46987951807228917</v>
      </c>
      <c r="I41" s="251">
        <v>16</v>
      </c>
      <c r="J41" s="251">
        <v>10</v>
      </c>
      <c r="K41" s="303">
        <f t="shared" si="9"/>
        <v>0.625</v>
      </c>
    </row>
    <row r="42" spans="1:11" ht="16.5" thickBot="1" x14ac:dyDescent="0.3">
      <c r="A42" s="643" t="s">
        <v>118</v>
      </c>
      <c r="B42" s="644"/>
      <c r="C42" s="304">
        <f>SUM(C4:C41)</f>
        <v>6158</v>
      </c>
      <c r="D42" s="304">
        <f t="shared" ref="D42:J42" si="12">SUM(D4:D41)</f>
        <v>3773.6869999999999</v>
      </c>
      <c r="E42" s="300">
        <f>AVERAGE(E4:E41)</f>
        <v>0.60773158114043202</v>
      </c>
      <c r="F42" s="304">
        <f t="shared" si="12"/>
        <v>7354</v>
      </c>
      <c r="G42" s="304">
        <f t="shared" si="12"/>
        <v>2881.8919999999998</v>
      </c>
      <c r="H42" s="300">
        <f>AVERAGE(H4:H41)</f>
        <v>0.37888012464112153</v>
      </c>
      <c r="I42" s="304">
        <f t="shared" si="12"/>
        <v>1614</v>
      </c>
      <c r="J42" s="304">
        <f t="shared" si="12"/>
        <v>827.5250000000002</v>
      </c>
      <c r="K42" s="300">
        <f>AVERAGE(K4:K41)</f>
        <v>0.43413450221706562</v>
      </c>
    </row>
    <row r="43" spans="1:11" ht="15.75" x14ac:dyDescent="0.25">
      <c r="A43" s="242"/>
      <c r="B43" s="244"/>
      <c r="C43" s="243"/>
      <c r="D43" s="243"/>
      <c r="E43" s="242"/>
      <c r="F43" s="252"/>
      <c r="G43" s="242"/>
      <c r="H43" s="241"/>
      <c r="I43" s="241"/>
      <c r="J43" s="241"/>
      <c r="K43" s="241"/>
    </row>
    <row r="44" spans="1:11" ht="16.5" thickBot="1" x14ac:dyDescent="0.3">
      <c r="A44" s="242"/>
      <c r="B44" s="244"/>
      <c r="C44" s="243"/>
      <c r="D44" s="243"/>
      <c r="E44" s="242"/>
      <c r="F44" s="252"/>
      <c r="G44" s="242"/>
      <c r="H44" s="241"/>
      <c r="I44" s="241"/>
      <c r="J44" s="241"/>
      <c r="K44" s="241"/>
    </row>
    <row r="45" spans="1:11" ht="15.75" x14ac:dyDescent="0.25">
      <c r="A45" s="292">
        <v>1</v>
      </c>
      <c r="B45" s="293" t="s">
        <v>174</v>
      </c>
      <c r="C45" s="294">
        <v>151</v>
      </c>
      <c r="D45" s="294">
        <v>78</v>
      </c>
      <c r="E45" s="295">
        <f t="shared" ref="E45:E46" si="13">D45/C45</f>
        <v>0.51655629139072845</v>
      </c>
      <c r="F45" s="296"/>
      <c r="G45" s="297"/>
      <c r="H45" s="297"/>
      <c r="I45" s="297"/>
      <c r="J45" s="297"/>
      <c r="K45" s="298"/>
    </row>
    <row r="46" spans="1:11" ht="15.75" x14ac:dyDescent="0.25">
      <c r="A46" s="237">
        <v>2</v>
      </c>
      <c r="B46" s="285" t="s">
        <v>175</v>
      </c>
      <c r="C46" s="286">
        <v>121</v>
      </c>
      <c r="D46" s="286">
        <v>85</v>
      </c>
      <c r="E46" s="283">
        <f t="shared" si="13"/>
        <v>0.7024793388429752</v>
      </c>
      <c r="F46" s="249"/>
      <c r="G46" s="238"/>
      <c r="H46" s="238"/>
      <c r="I46" s="238"/>
      <c r="J46" s="238"/>
      <c r="K46" s="299"/>
    </row>
    <row r="47" spans="1:11" ht="31.5" x14ac:dyDescent="0.25">
      <c r="A47" s="237">
        <v>3</v>
      </c>
      <c r="B47" s="285" t="s">
        <v>176</v>
      </c>
      <c r="C47" s="286">
        <v>73</v>
      </c>
      <c r="D47" s="287">
        <f>0.74*C47</f>
        <v>54.019999999999996</v>
      </c>
      <c r="E47" s="283">
        <f>D47/C47</f>
        <v>0.74</v>
      </c>
      <c r="F47" s="249"/>
      <c r="G47" s="238"/>
      <c r="H47" s="238"/>
      <c r="I47" s="238"/>
      <c r="J47" s="238"/>
      <c r="K47" s="299"/>
    </row>
    <row r="48" spans="1:11" ht="16.5" thickBot="1" x14ac:dyDescent="0.3">
      <c r="A48" s="643" t="s">
        <v>118</v>
      </c>
      <c r="B48" s="644"/>
      <c r="C48" s="432">
        <f>SUM(C45:C47)</f>
        <v>345</v>
      </c>
      <c r="D48" s="432">
        <f>SUM(D45:D47)</f>
        <v>217.01999999999998</v>
      </c>
      <c r="E48" s="435">
        <f>AVERAGE(E45:E47)</f>
        <v>0.65301187674456795</v>
      </c>
      <c r="F48" s="300"/>
      <c r="G48" s="300"/>
      <c r="H48" s="300"/>
      <c r="I48" s="300"/>
      <c r="J48" s="300"/>
      <c r="K48" s="301"/>
    </row>
  </sheetData>
  <sheetProtection algorithmName="SHA-512" hashValue="RhKRGVW29xE6H8Jz1AsjWcQLmBK2rbKh7FAi5XOq0+QrDLNluGcNwBPTQ4EMokRRlwfxLNVCQVgR7lGacxMLhQ==" saltValue="5hdhCkeROlzOLkeYSRotfg==" spinCount="100000" sheet="1" objects="1" selectLockedCells="1" selectUnlockedCells="1"/>
  <mergeCells count="7">
    <mergeCell ref="F2:H2"/>
    <mergeCell ref="C1:K1"/>
    <mergeCell ref="A48:B48"/>
    <mergeCell ref="A1:A3"/>
    <mergeCell ref="B1:B3"/>
    <mergeCell ref="A42:B42"/>
    <mergeCell ref="C2:E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48"/>
  <sheetViews>
    <sheetView topLeftCell="A13" zoomScale="80" zoomScaleNormal="80" workbookViewId="0">
      <selection activeCell="B38" sqref="B38"/>
    </sheetView>
  </sheetViews>
  <sheetFormatPr defaultRowHeight="15" x14ac:dyDescent="0.25"/>
  <cols>
    <col min="2" max="2" width="35.28515625" customWidth="1"/>
  </cols>
  <sheetData>
    <row r="1" spans="1:11" ht="51" customHeight="1" x14ac:dyDescent="0.25">
      <c r="A1" s="273" t="s">
        <v>3</v>
      </c>
      <c r="B1" s="274" t="s">
        <v>4</v>
      </c>
      <c r="C1" s="651" t="s">
        <v>97</v>
      </c>
      <c r="D1" s="652"/>
      <c r="E1" s="652"/>
      <c r="F1" s="652"/>
      <c r="G1" s="652"/>
      <c r="H1" s="652"/>
      <c r="I1" s="652"/>
      <c r="J1" s="652"/>
      <c r="K1" s="653"/>
    </row>
    <row r="2" spans="1:11" ht="38.25" x14ac:dyDescent="0.25">
      <c r="A2" s="275"/>
      <c r="B2" s="276"/>
      <c r="C2" s="277" t="s">
        <v>276</v>
      </c>
      <c r="D2" s="277" t="s">
        <v>285</v>
      </c>
      <c r="E2" s="277" t="s">
        <v>10</v>
      </c>
      <c r="F2" s="277" t="s">
        <v>276</v>
      </c>
      <c r="G2" s="277" t="s">
        <v>285</v>
      </c>
      <c r="H2" s="277" t="s">
        <v>11</v>
      </c>
      <c r="I2" s="277" t="s">
        <v>276</v>
      </c>
      <c r="J2" s="277" t="s">
        <v>285</v>
      </c>
      <c r="K2" s="278" t="s">
        <v>12</v>
      </c>
    </row>
    <row r="3" spans="1:11" x14ac:dyDescent="0.25">
      <c r="A3" s="279"/>
      <c r="B3" s="280"/>
      <c r="C3" s="281"/>
      <c r="D3" s="281"/>
      <c r="E3" s="91"/>
      <c r="F3" s="91"/>
      <c r="G3" s="91"/>
      <c r="H3" s="91"/>
      <c r="I3" s="91"/>
      <c r="J3" s="91"/>
      <c r="K3" s="272"/>
    </row>
    <row r="4" spans="1:11" ht="15.75" x14ac:dyDescent="0.25">
      <c r="A4" s="23">
        <v>1</v>
      </c>
      <c r="B4" s="26" t="s">
        <v>139</v>
      </c>
      <c r="C4" s="287">
        <v>87</v>
      </c>
      <c r="D4" s="253">
        <v>0</v>
      </c>
      <c r="E4" s="91">
        <f>(D4/C4)*1</f>
        <v>0</v>
      </c>
      <c r="F4" s="249">
        <v>129</v>
      </c>
      <c r="G4" s="124">
        <v>0</v>
      </c>
      <c r="H4" s="91">
        <f t="shared" ref="H4:H40" si="0">(G4/F4)*1</f>
        <v>0</v>
      </c>
      <c r="I4" s="249">
        <v>28</v>
      </c>
      <c r="J4" s="124">
        <v>0</v>
      </c>
      <c r="K4" s="91">
        <f>(J4/I4)*1</f>
        <v>0</v>
      </c>
    </row>
    <row r="5" spans="1:11" ht="15.75" x14ac:dyDescent="0.25">
      <c r="A5" s="23">
        <v>2</v>
      </c>
      <c r="B5" s="26" t="s">
        <v>140</v>
      </c>
      <c r="C5" s="239">
        <v>254</v>
      </c>
      <c r="D5" s="253">
        <v>0</v>
      </c>
      <c r="E5" s="91">
        <f t="shared" ref="E5:E41" si="1">(D5/C5)*1</f>
        <v>0</v>
      </c>
      <c r="F5" s="240">
        <v>405</v>
      </c>
      <c r="G5" s="124">
        <v>0</v>
      </c>
      <c r="H5" s="91">
        <f t="shared" si="0"/>
        <v>0</v>
      </c>
      <c r="I5" s="240">
        <v>61</v>
      </c>
      <c r="J5" s="124">
        <v>0</v>
      </c>
      <c r="K5" s="91">
        <f t="shared" ref="K5:K41" si="2">(J5/I5)*1</f>
        <v>0</v>
      </c>
    </row>
    <row r="6" spans="1:11" ht="25.5" x14ac:dyDescent="0.25">
      <c r="A6" s="23">
        <v>3</v>
      </c>
      <c r="B6" s="26" t="s">
        <v>141</v>
      </c>
      <c r="C6" s="287">
        <v>231</v>
      </c>
      <c r="D6" s="253">
        <v>0</v>
      </c>
      <c r="E6" s="91">
        <f t="shared" si="1"/>
        <v>0</v>
      </c>
      <c r="F6" s="249">
        <v>318</v>
      </c>
      <c r="G6" s="124">
        <v>0</v>
      </c>
      <c r="H6" s="91">
        <f t="shared" si="0"/>
        <v>0</v>
      </c>
      <c r="I6" s="249">
        <v>69</v>
      </c>
      <c r="J6" s="124">
        <v>0</v>
      </c>
      <c r="K6" s="91">
        <f t="shared" si="2"/>
        <v>0</v>
      </c>
    </row>
    <row r="7" spans="1:11" ht="25.5" x14ac:dyDescent="0.25">
      <c r="A7" s="23">
        <v>4</v>
      </c>
      <c r="B7" s="26" t="s">
        <v>142</v>
      </c>
      <c r="C7" s="287">
        <v>301</v>
      </c>
      <c r="D7" s="253">
        <v>0</v>
      </c>
      <c r="E7" s="91">
        <f t="shared" si="1"/>
        <v>0</v>
      </c>
      <c r="F7" s="249">
        <v>330</v>
      </c>
      <c r="G7" s="124">
        <v>0</v>
      </c>
      <c r="H7" s="91">
        <f t="shared" si="0"/>
        <v>0</v>
      </c>
      <c r="I7" s="249">
        <v>29</v>
      </c>
      <c r="J7" s="124">
        <v>0</v>
      </c>
      <c r="K7" s="91">
        <f t="shared" si="2"/>
        <v>0</v>
      </c>
    </row>
    <row r="8" spans="1:11" ht="15.75" x14ac:dyDescent="0.25">
      <c r="A8" s="23">
        <v>5</v>
      </c>
      <c r="B8" s="26" t="s">
        <v>143</v>
      </c>
      <c r="C8" s="287">
        <v>143</v>
      </c>
      <c r="D8" s="253">
        <v>0</v>
      </c>
      <c r="E8" s="91">
        <f t="shared" si="1"/>
        <v>0</v>
      </c>
      <c r="F8" s="249">
        <v>171</v>
      </c>
      <c r="G8" s="124">
        <v>0</v>
      </c>
      <c r="H8" s="91">
        <f t="shared" si="0"/>
        <v>0</v>
      </c>
      <c r="I8" s="249">
        <v>22</v>
      </c>
      <c r="J8" s="124">
        <v>0</v>
      </c>
      <c r="K8" s="91">
        <f t="shared" si="2"/>
        <v>0</v>
      </c>
    </row>
    <row r="9" spans="1:11" ht="25.5" x14ac:dyDescent="0.25">
      <c r="A9" s="23">
        <v>6</v>
      </c>
      <c r="B9" s="26" t="s">
        <v>177</v>
      </c>
      <c r="C9" s="287">
        <v>387</v>
      </c>
      <c r="D9" s="254">
        <v>0</v>
      </c>
      <c r="E9" s="91">
        <f t="shared" si="1"/>
        <v>0</v>
      </c>
      <c r="F9" s="249">
        <v>521</v>
      </c>
      <c r="G9" s="124">
        <v>4</v>
      </c>
      <c r="H9" s="91">
        <f t="shared" si="0"/>
        <v>7.677543186180422E-3</v>
      </c>
      <c r="I9" s="249">
        <v>101</v>
      </c>
      <c r="J9" s="124">
        <v>3</v>
      </c>
      <c r="K9" s="91">
        <f t="shared" si="2"/>
        <v>2.9702970297029702E-2</v>
      </c>
    </row>
    <row r="10" spans="1:11" ht="15.75" x14ac:dyDescent="0.25">
      <c r="A10" s="23">
        <v>7</v>
      </c>
      <c r="B10" s="27" t="s">
        <v>144</v>
      </c>
      <c r="C10" s="287">
        <v>101</v>
      </c>
      <c r="D10" s="255">
        <v>1</v>
      </c>
      <c r="E10" s="91">
        <f t="shared" si="1"/>
        <v>9.9009900990099011E-3</v>
      </c>
      <c r="F10" s="249">
        <v>131</v>
      </c>
      <c r="G10" s="124">
        <v>0</v>
      </c>
      <c r="H10" s="91">
        <f t="shared" si="0"/>
        <v>0</v>
      </c>
      <c r="I10" s="249">
        <v>23</v>
      </c>
      <c r="J10" s="124">
        <v>0</v>
      </c>
      <c r="K10" s="91">
        <f t="shared" si="2"/>
        <v>0</v>
      </c>
    </row>
    <row r="11" spans="1:11" ht="15.75" x14ac:dyDescent="0.25">
      <c r="A11" s="23">
        <v>8</v>
      </c>
      <c r="B11" s="26" t="s">
        <v>145</v>
      </c>
      <c r="C11" s="287">
        <v>82</v>
      </c>
      <c r="D11" s="253">
        <v>0</v>
      </c>
      <c r="E11" s="91">
        <f t="shared" si="1"/>
        <v>0</v>
      </c>
      <c r="F11" s="249">
        <v>90</v>
      </c>
      <c r="G11" s="124">
        <v>0</v>
      </c>
      <c r="H11" s="91">
        <f t="shared" si="0"/>
        <v>0</v>
      </c>
      <c r="I11" s="249">
        <v>13</v>
      </c>
      <c r="J11" s="124">
        <v>0</v>
      </c>
      <c r="K11" s="91">
        <f t="shared" si="2"/>
        <v>0</v>
      </c>
    </row>
    <row r="12" spans="1:11" ht="15.75" x14ac:dyDescent="0.25">
      <c r="A12" s="23">
        <v>9</v>
      </c>
      <c r="B12" s="26" t="s">
        <v>146</v>
      </c>
      <c r="C12" s="287">
        <v>71</v>
      </c>
      <c r="D12" s="253">
        <v>0</v>
      </c>
      <c r="E12" s="91">
        <f t="shared" si="1"/>
        <v>0</v>
      </c>
      <c r="F12" s="249">
        <v>75</v>
      </c>
      <c r="G12" s="124">
        <v>1</v>
      </c>
      <c r="H12" s="91">
        <f t="shared" si="0"/>
        <v>1.3333333333333334E-2</v>
      </c>
      <c r="I12" s="249"/>
      <c r="J12" s="124"/>
      <c r="K12" s="91"/>
    </row>
    <row r="13" spans="1:11" ht="15.75" x14ac:dyDescent="0.25">
      <c r="A13" s="23">
        <v>10</v>
      </c>
      <c r="B13" s="26" t="s">
        <v>172</v>
      </c>
      <c r="C13" s="287">
        <v>40</v>
      </c>
      <c r="D13" s="253">
        <v>0</v>
      </c>
      <c r="E13" s="91">
        <f t="shared" si="1"/>
        <v>0</v>
      </c>
      <c r="F13" s="249">
        <v>45</v>
      </c>
      <c r="G13" s="124">
        <v>0</v>
      </c>
      <c r="H13" s="91">
        <f t="shared" si="0"/>
        <v>0</v>
      </c>
      <c r="I13" s="249"/>
      <c r="J13" s="124"/>
      <c r="K13" s="91"/>
    </row>
    <row r="14" spans="1:11" ht="15.75" x14ac:dyDescent="0.25">
      <c r="A14" s="23">
        <v>11</v>
      </c>
      <c r="B14" s="26" t="s">
        <v>147</v>
      </c>
      <c r="C14" s="287">
        <v>176</v>
      </c>
      <c r="D14" s="253">
        <v>0</v>
      </c>
      <c r="E14" s="91">
        <f t="shared" si="1"/>
        <v>0</v>
      </c>
      <c r="F14" s="249">
        <v>243</v>
      </c>
      <c r="G14" s="124">
        <v>1</v>
      </c>
      <c r="H14" s="91">
        <f t="shared" si="0"/>
        <v>4.11522633744856E-3</v>
      </c>
      <c r="I14" s="249">
        <v>59</v>
      </c>
      <c r="J14" s="124">
        <v>0</v>
      </c>
      <c r="K14" s="91">
        <f t="shared" si="2"/>
        <v>0</v>
      </c>
    </row>
    <row r="15" spans="1:11" ht="25.5" x14ac:dyDescent="0.25">
      <c r="A15" s="23">
        <v>12</v>
      </c>
      <c r="B15" s="26" t="s">
        <v>178</v>
      </c>
      <c r="C15" s="287">
        <v>103</v>
      </c>
      <c r="D15" s="253">
        <v>0</v>
      </c>
      <c r="E15" s="91">
        <f t="shared" si="1"/>
        <v>0</v>
      </c>
      <c r="F15" s="249">
        <v>140</v>
      </c>
      <c r="G15" s="124">
        <v>0</v>
      </c>
      <c r="H15" s="91">
        <f t="shared" si="0"/>
        <v>0</v>
      </c>
      <c r="I15" s="249">
        <v>24</v>
      </c>
      <c r="J15" s="124">
        <v>0</v>
      </c>
      <c r="K15" s="91">
        <f t="shared" si="2"/>
        <v>0</v>
      </c>
    </row>
    <row r="16" spans="1:11" ht="15.75" x14ac:dyDescent="0.25">
      <c r="A16" s="23">
        <v>13</v>
      </c>
      <c r="B16" s="26" t="s">
        <v>148</v>
      </c>
      <c r="C16" s="287">
        <v>89</v>
      </c>
      <c r="D16" s="253">
        <v>0</v>
      </c>
      <c r="E16" s="91">
        <f t="shared" si="1"/>
        <v>0</v>
      </c>
      <c r="F16" s="249">
        <v>99</v>
      </c>
      <c r="G16" s="124">
        <v>0</v>
      </c>
      <c r="H16" s="91">
        <f t="shared" si="0"/>
        <v>0</v>
      </c>
      <c r="I16" s="249">
        <v>28</v>
      </c>
      <c r="J16" s="124">
        <v>0</v>
      </c>
      <c r="K16" s="91">
        <f t="shared" si="2"/>
        <v>0</v>
      </c>
    </row>
    <row r="17" spans="1:11" ht="15.75" x14ac:dyDescent="0.25">
      <c r="A17" s="23">
        <v>14</v>
      </c>
      <c r="B17" s="26" t="s">
        <v>173</v>
      </c>
      <c r="C17" s="287">
        <v>64</v>
      </c>
      <c r="D17" s="253">
        <v>0</v>
      </c>
      <c r="E17" s="91">
        <f t="shared" si="1"/>
        <v>0</v>
      </c>
      <c r="F17" s="249">
        <v>83</v>
      </c>
      <c r="G17" s="124">
        <v>0</v>
      </c>
      <c r="H17" s="91">
        <f t="shared" si="0"/>
        <v>0</v>
      </c>
      <c r="I17" s="249"/>
      <c r="J17" s="124"/>
      <c r="K17" s="91"/>
    </row>
    <row r="18" spans="1:11" ht="15.75" x14ac:dyDescent="0.25">
      <c r="A18" s="23">
        <v>15</v>
      </c>
      <c r="B18" s="26" t="s">
        <v>149</v>
      </c>
      <c r="C18" s="287">
        <v>66</v>
      </c>
      <c r="D18" s="253">
        <v>0</v>
      </c>
      <c r="E18" s="91">
        <f t="shared" si="1"/>
        <v>0</v>
      </c>
      <c r="F18" s="249">
        <v>71</v>
      </c>
      <c r="G18" s="124">
        <v>0</v>
      </c>
      <c r="H18" s="91">
        <f t="shared" si="0"/>
        <v>0</v>
      </c>
      <c r="I18" s="249">
        <v>7</v>
      </c>
      <c r="J18" s="124">
        <v>0</v>
      </c>
      <c r="K18" s="91">
        <f t="shared" si="2"/>
        <v>0</v>
      </c>
    </row>
    <row r="19" spans="1:11" ht="15.75" x14ac:dyDescent="0.25">
      <c r="A19" s="23">
        <v>16</v>
      </c>
      <c r="B19" s="26" t="s">
        <v>150</v>
      </c>
      <c r="C19" s="287">
        <v>194</v>
      </c>
      <c r="D19" s="253">
        <v>0</v>
      </c>
      <c r="E19" s="91">
        <f t="shared" si="1"/>
        <v>0</v>
      </c>
      <c r="F19" s="249">
        <v>194</v>
      </c>
      <c r="G19" s="124">
        <v>0</v>
      </c>
      <c r="H19" s="91">
        <f t="shared" si="0"/>
        <v>0</v>
      </c>
      <c r="I19" s="249">
        <v>32</v>
      </c>
      <c r="J19" s="124">
        <v>0</v>
      </c>
      <c r="K19" s="91">
        <f t="shared" si="2"/>
        <v>0</v>
      </c>
    </row>
    <row r="20" spans="1:11" ht="15.75" x14ac:dyDescent="0.25">
      <c r="A20" s="23">
        <v>17</v>
      </c>
      <c r="B20" s="26" t="s">
        <v>151</v>
      </c>
      <c r="C20" s="287">
        <v>105</v>
      </c>
      <c r="D20" s="253">
        <v>2</v>
      </c>
      <c r="E20" s="91">
        <f t="shared" si="1"/>
        <v>1.9047619047619049E-2</v>
      </c>
      <c r="F20" s="249">
        <v>196</v>
      </c>
      <c r="G20" s="124">
        <v>2</v>
      </c>
      <c r="H20" s="91">
        <f t="shared" si="0"/>
        <v>1.020408163265306E-2</v>
      </c>
      <c r="I20" s="249">
        <v>25</v>
      </c>
      <c r="J20" s="124">
        <v>0</v>
      </c>
      <c r="K20" s="91">
        <f t="shared" si="2"/>
        <v>0</v>
      </c>
    </row>
    <row r="21" spans="1:11" ht="15.75" x14ac:dyDescent="0.25">
      <c r="A21" s="23">
        <v>18</v>
      </c>
      <c r="B21" s="26" t="s">
        <v>152</v>
      </c>
      <c r="C21" s="287">
        <v>152</v>
      </c>
      <c r="D21" s="253">
        <v>2</v>
      </c>
      <c r="E21" s="91">
        <f t="shared" si="1"/>
        <v>1.3157894736842105E-2</v>
      </c>
      <c r="F21" s="249">
        <v>188</v>
      </c>
      <c r="G21" s="124">
        <v>9</v>
      </c>
      <c r="H21" s="91">
        <f t="shared" si="0"/>
        <v>4.7872340425531915E-2</v>
      </c>
      <c r="I21" s="249">
        <v>30</v>
      </c>
      <c r="J21" s="124">
        <v>0</v>
      </c>
      <c r="K21" s="91">
        <f t="shared" si="2"/>
        <v>0</v>
      </c>
    </row>
    <row r="22" spans="1:11" ht="15.75" x14ac:dyDescent="0.25">
      <c r="A22" s="23">
        <v>19</v>
      </c>
      <c r="B22" s="26" t="s">
        <v>153</v>
      </c>
      <c r="C22" s="287">
        <v>184</v>
      </c>
      <c r="D22" s="253">
        <v>0</v>
      </c>
      <c r="E22" s="91">
        <f t="shared" si="1"/>
        <v>0</v>
      </c>
      <c r="F22" s="249">
        <v>254</v>
      </c>
      <c r="G22" s="124">
        <v>0</v>
      </c>
      <c r="H22" s="91">
        <f t="shared" si="0"/>
        <v>0</v>
      </c>
      <c r="I22" s="249">
        <v>35</v>
      </c>
      <c r="J22" s="124">
        <v>0</v>
      </c>
      <c r="K22" s="91">
        <f t="shared" si="2"/>
        <v>0</v>
      </c>
    </row>
    <row r="23" spans="1:11" ht="15.75" x14ac:dyDescent="0.25">
      <c r="A23" s="23">
        <v>20</v>
      </c>
      <c r="B23" s="26" t="s">
        <v>154</v>
      </c>
      <c r="C23" s="287">
        <v>245</v>
      </c>
      <c r="D23" s="253">
        <v>2</v>
      </c>
      <c r="E23" s="91">
        <f t="shared" si="1"/>
        <v>8.1632653061224497E-3</v>
      </c>
      <c r="F23" s="249">
        <v>339</v>
      </c>
      <c r="G23" s="124">
        <v>12</v>
      </c>
      <c r="H23" s="91">
        <f t="shared" si="0"/>
        <v>3.5398230088495575E-2</v>
      </c>
      <c r="I23" s="249">
        <v>49</v>
      </c>
      <c r="J23" s="124">
        <v>0</v>
      </c>
      <c r="K23" s="91">
        <f t="shared" si="2"/>
        <v>0</v>
      </c>
    </row>
    <row r="24" spans="1:11" s="30" customFormat="1" ht="15.75" x14ac:dyDescent="0.25">
      <c r="A24" s="258">
        <v>21</v>
      </c>
      <c r="B24" s="26" t="s">
        <v>155</v>
      </c>
      <c r="C24" s="288">
        <v>281</v>
      </c>
      <c r="D24" s="253">
        <v>0</v>
      </c>
      <c r="E24" s="91">
        <f t="shared" si="1"/>
        <v>0</v>
      </c>
      <c r="F24" s="247">
        <v>281</v>
      </c>
      <c r="G24" s="124">
        <v>0</v>
      </c>
      <c r="H24" s="91">
        <f t="shared" si="0"/>
        <v>0</v>
      </c>
      <c r="I24" s="247">
        <v>281</v>
      </c>
      <c r="J24" s="124">
        <v>0</v>
      </c>
      <c r="K24" s="91">
        <f t="shared" si="2"/>
        <v>0</v>
      </c>
    </row>
    <row r="25" spans="1:11" ht="15.75" x14ac:dyDescent="0.25">
      <c r="A25" s="23">
        <v>22</v>
      </c>
      <c r="B25" s="26" t="s">
        <v>277</v>
      </c>
      <c r="C25" s="287">
        <v>141</v>
      </c>
      <c r="D25" s="253">
        <v>0</v>
      </c>
      <c r="E25" s="91">
        <f t="shared" si="1"/>
        <v>0</v>
      </c>
      <c r="F25" s="249">
        <v>142</v>
      </c>
      <c r="G25" s="124">
        <v>0</v>
      </c>
      <c r="H25" s="91">
        <f t="shared" si="0"/>
        <v>0</v>
      </c>
      <c r="I25" s="249">
        <v>29</v>
      </c>
      <c r="J25" s="124">
        <v>0</v>
      </c>
      <c r="K25" s="91">
        <f t="shared" si="2"/>
        <v>0</v>
      </c>
    </row>
    <row r="26" spans="1:11" ht="15.75" x14ac:dyDescent="0.25">
      <c r="A26" s="23">
        <v>23</v>
      </c>
      <c r="B26" s="26" t="s">
        <v>156</v>
      </c>
      <c r="C26" s="287">
        <v>78</v>
      </c>
      <c r="D26" s="253">
        <v>0</v>
      </c>
      <c r="E26" s="91">
        <f t="shared" si="1"/>
        <v>0</v>
      </c>
      <c r="F26" s="249">
        <v>94</v>
      </c>
      <c r="G26" s="124">
        <v>0</v>
      </c>
      <c r="H26" s="91">
        <f t="shared" si="0"/>
        <v>0</v>
      </c>
      <c r="I26" s="249">
        <v>27</v>
      </c>
      <c r="J26" s="124">
        <v>0</v>
      </c>
      <c r="K26" s="91">
        <f t="shared" si="2"/>
        <v>0</v>
      </c>
    </row>
    <row r="27" spans="1:11" ht="15.75" x14ac:dyDescent="0.25">
      <c r="A27" s="23">
        <v>24</v>
      </c>
      <c r="B27" s="26" t="s">
        <v>157</v>
      </c>
      <c r="C27" s="287">
        <v>109</v>
      </c>
      <c r="D27" s="253">
        <v>0</v>
      </c>
      <c r="E27" s="91">
        <f t="shared" si="1"/>
        <v>0</v>
      </c>
      <c r="F27" s="249">
        <v>192</v>
      </c>
      <c r="G27" s="124">
        <v>0.01</v>
      </c>
      <c r="H27" s="91">
        <f t="shared" si="0"/>
        <v>5.2083333333333337E-5</v>
      </c>
      <c r="I27" s="249">
        <v>43</v>
      </c>
      <c r="J27" s="124">
        <v>0</v>
      </c>
      <c r="K27" s="91">
        <f t="shared" si="2"/>
        <v>0</v>
      </c>
    </row>
    <row r="28" spans="1:11" ht="15.75" x14ac:dyDescent="0.25">
      <c r="A28" s="23">
        <v>25</v>
      </c>
      <c r="B28" s="26" t="s">
        <v>159</v>
      </c>
      <c r="C28" s="287">
        <v>107</v>
      </c>
      <c r="D28" s="253">
        <v>2</v>
      </c>
      <c r="E28" s="91">
        <f t="shared" si="1"/>
        <v>1.8691588785046728E-2</v>
      </c>
      <c r="F28" s="249">
        <v>125</v>
      </c>
      <c r="G28" s="124">
        <v>2</v>
      </c>
      <c r="H28" s="91">
        <f t="shared" si="0"/>
        <v>1.6E-2</v>
      </c>
      <c r="I28" s="249">
        <v>14</v>
      </c>
      <c r="J28" s="124">
        <v>0</v>
      </c>
      <c r="K28" s="91">
        <f t="shared" si="2"/>
        <v>0</v>
      </c>
    </row>
    <row r="29" spans="1:11" ht="15.75" x14ac:dyDescent="0.25">
      <c r="A29" s="258">
        <v>26</v>
      </c>
      <c r="B29" s="26" t="s">
        <v>160</v>
      </c>
      <c r="C29" s="290">
        <v>114</v>
      </c>
      <c r="D29" s="256">
        <v>1</v>
      </c>
      <c r="E29" s="91">
        <f t="shared" si="1"/>
        <v>8.771929824561403E-3</v>
      </c>
      <c r="F29" s="250">
        <v>267</v>
      </c>
      <c r="G29" s="269">
        <v>0</v>
      </c>
      <c r="H29" s="91">
        <f t="shared" si="0"/>
        <v>0</v>
      </c>
      <c r="I29" s="250">
        <v>63</v>
      </c>
      <c r="J29" s="269">
        <v>0</v>
      </c>
      <c r="K29" s="91">
        <f t="shared" si="2"/>
        <v>0</v>
      </c>
    </row>
    <row r="30" spans="1:11" ht="15.75" x14ac:dyDescent="0.25">
      <c r="A30" s="258">
        <v>27</v>
      </c>
      <c r="B30" s="26" t="s">
        <v>158</v>
      </c>
      <c r="C30" s="290">
        <v>450</v>
      </c>
      <c r="D30" s="256">
        <v>0</v>
      </c>
      <c r="E30" s="91">
        <f t="shared" si="1"/>
        <v>0</v>
      </c>
      <c r="F30" s="250">
        <v>218</v>
      </c>
      <c r="G30" s="269">
        <v>0</v>
      </c>
      <c r="H30" s="91">
        <f t="shared" si="0"/>
        <v>0</v>
      </c>
      <c r="I30" s="250">
        <v>219</v>
      </c>
      <c r="J30" s="269">
        <v>0</v>
      </c>
      <c r="K30" s="91">
        <f t="shared" si="2"/>
        <v>0</v>
      </c>
    </row>
    <row r="31" spans="1:11" ht="15.75" x14ac:dyDescent="0.25">
      <c r="A31" s="23">
        <v>28</v>
      </c>
      <c r="B31" s="26" t="s">
        <v>161</v>
      </c>
      <c r="C31" s="287">
        <v>161</v>
      </c>
      <c r="D31" s="253">
        <v>0</v>
      </c>
      <c r="E31" s="91">
        <f t="shared" si="1"/>
        <v>0</v>
      </c>
      <c r="F31" s="248">
        <v>181</v>
      </c>
      <c r="G31" s="124">
        <v>0</v>
      </c>
      <c r="H31" s="91">
        <f t="shared" si="0"/>
        <v>0</v>
      </c>
      <c r="I31" s="248">
        <v>23</v>
      </c>
      <c r="J31" s="124">
        <v>0</v>
      </c>
      <c r="K31" s="91">
        <f t="shared" si="2"/>
        <v>0</v>
      </c>
    </row>
    <row r="32" spans="1:11" ht="15.75" x14ac:dyDescent="0.25">
      <c r="A32" s="23">
        <v>29</v>
      </c>
      <c r="B32" s="26" t="s">
        <v>162</v>
      </c>
      <c r="C32" s="287">
        <v>366</v>
      </c>
      <c r="D32" s="253">
        <v>0</v>
      </c>
      <c r="E32" s="91">
        <f t="shared" si="1"/>
        <v>0</v>
      </c>
      <c r="F32" s="249">
        <v>322</v>
      </c>
      <c r="G32" s="124">
        <v>0</v>
      </c>
      <c r="H32" s="91">
        <f t="shared" si="0"/>
        <v>0</v>
      </c>
      <c r="I32" s="249">
        <v>32</v>
      </c>
      <c r="J32" s="124">
        <v>0</v>
      </c>
      <c r="K32" s="91">
        <f t="shared" si="2"/>
        <v>0</v>
      </c>
    </row>
    <row r="33" spans="1:11" ht="15.75" x14ac:dyDescent="0.25">
      <c r="A33" s="23">
        <v>30</v>
      </c>
      <c r="B33" s="26" t="s">
        <v>163</v>
      </c>
      <c r="C33" s="287">
        <v>133</v>
      </c>
      <c r="D33" s="253">
        <v>0</v>
      </c>
      <c r="E33" s="91">
        <f t="shared" si="1"/>
        <v>0</v>
      </c>
      <c r="F33" s="249">
        <v>172</v>
      </c>
      <c r="G33" s="124">
        <v>0</v>
      </c>
      <c r="H33" s="91">
        <f t="shared" si="0"/>
        <v>0</v>
      </c>
      <c r="I33" s="249">
        <v>28</v>
      </c>
      <c r="J33" s="124">
        <v>0</v>
      </c>
      <c r="K33" s="91">
        <f t="shared" si="2"/>
        <v>0</v>
      </c>
    </row>
    <row r="34" spans="1:11" ht="15.75" x14ac:dyDescent="0.25">
      <c r="A34" s="23">
        <v>31</v>
      </c>
      <c r="B34" s="26" t="s">
        <v>164</v>
      </c>
      <c r="C34" s="287">
        <v>86</v>
      </c>
      <c r="D34" s="253">
        <v>3</v>
      </c>
      <c r="E34" s="91">
        <f t="shared" si="1"/>
        <v>3.4883720930232558E-2</v>
      </c>
      <c r="F34" s="249">
        <v>106</v>
      </c>
      <c r="G34" s="124">
        <v>0</v>
      </c>
      <c r="H34" s="91">
        <f t="shared" si="0"/>
        <v>0</v>
      </c>
      <c r="I34" s="249">
        <v>29</v>
      </c>
      <c r="J34" s="124">
        <v>3</v>
      </c>
      <c r="K34" s="91">
        <f t="shared" si="2"/>
        <v>0.10344827586206896</v>
      </c>
    </row>
    <row r="35" spans="1:11" ht="15.75" x14ac:dyDescent="0.25">
      <c r="A35" s="23">
        <v>32</v>
      </c>
      <c r="B35" s="26" t="s">
        <v>165</v>
      </c>
      <c r="C35" s="287">
        <v>151</v>
      </c>
      <c r="D35" s="253">
        <v>1</v>
      </c>
      <c r="E35" s="91">
        <f t="shared" si="1"/>
        <v>6.6225165562913907E-3</v>
      </c>
      <c r="F35" s="249">
        <v>129</v>
      </c>
      <c r="G35" s="124">
        <v>3</v>
      </c>
      <c r="H35" s="91">
        <f t="shared" si="0"/>
        <v>2.3255813953488372E-2</v>
      </c>
      <c r="I35" s="249"/>
      <c r="J35" s="124"/>
      <c r="K35" s="91"/>
    </row>
    <row r="36" spans="1:11" ht="15.75" x14ac:dyDescent="0.25">
      <c r="A36" s="23">
        <v>33</v>
      </c>
      <c r="B36" s="26" t="s">
        <v>166</v>
      </c>
      <c r="C36" s="287">
        <v>104</v>
      </c>
      <c r="D36" s="253">
        <v>2</v>
      </c>
      <c r="E36" s="91">
        <f t="shared" si="1"/>
        <v>1.9230769230769232E-2</v>
      </c>
      <c r="F36" s="249">
        <v>87</v>
      </c>
      <c r="G36" s="124">
        <v>4</v>
      </c>
      <c r="H36" s="91">
        <f t="shared" si="0"/>
        <v>4.5977011494252873E-2</v>
      </c>
      <c r="I36" s="249">
        <v>13</v>
      </c>
      <c r="J36" s="124">
        <v>0</v>
      </c>
      <c r="K36" s="91">
        <f t="shared" si="2"/>
        <v>0</v>
      </c>
    </row>
    <row r="37" spans="1:11" ht="15.75" x14ac:dyDescent="0.25">
      <c r="A37" s="23">
        <v>34</v>
      </c>
      <c r="B37" s="26" t="s">
        <v>167</v>
      </c>
      <c r="C37" s="287">
        <v>139</v>
      </c>
      <c r="D37" s="253">
        <v>0</v>
      </c>
      <c r="E37" s="91">
        <f t="shared" si="1"/>
        <v>0</v>
      </c>
      <c r="F37" s="249">
        <v>179</v>
      </c>
      <c r="G37" s="124">
        <v>0</v>
      </c>
      <c r="H37" s="91">
        <f t="shared" si="0"/>
        <v>0</v>
      </c>
      <c r="I37" s="249">
        <v>27</v>
      </c>
      <c r="J37" s="124">
        <v>0</v>
      </c>
      <c r="K37" s="91">
        <f t="shared" si="2"/>
        <v>0</v>
      </c>
    </row>
    <row r="38" spans="1:11" ht="15.75" x14ac:dyDescent="0.25">
      <c r="A38" s="23">
        <v>35</v>
      </c>
      <c r="B38" s="26" t="s">
        <v>168</v>
      </c>
      <c r="C38" s="287">
        <v>141</v>
      </c>
      <c r="D38" s="253">
        <v>1</v>
      </c>
      <c r="E38" s="91">
        <f t="shared" si="1"/>
        <v>7.0921985815602835E-3</v>
      </c>
      <c r="F38" s="249">
        <v>173</v>
      </c>
      <c r="G38" s="124">
        <v>0</v>
      </c>
      <c r="H38" s="91">
        <f t="shared" si="0"/>
        <v>0</v>
      </c>
      <c r="I38" s="249">
        <v>24</v>
      </c>
      <c r="J38" s="124">
        <v>0</v>
      </c>
      <c r="K38" s="91">
        <f t="shared" si="2"/>
        <v>0</v>
      </c>
    </row>
    <row r="39" spans="1:11" s="30" customFormat="1" ht="15.75" x14ac:dyDescent="0.25">
      <c r="A39" s="125">
        <v>36</v>
      </c>
      <c r="B39" s="87" t="s">
        <v>169</v>
      </c>
      <c r="C39" s="287">
        <v>64</v>
      </c>
      <c r="D39" s="253">
        <v>0</v>
      </c>
      <c r="E39" s="91">
        <f t="shared" si="1"/>
        <v>0</v>
      </c>
      <c r="F39" s="249">
        <v>89</v>
      </c>
      <c r="G39" s="124">
        <v>0</v>
      </c>
      <c r="H39" s="91">
        <f t="shared" si="0"/>
        <v>0</v>
      </c>
      <c r="I39" s="249">
        <v>27</v>
      </c>
      <c r="J39" s="124">
        <v>0</v>
      </c>
      <c r="K39" s="91">
        <f t="shared" si="2"/>
        <v>0</v>
      </c>
    </row>
    <row r="40" spans="1:11" ht="15.75" x14ac:dyDescent="0.25">
      <c r="A40" s="23">
        <v>37</v>
      </c>
      <c r="B40" s="26" t="s">
        <v>170</v>
      </c>
      <c r="C40" s="287">
        <v>386</v>
      </c>
      <c r="D40" s="253">
        <v>4</v>
      </c>
      <c r="E40" s="91">
        <f t="shared" si="1"/>
        <v>1.0362694300518135E-2</v>
      </c>
      <c r="F40" s="249">
        <v>492</v>
      </c>
      <c r="G40" s="270">
        <v>0</v>
      </c>
      <c r="H40" s="91">
        <f t="shared" si="0"/>
        <v>0</v>
      </c>
      <c r="I40" s="249">
        <v>84</v>
      </c>
      <c r="J40" s="270">
        <v>0</v>
      </c>
      <c r="K40" s="91">
        <f t="shared" si="2"/>
        <v>0</v>
      </c>
    </row>
    <row r="41" spans="1:11" s="30" customFormat="1" ht="15.75" x14ac:dyDescent="0.25">
      <c r="A41" s="151">
        <v>38</v>
      </c>
      <c r="B41" s="152" t="s">
        <v>171</v>
      </c>
      <c r="C41" s="251">
        <v>72</v>
      </c>
      <c r="D41" s="257">
        <v>0</v>
      </c>
      <c r="E41" s="91">
        <f t="shared" si="1"/>
        <v>0</v>
      </c>
      <c r="F41" s="251">
        <v>83</v>
      </c>
      <c r="G41" s="271">
        <v>0</v>
      </c>
      <c r="H41" s="91">
        <f>(G41/F41)*1</f>
        <v>0</v>
      </c>
      <c r="I41" s="251">
        <v>16</v>
      </c>
      <c r="J41" s="271">
        <v>0</v>
      </c>
      <c r="K41" s="91">
        <f t="shared" si="2"/>
        <v>0</v>
      </c>
    </row>
    <row r="42" spans="1:11" ht="15.75" thickBot="1" x14ac:dyDescent="0.3">
      <c r="A42" s="649" t="s">
        <v>118</v>
      </c>
      <c r="B42" s="650"/>
      <c r="C42" s="433">
        <f>SUM(C4:C41)</f>
        <v>6158</v>
      </c>
      <c r="D42" s="433">
        <f>SUM(D4:D41)</f>
        <v>21</v>
      </c>
      <c r="E42" s="434">
        <f>AVERAGE(E4:E41)</f>
        <v>4.103294405225613E-3</v>
      </c>
      <c r="F42" s="433">
        <f>SUM(F4:F41)</f>
        <v>7354</v>
      </c>
      <c r="G42" s="433">
        <f>SUM(G4:G41)</f>
        <v>38.010000000000005</v>
      </c>
      <c r="H42" s="434">
        <f>AVERAGE(H4:H41)</f>
        <v>5.3654122048609858E-3</v>
      </c>
      <c r="I42" s="433">
        <f>SUM(I4:I41)</f>
        <v>1614</v>
      </c>
      <c r="J42" s="433">
        <f>SUM(J4:J41)</f>
        <v>6</v>
      </c>
      <c r="K42" s="434">
        <f>AVERAGE(K4:K41)</f>
        <v>3.916213122326432E-3</v>
      </c>
    </row>
    <row r="43" spans="1:11" x14ac:dyDescent="0.25">
      <c r="A43" s="16"/>
      <c r="B43" s="16"/>
      <c r="C43" s="88"/>
      <c r="D43" s="88"/>
      <c r="E43" s="16"/>
      <c r="F43" s="16"/>
      <c r="G43" s="16"/>
      <c r="H43" s="89"/>
      <c r="I43" s="89"/>
      <c r="J43" s="89"/>
      <c r="K43" s="89"/>
    </row>
    <row r="44" spans="1:11" ht="15.75" thickBot="1" x14ac:dyDescent="0.3">
      <c r="A44" s="16"/>
      <c r="B44" s="16"/>
      <c r="C44" s="260"/>
      <c r="D44" s="260"/>
      <c r="E44" s="261"/>
      <c r="F44" s="89"/>
      <c r="G44" s="89"/>
      <c r="H44" s="89"/>
      <c r="I44" s="89"/>
      <c r="J44" s="89"/>
      <c r="K44" s="89"/>
    </row>
    <row r="45" spans="1:11" ht="25.5" x14ac:dyDescent="0.25">
      <c r="A45" s="196">
        <v>1</v>
      </c>
      <c r="B45" s="197" t="s">
        <v>174</v>
      </c>
      <c r="C45" s="294">
        <v>151</v>
      </c>
      <c r="D45" s="262">
        <v>0</v>
      </c>
      <c r="E45" s="305">
        <v>0</v>
      </c>
      <c r="F45" s="263"/>
      <c r="G45" s="263"/>
      <c r="H45" s="263"/>
      <c r="I45" s="263"/>
      <c r="J45" s="263"/>
      <c r="K45" s="264"/>
    </row>
    <row r="46" spans="1:11" ht="25.5" x14ac:dyDescent="0.25">
      <c r="A46" s="23">
        <v>2</v>
      </c>
      <c r="B46" s="26" t="s">
        <v>175</v>
      </c>
      <c r="C46" s="286">
        <v>121</v>
      </c>
      <c r="D46" s="123">
        <v>0</v>
      </c>
      <c r="E46" s="90">
        <f t="shared" ref="E46" si="3">D46/C46</f>
        <v>0</v>
      </c>
      <c r="F46" s="39"/>
      <c r="G46" s="39"/>
      <c r="H46" s="39"/>
      <c r="I46" s="39"/>
      <c r="J46" s="39"/>
      <c r="K46" s="265"/>
    </row>
    <row r="47" spans="1:11" s="30" customFormat="1" ht="25.5" x14ac:dyDescent="0.25">
      <c r="A47" s="125">
        <v>3</v>
      </c>
      <c r="B47" s="87" t="s">
        <v>176</v>
      </c>
      <c r="C47" s="286">
        <v>73</v>
      </c>
      <c r="D47" s="259">
        <v>0</v>
      </c>
      <c r="E47" s="306">
        <v>0</v>
      </c>
      <c r="F47" s="97"/>
      <c r="G47" s="97"/>
      <c r="H47" s="97"/>
      <c r="I47" s="97"/>
      <c r="J47" s="97"/>
      <c r="K47" s="266"/>
    </row>
    <row r="48" spans="1:11" ht="15.75" thickBot="1" x14ac:dyDescent="0.3">
      <c r="A48" s="649" t="s">
        <v>118</v>
      </c>
      <c r="B48" s="650"/>
      <c r="C48" s="433">
        <f>SUM(C45:C47)</f>
        <v>345</v>
      </c>
      <c r="D48" s="433">
        <f>SUM(D45:D47)</f>
        <v>0</v>
      </c>
      <c r="E48" s="434">
        <f>AVERAGE(E45:E47)</f>
        <v>0</v>
      </c>
      <c r="F48" s="267"/>
      <c r="G48" s="267"/>
      <c r="H48" s="267"/>
      <c r="I48" s="267"/>
      <c r="J48" s="267"/>
      <c r="K48" s="268"/>
    </row>
  </sheetData>
  <sheetProtection algorithmName="SHA-512" hashValue="S+FRPGfwJKzpwIWYsl0OjeRszbKOuverhBd08ouB6eAO2/eOhEDVfqZ4NU3XEeyW46RNRYnh84Z9EHQiClQM5A==" saltValue="x/GHOed9W7toN35ikKZjjQ==" spinCount="100000" sheet="1" objects="1" selectLockedCells="1" selectUnlockedCells="1"/>
  <mergeCells count="3">
    <mergeCell ref="A48:B48"/>
    <mergeCell ref="A42:B42"/>
    <mergeCell ref="C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H49"/>
  <sheetViews>
    <sheetView topLeftCell="A2" zoomScale="68" zoomScaleNormal="68" workbookViewId="0">
      <pane xSplit="2" ySplit="2" topLeftCell="CN10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RowHeight="15" x14ac:dyDescent="0.25"/>
  <cols>
    <col min="1" max="1" width="4.7109375" style="317" bestFit="1" customWidth="1"/>
    <col min="2" max="2" width="38.85546875" style="317" customWidth="1"/>
    <col min="3" max="3" width="9.5703125" style="318" customWidth="1"/>
    <col min="4" max="194" width="9.140625" style="317"/>
    <col min="195" max="195" width="9.140625" style="317" customWidth="1"/>
    <col min="196" max="196" width="9.140625" style="317"/>
    <col min="197" max="197" width="11.28515625" style="317" customWidth="1"/>
    <col min="198" max="199" width="9.140625" style="317"/>
    <col min="200" max="200" width="11.5703125" style="317" customWidth="1"/>
    <col min="201" max="202" width="9.140625" style="317"/>
    <col min="203" max="203" width="10.42578125" style="317" customWidth="1"/>
    <col min="204" max="205" width="9.140625" style="317"/>
    <col min="206" max="206" width="12.140625" style="317" customWidth="1"/>
  </cols>
  <sheetData>
    <row r="1" spans="1:398" ht="18.75" hidden="1" customHeight="1" x14ac:dyDescent="0.3">
      <c r="A1" s="656" t="s">
        <v>218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656"/>
      <c r="AK1" s="656"/>
      <c r="AL1" s="656"/>
      <c r="AM1" s="656"/>
      <c r="AN1" s="656"/>
      <c r="AO1" s="656"/>
      <c r="AP1" s="656"/>
      <c r="AQ1" s="656"/>
      <c r="AR1" s="656"/>
      <c r="AS1" s="656"/>
      <c r="AT1" s="656"/>
      <c r="AU1" s="656"/>
      <c r="AV1" s="656"/>
      <c r="AW1" s="656"/>
      <c r="AX1" s="656"/>
      <c r="AY1" s="656"/>
      <c r="AZ1" s="656"/>
      <c r="BA1" s="656"/>
      <c r="BB1" s="656"/>
      <c r="BC1" s="656"/>
      <c r="BD1" s="656"/>
      <c r="BE1" s="656"/>
      <c r="BF1" s="656"/>
      <c r="BG1" s="656"/>
      <c r="BH1" s="656"/>
      <c r="BI1" s="656"/>
      <c r="BJ1" s="656"/>
      <c r="BK1" s="656"/>
      <c r="BL1" s="656"/>
      <c r="BM1" s="656"/>
      <c r="BN1" s="656"/>
      <c r="BO1" s="656"/>
      <c r="BP1" s="656"/>
      <c r="BQ1" s="656"/>
      <c r="BR1" s="656"/>
      <c r="BS1" s="656"/>
      <c r="BT1" s="656"/>
      <c r="BU1" s="656"/>
      <c r="BV1" s="656"/>
      <c r="BW1" s="656"/>
      <c r="BX1" s="656"/>
      <c r="BY1" s="656"/>
      <c r="BZ1" s="656"/>
      <c r="CA1" s="656"/>
      <c r="CB1" s="656"/>
      <c r="CC1" s="656"/>
      <c r="CD1" s="656"/>
      <c r="CE1" s="656"/>
      <c r="CF1" s="656"/>
      <c r="CG1" s="656"/>
      <c r="CH1" s="656"/>
      <c r="CI1" s="656"/>
      <c r="CJ1" s="656"/>
      <c r="CK1" s="656"/>
      <c r="CL1" s="656"/>
      <c r="CM1" s="656"/>
      <c r="CN1" s="656"/>
      <c r="CO1" s="656"/>
      <c r="CP1" s="656"/>
      <c r="CQ1" s="656"/>
      <c r="CR1" s="656"/>
      <c r="CS1" s="656"/>
      <c r="CT1" s="656"/>
      <c r="CU1" s="656"/>
      <c r="CV1" s="656"/>
      <c r="CW1" s="656"/>
      <c r="CX1" s="656"/>
      <c r="CY1" s="656"/>
      <c r="CZ1" s="656"/>
      <c r="DA1" s="656"/>
      <c r="DB1" s="656"/>
      <c r="DC1" s="656"/>
      <c r="DD1" s="656"/>
      <c r="DE1" s="656"/>
      <c r="DF1" s="656"/>
      <c r="DG1" s="656"/>
      <c r="DH1" s="656"/>
      <c r="DI1" s="656"/>
      <c r="DJ1" s="656"/>
      <c r="DK1" s="656"/>
      <c r="DL1" s="656"/>
      <c r="DM1" s="656"/>
      <c r="DN1" s="656"/>
      <c r="DO1" s="656"/>
      <c r="DP1" s="656"/>
      <c r="DQ1" s="656"/>
      <c r="DR1" s="656"/>
      <c r="DS1" s="656"/>
      <c r="DT1" s="656"/>
      <c r="DU1" s="656"/>
      <c r="DV1" s="656"/>
      <c r="DW1" s="656"/>
      <c r="DX1" s="656"/>
      <c r="DY1" s="656"/>
      <c r="DZ1" s="656"/>
      <c r="EA1" s="656"/>
      <c r="EB1" s="656"/>
      <c r="EC1" s="656"/>
      <c r="ED1" s="656"/>
      <c r="EE1" s="656"/>
      <c r="EF1" s="656"/>
      <c r="EG1" s="656"/>
      <c r="EH1" s="656"/>
      <c r="EI1" s="656"/>
      <c r="EJ1" s="656"/>
      <c r="EK1" s="656"/>
      <c r="EL1" s="656"/>
      <c r="EM1" s="656"/>
      <c r="EN1" s="656"/>
      <c r="EO1" s="656"/>
      <c r="EP1" s="656"/>
      <c r="EQ1" s="656"/>
      <c r="ER1" s="656"/>
      <c r="ES1" s="656"/>
      <c r="ET1" s="656"/>
      <c r="EU1" s="656"/>
      <c r="EV1" s="656"/>
      <c r="EW1" s="656"/>
      <c r="EX1" s="656"/>
      <c r="EY1" s="656"/>
      <c r="EZ1" s="656"/>
      <c r="FA1" s="656"/>
      <c r="FB1" s="656"/>
      <c r="FC1" s="656"/>
      <c r="FD1" s="656"/>
      <c r="FE1" s="656"/>
      <c r="FF1" s="656"/>
      <c r="FG1" s="656"/>
      <c r="FH1" s="656"/>
      <c r="FI1" s="656"/>
      <c r="FJ1" s="656"/>
      <c r="FK1" s="656"/>
      <c r="FL1" s="656"/>
      <c r="FM1" s="656"/>
      <c r="FN1" s="656"/>
      <c r="FO1" s="656"/>
      <c r="FP1" s="656"/>
      <c r="FQ1" s="656"/>
      <c r="FR1" s="656"/>
      <c r="FS1" s="656"/>
      <c r="FT1" s="656"/>
      <c r="FU1" s="656"/>
      <c r="FV1" s="656"/>
      <c r="FW1" s="656"/>
      <c r="FX1" s="656"/>
      <c r="FY1" s="656"/>
      <c r="FZ1" s="656"/>
      <c r="GA1" s="656"/>
      <c r="GB1" s="656"/>
      <c r="GC1" s="656"/>
      <c r="GD1" s="656"/>
      <c r="GE1" s="656"/>
      <c r="GF1" s="656"/>
      <c r="GG1" s="656"/>
      <c r="GH1" s="656"/>
      <c r="GI1" s="656"/>
      <c r="GJ1" s="656"/>
      <c r="GK1" s="656"/>
      <c r="GL1" s="656"/>
      <c r="GM1" s="656"/>
      <c r="GN1" s="656"/>
      <c r="GO1" s="656"/>
      <c r="GP1" s="656"/>
      <c r="GQ1" s="656"/>
      <c r="GR1" s="656"/>
      <c r="GS1" s="656"/>
      <c r="GT1" s="656"/>
      <c r="GU1" s="656"/>
      <c r="GV1" s="656"/>
      <c r="GW1" s="656"/>
      <c r="GX1" s="656"/>
    </row>
    <row r="2" spans="1:398" s="29" customFormat="1" ht="31.5" customHeight="1" x14ac:dyDescent="0.25">
      <c r="A2" s="660" t="s">
        <v>219</v>
      </c>
      <c r="B2" s="658" t="s">
        <v>4</v>
      </c>
      <c r="C2" s="664" t="s">
        <v>220</v>
      </c>
      <c r="D2" s="665"/>
      <c r="E2" s="665"/>
      <c r="F2" s="665"/>
      <c r="G2" s="665"/>
      <c r="H2" s="665"/>
      <c r="I2" s="665"/>
      <c r="J2" s="666"/>
      <c r="K2" s="664" t="s">
        <v>221</v>
      </c>
      <c r="L2" s="665"/>
      <c r="M2" s="665"/>
      <c r="N2" s="665"/>
      <c r="O2" s="665"/>
      <c r="P2" s="665"/>
      <c r="Q2" s="665"/>
      <c r="R2" s="666"/>
      <c r="S2" s="664" t="s">
        <v>222</v>
      </c>
      <c r="T2" s="665"/>
      <c r="U2" s="665"/>
      <c r="V2" s="665"/>
      <c r="W2" s="665"/>
      <c r="X2" s="665"/>
      <c r="Y2" s="665"/>
      <c r="Z2" s="666"/>
      <c r="AA2" s="309"/>
      <c r="AB2" s="657" t="s">
        <v>223</v>
      </c>
      <c r="AC2" s="657"/>
      <c r="AD2" s="657"/>
      <c r="AE2" s="657"/>
      <c r="AF2" s="657"/>
      <c r="AG2" s="657"/>
      <c r="AH2" s="657"/>
      <c r="AI2" s="309"/>
      <c r="AJ2" s="657" t="s">
        <v>224</v>
      </c>
      <c r="AK2" s="657"/>
      <c r="AL2" s="657"/>
      <c r="AM2" s="657"/>
      <c r="AN2" s="657"/>
      <c r="AO2" s="657"/>
      <c r="AP2" s="657"/>
      <c r="AQ2" s="664" t="s">
        <v>225</v>
      </c>
      <c r="AR2" s="665"/>
      <c r="AS2" s="665"/>
      <c r="AT2" s="665"/>
      <c r="AU2" s="665"/>
      <c r="AV2" s="665"/>
      <c r="AW2" s="665"/>
      <c r="AX2" s="666"/>
      <c r="AY2" s="309"/>
      <c r="AZ2" s="657" t="s">
        <v>226</v>
      </c>
      <c r="BA2" s="657"/>
      <c r="BB2" s="657"/>
      <c r="BC2" s="657"/>
      <c r="BD2" s="657"/>
      <c r="BE2" s="657"/>
      <c r="BF2" s="657"/>
      <c r="BG2" s="309"/>
      <c r="BH2" s="657" t="s">
        <v>227</v>
      </c>
      <c r="BI2" s="657"/>
      <c r="BJ2" s="657"/>
      <c r="BK2" s="657"/>
      <c r="BL2" s="657"/>
      <c r="BM2" s="657"/>
      <c r="BN2" s="657"/>
      <c r="BO2" s="309"/>
      <c r="BP2" s="657" t="s">
        <v>228</v>
      </c>
      <c r="BQ2" s="657"/>
      <c r="BR2" s="657"/>
      <c r="BS2" s="657"/>
      <c r="BT2" s="657"/>
      <c r="BU2" s="657"/>
      <c r="BV2" s="657"/>
      <c r="BW2" s="664" t="s">
        <v>229</v>
      </c>
      <c r="BX2" s="665"/>
      <c r="BY2" s="665"/>
      <c r="BZ2" s="665"/>
      <c r="CA2" s="665"/>
      <c r="CB2" s="665"/>
      <c r="CC2" s="665"/>
      <c r="CD2" s="666"/>
      <c r="CE2" s="664" t="s">
        <v>230</v>
      </c>
      <c r="CF2" s="665"/>
      <c r="CG2" s="665"/>
      <c r="CH2" s="665"/>
      <c r="CI2" s="665"/>
      <c r="CJ2" s="665"/>
      <c r="CK2" s="665"/>
      <c r="CL2" s="666"/>
      <c r="CM2" s="675" t="s">
        <v>231</v>
      </c>
      <c r="CN2" s="676"/>
      <c r="CO2" s="676"/>
      <c r="CP2" s="676"/>
      <c r="CQ2" s="676"/>
      <c r="CR2" s="676"/>
      <c r="CS2" s="676"/>
      <c r="CT2" s="677"/>
      <c r="CU2" s="675" t="s">
        <v>232</v>
      </c>
      <c r="CV2" s="676"/>
      <c r="CW2" s="676"/>
      <c r="CX2" s="676"/>
      <c r="CY2" s="676"/>
      <c r="CZ2" s="676"/>
      <c r="DA2" s="676"/>
      <c r="DB2" s="677"/>
      <c r="DC2" s="664" t="s">
        <v>233</v>
      </c>
      <c r="DD2" s="665"/>
      <c r="DE2" s="665"/>
      <c r="DF2" s="665"/>
      <c r="DG2" s="665"/>
      <c r="DH2" s="665"/>
      <c r="DI2" s="665"/>
      <c r="DJ2" s="666"/>
      <c r="DK2" s="309"/>
      <c r="DL2" s="657" t="s">
        <v>234</v>
      </c>
      <c r="DM2" s="657"/>
      <c r="DN2" s="657"/>
      <c r="DO2" s="657"/>
      <c r="DP2" s="657"/>
      <c r="DQ2" s="657"/>
      <c r="DR2" s="657"/>
      <c r="DS2" s="664" t="s">
        <v>216</v>
      </c>
      <c r="DT2" s="665"/>
      <c r="DU2" s="665"/>
      <c r="DV2" s="665"/>
      <c r="DW2" s="665"/>
      <c r="DX2" s="665"/>
      <c r="DY2" s="665"/>
      <c r="DZ2" s="666"/>
      <c r="EA2" s="664" t="s">
        <v>235</v>
      </c>
      <c r="EB2" s="665"/>
      <c r="EC2" s="665"/>
      <c r="ED2" s="665"/>
      <c r="EE2" s="665"/>
      <c r="EF2" s="665"/>
      <c r="EG2" s="665"/>
      <c r="EH2" s="666"/>
      <c r="EI2" s="664" t="s">
        <v>236</v>
      </c>
      <c r="EJ2" s="665"/>
      <c r="EK2" s="665"/>
      <c r="EL2" s="665"/>
      <c r="EM2" s="665"/>
      <c r="EN2" s="665"/>
      <c r="EO2" s="665"/>
      <c r="EP2" s="666"/>
      <c r="EQ2" s="664" t="s">
        <v>237</v>
      </c>
      <c r="ER2" s="665"/>
      <c r="ES2" s="665"/>
      <c r="ET2" s="665"/>
      <c r="EU2" s="665"/>
      <c r="EV2" s="665"/>
      <c r="EW2" s="665"/>
      <c r="EX2" s="666"/>
      <c r="EY2" s="309"/>
      <c r="EZ2" s="657" t="s">
        <v>238</v>
      </c>
      <c r="FA2" s="657"/>
      <c r="FB2" s="657"/>
      <c r="FC2" s="657"/>
      <c r="FD2" s="657"/>
      <c r="FE2" s="657"/>
      <c r="FF2" s="657"/>
      <c r="FG2" s="664" t="s">
        <v>239</v>
      </c>
      <c r="FH2" s="665"/>
      <c r="FI2" s="665"/>
      <c r="FJ2" s="665"/>
      <c r="FK2" s="665"/>
      <c r="FL2" s="665"/>
      <c r="FM2" s="665"/>
      <c r="FN2" s="666"/>
      <c r="FO2" s="664" t="s">
        <v>240</v>
      </c>
      <c r="FP2" s="665"/>
      <c r="FQ2" s="665"/>
      <c r="FR2" s="665"/>
      <c r="FS2" s="665"/>
      <c r="FT2" s="665"/>
      <c r="FU2" s="665"/>
      <c r="FV2" s="666"/>
      <c r="FW2" s="664" t="s">
        <v>241</v>
      </c>
      <c r="FX2" s="665"/>
      <c r="FY2" s="665"/>
      <c r="FZ2" s="665"/>
      <c r="GA2" s="665"/>
      <c r="GB2" s="665"/>
      <c r="GC2" s="665"/>
      <c r="GD2" s="666"/>
      <c r="GE2" s="664" t="s">
        <v>242</v>
      </c>
      <c r="GF2" s="665"/>
      <c r="GG2" s="665"/>
      <c r="GH2" s="665"/>
      <c r="GI2" s="665"/>
      <c r="GJ2" s="665"/>
      <c r="GK2" s="665"/>
      <c r="GL2" s="666"/>
      <c r="GM2" s="670" t="s">
        <v>246</v>
      </c>
      <c r="GN2" s="671"/>
      <c r="GO2" s="671"/>
      <c r="GP2" s="671"/>
      <c r="GQ2" s="671"/>
      <c r="GR2" s="671"/>
      <c r="GS2" s="671"/>
      <c r="GT2" s="671"/>
      <c r="GU2" s="671"/>
      <c r="GV2" s="671"/>
      <c r="GW2" s="671"/>
      <c r="GX2" s="672"/>
    </row>
    <row r="3" spans="1:398" ht="34.5" customHeight="1" x14ac:dyDescent="0.25">
      <c r="A3" s="661"/>
      <c r="B3" s="659"/>
      <c r="C3" s="662" t="s">
        <v>51</v>
      </c>
      <c r="D3" s="663"/>
      <c r="E3" s="662" t="s">
        <v>99</v>
      </c>
      <c r="F3" s="663"/>
      <c r="G3" s="662" t="s">
        <v>52</v>
      </c>
      <c r="H3" s="663"/>
      <c r="I3" s="662" t="s">
        <v>53</v>
      </c>
      <c r="J3" s="663"/>
      <c r="K3" s="662" t="s">
        <v>51</v>
      </c>
      <c r="L3" s="663"/>
      <c r="M3" s="662" t="s">
        <v>99</v>
      </c>
      <c r="N3" s="663"/>
      <c r="O3" s="662" t="s">
        <v>52</v>
      </c>
      <c r="P3" s="663"/>
      <c r="Q3" s="662" t="s">
        <v>53</v>
      </c>
      <c r="R3" s="663"/>
      <c r="S3" s="662" t="s">
        <v>51</v>
      </c>
      <c r="T3" s="663"/>
      <c r="U3" s="662" t="s">
        <v>99</v>
      </c>
      <c r="V3" s="663"/>
      <c r="W3" s="662" t="s">
        <v>52</v>
      </c>
      <c r="X3" s="663"/>
      <c r="Y3" s="662" t="s">
        <v>53</v>
      </c>
      <c r="Z3" s="663"/>
      <c r="AA3" s="662" t="s">
        <v>51</v>
      </c>
      <c r="AB3" s="663"/>
      <c r="AC3" s="662" t="s">
        <v>99</v>
      </c>
      <c r="AD3" s="663"/>
      <c r="AE3" s="662" t="s">
        <v>52</v>
      </c>
      <c r="AF3" s="663"/>
      <c r="AG3" s="662" t="s">
        <v>53</v>
      </c>
      <c r="AH3" s="663"/>
      <c r="AI3" s="662" t="s">
        <v>51</v>
      </c>
      <c r="AJ3" s="663"/>
      <c r="AK3" s="662" t="s">
        <v>99</v>
      </c>
      <c r="AL3" s="663"/>
      <c r="AM3" s="662" t="s">
        <v>52</v>
      </c>
      <c r="AN3" s="663"/>
      <c r="AO3" s="662" t="s">
        <v>53</v>
      </c>
      <c r="AP3" s="663"/>
      <c r="AQ3" s="662" t="s">
        <v>51</v>
      </c>
      <c r="AR3" s="663"/>
      <c r="AS3" s="662" t="s">
        <v>99</v>
      </c>
      <c r="AT3" s="663"/>
      <c r="AU3" s="662" t="s">
        <v>52</v>
      </c>
      <c r="AV3" s="663"/>
      <c r="AW3" s="662" t="s">
        <v>53</v>
      </c>
      <c r="AX3" s="663"/>
      <c r="AY3" s="662" t="s">
        <v>51</v>
      </c>
      <c r="AZ3" s="663"/>
      <c r="BA3" s="662" t="s">
        <v>99</v>
      </c>
      <c r="BB3" s="663"/>
      <c r="BC3" s="662" t="s">
        <v>52</v>
      </c>
      <c r="BD3" s="663"/>
      <c r="BE3" s="662" t="s">
        <v>53</v>
      </c>
      <c r="BF3" s="663"/>
      <c r="BG3" s="662" t="s">
        <v>51</v>
      </c>
      <c r="BH3" s="663"/>
      <c r="BI3" s="662" t="s">
        <v>99</v>
      </c>
      <c r="BJ3" s="663"/>
      <c r="BK3" s="662" t="s">
        <v>52</v>
      </c>
      <c r="BL3" s="663"/>
      <c r="BM3" s="662" t="s">
        <v>53</v>
      </c>
      <c r="BN3" s="663"/>
      <c r="BO3" s="662" t="s">
        <v>51</v>
      </c>
      <c r="BP3" s="663"/>
      <c r="BQ3" s="662" t="s">
        <v>99</v>
      </c>
      <c r="BR3" s="663"/>
      <c r="BS3" s="662" t="s">
        <v>52</v>
      </c>
      <c r="BT3" s="663"/>
      <c r="BU3" s="662" t="s">
        <v>53</v>
      </c>
      <c r="BV3" s="663"/>
      <c r="BW3" s="662" t="s">
        <v>51</v>
      </c>
      <c r="BX3" s="663"/>
      <c r="BY3" s="662" t="s">
        <v>99</v>
      </c>
      <c r="BZ3" s="663"/>
      <c r="CA3" s="662" t="s">
        <v>52</v>
      </c>
      <c r="CB3" s="663"/>
      <c r="CC3" s="662" t="s">
        <v>53</v>
      </c>
      <c r="CD3" s="663"/>
      <c r="CE3" s="662" t="s">
        <v>51</v>
      </c>
      <c r="CF3" s="663"/>
      <c r="CG3" s="662" t="s">
        <v>99</v>
      </c>
      <c r="CH3" s="663"/>
      <c r="CI3" s="662" t="s">
        <v>52</v>
      </c>
      <c r="CJ3" s="663"/>
      <c r="CK3" s="662" t="s">
        <v>53</v>
      </c>
      <c r="CL3" s="663"/>
      <c r="CM3" s="673" t="s">
        <v>51</v>
      </c>
      <c r="CN3" s="674"/>
      <c r="CO3" s="673" t="s">
        <v>99</v>
      </c>
      <c r="CP3" s="674"/>
      <c r="CQ3" s="673" t="s">
        <v>52</v>
      </c>
      <c r="CR3" s="674"/>
      <c r="CS3" s="673" t="s">
        <v>53</v>
      </c>
      <c r="CT3" s="674"/>
      <c r="CU3" s="673" t="s">
        <v>51</v>
      </c>
      <c r="CV3" s="674"/>
      <c r="CW3" s="673" t="s">
        <v>99</v>
      </c>
      <c r="CX3" s="674"/>
      <c r="CY3" s="673" t="s">
        <v>52</v>
      </c>
      <c r="CZ3" s="674"/>
      <c r="DA3" s="673" t="s">
        <v>53</v>
      </c>
      <c r="DB3" s="674"/>
      <c r="DC3" s="662" t="s">
        <v>51</v>
      </c>
      <c r="DD3" s="663"/>
      <c r="DE3" s="662" t="s">
        <v>99</v>
      </c>
      <c r="DF3" s="663"/>
      <c r="DG3" s="662" t="s">
        <v>52</v>
      </c>
      <c r="DH3" s="663"/>
      <c r="DI3" s="662" t="s">
        <v>53</v>
      </c>
      <c r="DJ3" s="663"/>
      <c r="DK3" s="662" t="s">
        <v>51</v>
      </c>
      <c r="DL3" s="663"/>
      <c r="DM3" s="662" t="s">
        <v>99</v>
      </c>
      <c r="DN3" s="663"/>
      <c r="DO3" s="662" t="s">
        <v>52</v>
      </c>
      <c r="DP3" s="663"/>
      <c r="DQ3" s="662" t="s">
        <v>53</v>
      </c>
      <c r="DR3" s="663"/>
      <c r="DS3" s="662" t="s">
        <v>51</v>
      </c>
      <c r="DT3" s="663"/>
      <c r="DU3" s="662" t="s">
        <v>99</v>
      </c>
      <c r="DV3" s="663"/>
      <c r="DW3" s="662" t="s">
        <v>52</v>
      </c>
      <c r="DX3" s="663"/>
      <c r="DY3" s="662" t="s">
        <v>53</v>
      </c>
      <c r="DZ3" s="663"/>
      <c r="EA3" s="662" t="s">
        <v>51</v>
      </c>
      <c r="EB3" s="663"/>
      <c r="EC3" s="662" t="s">
        <v>99</v>
      </c>
      <c r="ED3" s="663"/>
      <c r="EE3" s="662" t="s">
        <v>52</v>
      </c>
      <c r="EF3" s="663"/>
      <c r="EG3" s="662" t="s">
        <v>53</v>
      </c>
      <c r="EH3" s="663"/>
      <c r="EI3" s="662" t="s">
        <v>51</v>
      </c>
      <c r="EJ3" s="663"/>
      <c r="EK3" s="662" t="s">
        <v>99</v>
      </c>
      <c r="EL3" s="663"/>
      <c r="EM3" s="662" t="s">
        <v>52</v>
      </c>
      <c r="EN3" s="663"/>
      <c r="EO3" s="662" t="s">
        <v>53</v>
      </c>
      <c r="EP3" s="663"/>
      <c r="EQ3" s="662" t="s">
        <v>51</v>
      </c>
      <c r="ER3" s="663"/>
      <c r="ES3" s="662" t="s">
        <v>99</v>
      </c>
      <c r="ET3" s="663"/>
      <c r="EU3" s="662" t="s">
        <v>52</v>
      </c>
      <c r="EV3" s="663"/>
      <c r="EW3" s="662" t="s">
        <v>53</v>
      </c>
      <c r="EX3" s="663"/>
      <c r="EY3" s="662" t="s">
        <v>51</v>
      </c>
      <c r="EZ3" s="663"/>
      <c r="FA3" s="662" t="s">
        <v>99</v>
      </c>
      <c r="FB3" s="663"/>
      <c r="FC3" s="662" t="s">
        <v>52</v>
      </c>
      <c r="FD3" s="663"/>
      <c r="FE3" s="662" t="s">
        <v>53</v>
      </c>
      <c r="FF3" s="663"/>
      <c r="FG3" s="662" t="s">
        <v>51</v>
      </c>
      <c r="FH3" s="663"/>
      <c r="FI3" s="662" t="s">
        <v>99</v>
      </c>
      <c r="FJ3" s="663"/>
      <c r="FK3" s="662" t="s">
        <v>52</v>
      </c>
      <c r="FL3" s="663"/>
      <c r="FM3" s="662" t="s">
        <v>53</v>
      </c>
      <c r="FN3" s="663"/>
      <c r="FO3" s="662" t="s">
        <v>51</v>
      </c>
      <c r="FP3" s="663"/>
      <c r="FQ3" s="662" t="s">
        <v>99</v>
      </c>
      <c r="FR3" s="663"/>
      <c r="FS3" s="662" t="s">
        <v>52</v>
      </c>
      <c r="FT3" s="663"/>
      <c r="FU3" s="662" t="s">
        <v>53</v>
      </c>
      <c r="FV3" s="663"/>
      <c r="FW3" s="662" t="s">
        <v>51</v>
      </c>
      <c r="FX3" s="663"/>
      <c r="FY3" s="662" t="s">
        <v>99</v>
      </c>
      <c r="FZ3" s="663"/>
      <c r="GA3" s="662" t="s">
        <v>52</v>
      </c>
      <c r="GB3" s="663"/>
      <c r="GC3" s="662" t="s">
        <v>53</v>
      </c>
      <c r="GD3" s="663"/>
      <c r="GE3" s="662" t="s">
        <v>51</v>
      </c>
      <c r="GF3" s="663"/>
      <c r="GG3" s="662" t="s">
        <v>99</v>
      </c>
      <c r="GH3" s="663"/>
      <c r="GI3" s="662" t="s">
        <v>52</v>
      </c>
      <c r="GJ3" s="663"/>
      <c r="GK3" s="662" t="s">
        <v>53</v>
      </c>
      <c r="GL3" s="663"/>
      <c r="GM3" s="667" t="s">
        <v>51</v>
      </c>
      <c r="GN3" s="668"/>
      <c r="GO3" s="669"/>
      <c r="GP3" s="667" t="s">
        <v>99</v>
      </c>
      <c r="GQ3" s="668"/>
      <c r="GR3" s="669"/>
      <c r="GS3" s="667" t="s">
        <v>52</v>
      </c>
      <c r="GT3" s="668"/>
      <c r="GU3" s="669"/>
      <c r="GV3" s="667" t="s">
        <v>53</v>
      </c>
      <c r="GW3" s="668"/>
      <c r="GX3" s="669"/>
    </row>
    <row r="4" spans="1:398" ht="38.25" customHeight="1" x14ac:dyDescent="0.25">
      <c r="A4" s="661"/>
      <c r="B4" s="659"/>
      <c r="C4" s="310" t="s">
        <v>243</v>
      </c>
      <c r="D4" s="310" t="s">
        <v>244</v>
      </c>
      <c r="E4" s="310" t="s">
        <v>243</v>
      </c>
      <c r="F4" s="310" t="s">
        <v>244</v>
      </c>
      <c r="G4" s="310" t="s">
        <v>243</v>
      </c>
      <c r="H4" s="310" t="s">
        <v>244</v>
      </c>
      <c r="I4" s="310" t="s">
        <v>243</v>
      </c>
      <c r="J4" s="310" t="s">
        <v>244</v>
      </c>
      <c r="K4" s="310" t="s">
        <v>243</v>
      </c>
      <c r="L4" s="310" t="s">
        <v>244</v>
      </c>
      <c r="M4" s="310" t="s">
        <v>243</v>
      </c>
      <c r="N4" s="310" t="s">
        <v>244</v>
      </c>
      <c r="O4" s="310" t="s">
        <v>243</v>
      </c>
      <c r="P4" s="310" t="s">
        <v>244</v>
      </c>
      <c r="Q4" s="310" t="s">
        <v>243</v>
      </c>
      <c r="R4" s="310" t="s">
        <v>244</v>
      </c>
      <c r="S4" s="310" t="s">
        <v>243</v>
      </c>
      <c r="T4" s="310" t="s">
        <v>244</v>
      </c>
      <c r="U4" s="310" t="s">
        <v>243</v>
      </c>
      <c r="V4" s="310" t="s">
        <v>244</v>
      </c>
      <c r="W4" s="310" t="s">
        <v>243</v>
      </c>
      <c r="X4" s="310" t="s">
        <v>244</v>
      </c>
      <c r="Y4" s="310" t="s">
        <v>243</v>
      </c>
      <c r="Z4" s="310" t="s">
        <v>244</v>
      </c>
      <c r="AA4" s="310" t="s">
        <v>243</v>
      </c>
      <c r="AB4" s="310" t="s">
        <v>244</v>
      </c>
      <c r="AC4" s="310" t="s">
        <v>243</v>
      </c>
      <c r="AD4" s="310" t="s">
        <v>244</v>
      </c>
      <c r="AE4" s="310" t="s">
        <v>243</v>
      </c>
      <c r="AF4" s="310" t="s">
        <v>244</v>
      </c>
      <c r="AG4" s="310" t="s">
        <v>243</v>
      </c>
      <c r="AH4" s="310" t="s">
        <v>244</v>
      </c>
      <c r="AI4" s="310" t="s">
        <v>243</v>
      </c>
      <c r="AJ4" s="310" t="s">
        <v>244</v>
      </c>
      <c r="AK4" s="310" t="s">
        <v>243</v>
      </c>
      <c r="AL4" s="310" t="s">
        <v>244</v>
      </c>
      <c r="AM4" s="310" t="s">
        <v>243</v>
      </c>
      <c r="AN4" s="310" t="s">
        <v>244</v>
      </c>
      <c r="AO4" s="310" t="s">
        <v>243</v>
      </c>
      <c r="AP4" s="310" t="s">
        <v>244</v>
      </c>
      <c r="AQ4" s="310" t="s">
        <v>243</v>
      </c>
      <c r="AR4" s="310" t="s">
        <v>244</v>
      </c>
      <c r="AS4" s="310" t="s">
        <v>243</v>
      </c>
      <c r="AT4" s="310" t="s">
        <v>244</v>
      </c>
      <c r="AU4" s="310" t="s">
        <v>243</v>
      </c>
      <c r="AV4" s="310" t="s">
        <v>244</v>
      </c>
      <c r="AW4" s="310" t="s">
        <v>243</v>
      </c>
      <c r="AX4" s="310" t="s">
        <v>244</v>
      </c>
      <c r="AY4" s="310" t="s">
        <v>243</v>
      </c>
      <c r="AZ4" s="310" t="s">
        <v>244</v>
      </c>
      <c r="BA4" s="310" t="s">
        <v>243</v>
      </c>
      <c r="BB4" s="310" t="s">
        <v>244</v>
      </c>
      <c r="BC4" s="310" t="s">
        <v>243</v>
      </c>
      <c r="BD4" s="310" t="s">
        <v>244</v>
      </c>
      <c r="BE4" s="310" t="s">
        <v>243</v>
      </c>
      <c r="BF4" s="310" t="s">
        <v>244</v>
      </c>
      <c r="BG4" s="310" t="s">
        <v>243</v>
      </c>
      <c r="BH4" s="310" t="s">
        <v>244</v>
      </c>
      <c r="BI4" s="310" t="s">
        <v>243</v>
      </c>
      <c r="BJ4" s="310" t="s">
        <v>244</v>
      </c>
      <c r="BK4" s="310" t="s">
        <v>243</v>
      </c>
      <c r="BL4" s="310" t="s">
        <v>244</v>
      </c>
      <c r="BM4" s="310" t="s">
        <v>243</v>
      </c>
      <c r="BN4" s="310" t="s">
        <v>244</v>
      </c>
      <c r="BO4" s="310" t="s">
        <v>243</v>
      </c>
      <c r="BP4" s="310" t="s">
        <v>244</v>
      </c>
      <c r="BQ4" s="310" t="s">
        <v>243</v>
      </c>
      <c r="BR4" s="310" t="s">
        <v>244</v>
      </c>
      <c r="BS4" s="310" t="s">
        <v>243</v>
      </c>
      <c r="BT4" s="310" t="s">
        <v>244</v>
      </c>
      <c r="BU4" s="310" t="s">
        <v>243</v>
      </c>
      <c r="BV4" s="310" t="s">
        <v>244</v>
      </c>
      <c r="BW4" s="310" t="s">
        <v>243</v>
      </c>
      <c r="BX4" s="310" t="s">
        <v>244</v>
      </c>
      <c r="BY4" s="310" t="s">
        <v>243</v>
      </c>
      <c r="BZ4" s="310" t="s">
        <v>244</v>
      </c>
      <c r="CA4" s="310" t="s">
        <v>243</v>
      </c>
      <c r="CB4" s="310" t="s">
        <v>244</v>
      </c>
      <c r="CC4" s="310" t="s">
        <v>243</v>
      </c>
      <c r="CD4" s="310" t="s">
        <v>244</v>
      </c>
      <c r="CE4" s="310" t="s">
        <v>243</v>
      </c>
      <c r="CF4" s="310" t="s">
        <v>244</v>
      </c>
      <c r="CG4" s="310" t="s">
        <v>243</v>
      </c>
      <c r="CH4" s="310" t="s">
        <v>244</v>
      </c>
      <c r="CI4" s="310" t="s">
        <v>243</v>
      </c>
      <c r="CJ4" s="310" t="s">
        <v>244</v>
      </c>
      <c r="CK4" s="310" t="s">
        <v>243</v>
      </c>
      <c r="CL4" s="310" t="s">
        <v>244</v>
      </c>
      <c r="CM4" s="311" t="s">
        <v>243</v>
      </c>
      <c r="CN4" s="311" t="s">
        <v>244</v>
      </c>
      <c r="CO4" s="311" t="s">
        <v>243</v>
      </c>
      <c r="CP4" s="311" t="s">
        <v>244</v>
      </c>
      <c r="CQ4" s="311" t="s">
        <v>243</v>
      </c>
      <c r="CR4" s="311" t="s">
        <v>244</v>
      </c>
      <c r="CS4" s="311" t="s">
        <v>243</v>
      </c>
      <c r="CT4" s="311" t="s">
        <v>244</v>
      </c>
      <c r="CU4" s="311" t="s">
        <v>243</v>
      </c>
      <c r="CV4" s="311" t="s">
        <v>244</v>
      </c>
      <c r="CW4" s="311" t="s">
        <v>243</v>
      </c>
      <c r="CX4" s="311" t="s">
        <v>244</v>
      </c>
      <c r="CY4" s="311" t="s">
        <v>243</v>
      </c>
      <c r="CZ4" s="311" t="s">
        <v>244</v>
      </c>
      <c r="DA4" s="311" t="s">
        <v>243</v>
      </c>
      <c r="DB4" s="311" t="s">
        <v>244</v>
      </c>
      <c r="DC4" s="310" t="s">
        <v>243</v>
      </c>
      <c r="DD4" s="310" t="s">
        <v>244</v>
      </c>
      <c r="DE4" s="310" t="s">
        <v>243</v>
      </c>
      <c r="DF4" s="310" t="s">
        <v>244</v>
      </c>
      <c r="DG4" s="310" t="s">
        <v>243</v>
      </c>
      <c r="DH4" s="310" t="s">
        <v>244</v>
      </c>
      <c r="DI4" s="310" t="s">
        <v>243</v>
      </c>
      <c r="DJ4" s="310" t="s">
        <v>244</v>
      </c>
      <c r="DK4" s="310" t="s">
        <v>243</v>
      </c>
      <c r="DL4" s="310" t="s">
        <v>244</v>
      </c>
      <c r="DM4" s="310" t="s">
        <v>243</v>
      </c>
      <c r="DN4" s="310" t="s">
        <v>244</v>
      </c>
      <c r="DO4" s="310" t="s">
        <v>243</v>
      </c>
      <c r="DP4" s="310" t="s">
        <v>244</v>
      </c>
      <c r="DQ4" s="310" t="s">
        <v>243</v>
      </c>
      <c r="DR4" s="310" t="s">
        <v>244</v>
      </c>
      <c r="DS4" s="310" t="s">
        <v>243</v>
      </c>
      <c r="DT4" s="310" t="s">
        <v>244</v>
      </c>
      <c r="DU4" s="310" t="s">
        <v>243</v>
      </c>
      <c r="DV4" s="310" t="s">
        <v>244</v>
      </c>
      <c r="DW4" s="310" t="s">
        <v>243</v>
      </c>
      <c r="DX4" s="310" t="s">
        <v>244</v>
      </c>
      <c r="DY4" s="310" t="s">
        <v>243</v>
      </c>
      <c r="DZ4" s="310" t="s">
        <v>244</v>
      </c>
      <c r="EA4" s="310" t="s">
        <v>243</v>
      </c>
      <c r="EB4" s="310" t="s">
        <v>244</v>
      </c>
      <c r="EC4" s="310" t="s">
        <v>243</v>
      </c>
      <c r="ED4" s="310" t="s">
        <v>244</v>
      </c>
      <c r="EE4" s="310" t="s">
        <v>243</v>
      </c>
      <c r="EF4" s="310" t="s">
        <v>244</v>
      </c>
      <c r="EG4" s="310" t="s">
        <v>243</v>
      </c>
      <c r="EH4" s="310" t="s">
        <v>244</v>
      </c>
      <c r="EI4" s="310" t="s">
        <v>243</v>
      </c>
      <c r="EJ4" s="310" t="s">
        <v>244</v>
      </c>
      <c r="EK4" s="310" t="s">
        <v>243</v>
      </c>
      <c r="EL4" s="310" t="s">
        <v>244</v>
      </c>
      <c r="EM4" s="310" t="s">
        <v>243</v>
      </c>
      <c r="EN4" s="310" t="s">
        <v>244</v>
      </c>
      <c r="EO4" s="310" t="s">
        <v>243</v>
      </c>
      <c r="EP4" s="310" t="s">
        <v>244</v>
      </c>
      <c r="EQ4" s="310" t="s">
        <v>243</v>
      </c>
      <c r="ER4" s="310" t="s">
        <v>244</v>
      </c>
      <c r="ES4" s="310" t="s">
        <v>243</v>
      </c>
      <c r="ET4" s="310" t="s">
        <v>244</v>
      </c>
      <c r="EU4" s="310" t="s">
        <v>243</v>
      </c>
      <c r="EV4" s="310" t="s">
        <v>244</v>
      </c>
      <c r="EW4" s="310" t="s">
        <v>243</v>
      </c>
      <c r="EX4" s="310" t="s">
        <v>244</v>
      </c>
      <c r="EY4" s="310" t="s">
        <v>243</v>
      </c>
      <c r="EZ4" s="310" t="s">
        <v>244</v>
      </c>
      <c r="FA4" s="310" t="s">
        <v>243</v>
      </c>
      <c r="FB4" s="310" t="s">
        <v>244</v>
      </c>
      <c r="FC4" s="310" t="s">
        <v>243</v>
      </c>
      <c r="FD4" s="310" t="s">
        <v>244</v>
      </c>
      <c r="FE4" s="310" t="s">
        <v>243</v>
      </c>
      <c r="FF4" s="310" t="s">
        <v>244</v>
      </c>
      <c r="FG4" s="310" t="s">
        <v>243</v>
      </c>
      <c r="FH4" s="310" t="s">
        <v>244</v>
      </c>
      <c r="FI4" s="310" t="s">
        <v>243</v>
      </c>
      <c r="FJ4" s="310" t="s">
        <v>244</v>
      </c>
      <c r="FK4" s="310" t="s">
        <v>243</v>
      </c>
      <c r="FL4" s="310" t="s">
        <v>244</v>
      </c>
      <c r="FM4" s="310" t="s">
        <v>243</v>
      </c>
      <c r="FN4" s="310" t="s">
        <v>244</v>
      </c>
      <c r="FO4" s="310" t="s">
        <v>243</v>
      </c>
      <c r="FP4" s="310" t="s">
        <v>244</v>
      </c>
      <c r="FQ4" s="310" t="s">
        <v>243</v>
      </c>
      <c r="FR4" s="310" t="s">
        <v>244</v>
      </c>
      <c r="FS4" s="310" t="s">
        <v>243</v>
      </c>
      <c r="FT4" s="310" t="s">
        <v>244</v>
      </c>
      <c r="FU4" s="310" t="s">
        <v>243</v>
      </c>
      <c r="FV4" s="310" t="s">
        <v>244</v>
      </c>
      <c r="FW4" s="310" t="s">
        <v>243</v>
      </c>
      <c r="FX4" s="310" t="s">
        <v>244</v>
      </c>
      <c r="FY4" s="310" t="s">
        <v>243</v>
      </c>
      <c r="FZ4" s="310" t="s">
        <v>244</v>
      </c>
      <c r="GA4" s="310" t="s">
        <v>243</v>
      </c>
      <c r="GB4" s="310" t="s">
        <v>244</v>
      </c>
      <c r="GC4" s="310" t="s">
        <v>243</v>
      </c>
      <c r="GD4" s="310" t="s">
        <v>244</v>
      </c>
      <c r="GE4" s="310" t="s">
        <v>243</v>
      </c>
      <c r="GF4" s="310" t="s">
        <v>244</v>
      </c>
      <c r="GG4" s="310" t="s">
        <v>243</v>
      </c>
      <c r="GH4" s="310" t="s">
        <v>244</v>
      </c>
      <c r="GI4" s="310" t="s">
        <v>243</v>
      </c>
      <c r="GJ4" s="310" t="s">
        <v>244</v>
      </c>
      <c r="GK4" s="310" t="s">
        <v>243</v>
      </c>
      <c r="GL4" s="310" t="s">
        <v>244</v>
      </c>
      <c r="GM4" s="312" t="s">
        <v>243</v>
      </c>
      <c r="GN4" s="312" t="s">
        <v>244</v>
      </c>
      <c r="GO4" s="312" t="s">
        <v>245</v>
      </c>
      <c r="GP4" s="312" t="s">
        <v>243</v>
      </c>
      <c r="GQ4" s="312" t="s">
        <v>244</v>
      </c>
      <c r="GR4" s="312" t="s">
        <v>245</v>
      </c>
      <c r="GS4" s="312" t="s">
        <v>243</v>
      </c>
      <c r="GT4" s="312" t="s">
        <v>244</v>
      </c>
      <c r="GU4" s="312" t="s">
        <v>245</v>
      </c>
      <c r="GV4" s="312" t="s">
        <v>243</v>
      </c>
      <c r="GW4" s="312" t="s">
        <v>244</v>
      </c>
      <c r="GX4" s="312" t="s">
        <v>245</v>
      </c>
    </row>
    <row r="5" spans="1:398" ht="15.75" x14ac:dyDescent="0.25">
      <c r="A5" s="190">
        <v>1</v>
      </c>
      <c r="B5" s="102" t="s">
        <v>139</v>
      </c>
      <c r="C5" s="95">
        <v>4</v>
      </c>
      <c r="D5" s="313">
        <v>0</v>
      </c>
      <c r="E5" s="313"/>
      <c r="F5" s="313"/>
      <c r="G5" s="313"/>
      <c r="H5" s="313"/>
      <c r="I5" s="313"/>
      <c r="J5" s="313"/>
      <c r="K5" s="313">
        <v>1</v>
      </c>
      <c r="L5" s="313">
        <v>0</v>
      </c>
      <c r="M5" s="313"/>
      <c r="N5" s="313"/>
      <c r="O5" s="313"/>
      <c r="P5" s="313"/>
      <c r="Q5" s="313"/>
      <c r="R5" s="313"/>
      <c r="S5" s="313">
        <v>1</v>
      </c>
      <c r="T5" s="313">
        <v>0</v>
      </c>
      <c r="U5" s="313"/>
      <c r="V5" s="313"/>
      <c r="W5" s="313"/>
      <c r="X5" s="313"/>
      <c r="Y5" s="313"/>
      <c r="Z5" s="313"/>
      <c r="AA5" s="313">
        <v>1</v>
      </c>
      <c r="AB5" s="313">
        <v>0</v>
      </c>
      <c r="AC5" s="313"/>
      <c r="AD5" s="313"/>
      <c r="AE5" s="313"/>
      <c r="AF5" s="313"/>
      <c r="AG5" s="313"/>
      <c r="AH5" s="313"/>
      <c r="AI5" s="313">
        <v>1</v>
      </c>
      <c r="AJ5" s="313">
        <v>0</v>
      </c>
      <c r="AK5" s="314"/>
      <c r="AL5" s="313"/>
      <c r="AM5" s="313"/>
      <c r="AN5" s="313"/>
      <c r="AO5" s="313"/>
      <c r="AP5" s="313"/>
      <c r="AQ5" s="313">
        <v>0</v>
      </c>
      <c r="AR5" s="313">
        <v>0</v>
      </c>
      <c r="AS5" s="314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>
        <v>1</v>
      </c>
      <c r="BH5" s="313">
        <v>0</v>
      </c>
      <c r="BI5" s="313"/>
      <c r="BJ5" s="313"/>
      <c r="BK5" s="313"/>
      <c r="BL5" s="313"/>
      <c r="BM5" s="313"/>
      <c r="BN5" s="313"/>
      <c r="BO5" s="313"/>
      <c r="BP5" s="313"/>
      <c r="BQ5" s="313"/>
      <c r="BR5" s="313"/>
      <c r="BS5" s="313"/>
      <c r="BT5" s="313"/>
      <c r="BU5" s="313"/>
      <c r="BV5" s="313"/>
      <c r="BW5" s="313">
        <v>0</v>
      </c>
      <c r="BX5" s="313">
        <v>0</v>
      </c>
      <c r="BY5" s="313"/>
      <c r="BZ5" s="313"/>
      <c r="CA5" s="313"/>
      <c r="CB5" s="313"/>
      <c r="CC5" s="313"/>
      <c r="CD5" s="313"/>
      <c r="CE5" s="313">
        <v>1</v>
      </c>
      <c r="CF5" s="313">
        <v>0</v>
      </c>
      <c r="CG5" s="313"/>
      <c r="CH5" s="313"/>
      <c r="CI5" s="313"/>
      <c r="CJ5" s="313"/>
      <c r="CK5" s="313"/>
      <c r="CL5" s="313"/>
      <c r="CM5" s="313"/>
      <c r="CN5" s="313"/>
      <c r="CO5" s="313"/>
      <c r="CP5" s="313"/>
      <c r="CQ5" s="313"/>
      <c r="CR5" s="313"/>
      <c r="CS5" s="313"/>
      <c r="CT5" s="313"/>
      <c r="CU5" s="313"/>
      <c r="CV5" s="313"/>
      <c r="CW5" s="313"/>
      <c r="CX5" s="313"/>
      <c r="CY5" s="313"/>
      <c r="CZ5" s="313"/>
      <c r="DA5" s="313"/>
      <c r="DB5" s="313"/>
      <c r="DC5" s="313"/>
      <c r="DD5" s="313"/>
      <c r="DE5" s="313"/>
      <c r="DF5" s="313"/>
      <c r="DG5" s="313"/>
      <c r="DH5" s="313"/>
      <c r="DI5" s="313"/>
      <c r="DJ5" s="313"/>
      <c r="DK5" s="313"/>
      <c r="DL5" s="313"/>
      <c r="DM5" s="313"/>
      <c r="DN5" s="313"/>
      <c r="DO5" s="313"/>
      <c r="DP5" s="313"/>
      <c r="DQ5" s="313"/>
      <c r="DR5" s="313"/>
      <c r="DS5" s="313">
        <v>1</v>
      </c>
      <c r="DT5" s="313">
        <v>0</v>
      </c>
      <c r="DU5" s="313"/>
      <c r="DV5" s="313"/>
      <c r="DW5" s="313"/>
      <c r="DX5" s="313"/>
      <c r="DY5" s="313"/>
      <c r="DZ5" s="313"/>
      <c r="EA5" s="313"/>
      <c r="EB5" s="313"/>
      <c r="EC5" s="313"/>
      <c r="ED5" s="313"/>
      <c r="EE5" s="313"/>
      <c r="EF5" s="313"/>
      <c r="EG5" s="313"/>
      <c r="EH5" s="313"/>
      <c r="EI5" s="313">
        <v>2</v>
      </c>
      <c r="EJ5" s="313">
        <v>0</v>
      </c>
      <c r="EK5" s="314"/>
      <c r="EL5" s="314"/>
      <c r="EM5" s="314"/>
      <c r="EN5" s="313"/>
      <c r="EO5" s="313"/>
      <c r="EP5" s="313"/>
      <c r="EQ5" s="313"/>
      <c r="ER5" s="313"/>
      <c r="ES5" s="313"/>
      <c r="ET5" s="313"/>
      <c r="EU5" s="313"/>
      <c r="EV5" s="313"/>
      <c r="EW5" s="313"/>
      <c r="EX5" s="313"/>
      <c r="EY5" s="313">
        <v>1</v>
      </c>
      <c r="EZ5" s="313">
        <v>0</v>
      </c>
      <c r="FA5" s="313"/>
      <c r="FB5" s="313"/>
      <c r="FC5" s="313"/>
      <c r="FD5" s="313"/>
      <c r="FE5" s="313"/>
      <c r="FF5" s="313"/>
      <c r="FG5" s="313"/>
      <c r="FH5" s="313"/>
      <c r="FI5" s="313"/>
      <c r="FJ5" s="313"/>
      <c r="FK5" s="313"/>
      <c r="FL5" s="313"/>
      <c r="FM5" s="313"/>
      <c r="FN5" s="313"/>
      <c r="FO5" s="313">
        <v>1</v>
      </c>
      <c r="FP5" s="313">
        <v>1</v>
      </c>
      <c r="FQ5" s="313"/>
      <c r="FR5" s="313"/>
      <c r="FS5" s="313"/>
      <c r="FT5" s="313"/>
      <c r="FU5" s="313"/>
      <c r="FV5" s="313"/>
      <c r="FW5" s="313">
        <v>2</v>
      </c>
      <c r="FX5" s="313">
        <v>0</v>
      </c>
      <c r="FY5" s="313"/>
      <c r="FZ5" s="313"/>
      <c r="GA5" s="313"/>
      <c r="GB5" s="313"/>
      <c r="GC5" s="313"/>
      <c r="GD5" s="313"/>
      <c r="GE5" s="313"/>
      <c r="GF5" s="313"/>
      <c r="GG5" s="313"/>
      <c r="GH5" s="313"/>
      <c r="GI5" s="313"/>
      <c r="GJ5" s="313"/>
      <c r="GK5" s="313"/>
      <c r="GL5" s="313"/>
      <c r="GM5" s="315">
        <f t="shared" ref="GM5:GN42" si="0">C5+K5+S5+AA5+AI5+AQ5+AY5+BG5+BO5+BW5+CE5+CM5+CU5+DC5+DK5+DS5+EA5+EI5+EQ5+EY5+FG5+FO5+FW5+GE5</f>
        <v>17</v>
      </c>
      <c r="GN5" s="315">
        <f t="shared" si="0"/>
        <v>1</v>
      </c>
      <c r="GO5" s="315">
        <f t="shared" ref="GO5:GO42" si="1">GN5/GM5</f>
        <v>5.8823529411764705E-2</v>
      </c>
      <c r="GP5" s="315">
        <f t="shared" ref="GP5:GP42" si="2">GG5+FY5+E5+M5+U5+AC5+AK5+AS5+BA5+BI5+BQ5+BY5+CG5+CO5+CW5+DE5+DM5+DU5+EC5+EK5+ES5+FA5+FI5+FQ5</f>
        <v>0</v>
      </c>
      <c r="GQ5" s="315">
        <f t="shared" ref="GQ5:GQ42" si="3">GH5+FZ5+F5+N5+V5+AD5+AL5+AT5+BB5+BJ5+BR5+BZ5+CH5+CP5+CX5+DF5+DN5+DV5+ED5+EL5+ET5+FB5+FJ5+FR5</f>
        <v>0</v>
      </c>
      <c r="GR5" s="315">
        <v>0</v>
      </c>
      <c r="GS5" s="315">
        <f t="shared" ref="GS5:GS42" si="4">G5+O5+W5+AE5+AM5+AU5+BC5+BK5+BS5+CA5+CI5+CQ5+CY5+DG5+DO5+DW5+EE5+EM5+EU5+FC5+FK5+FS5+GA5+GI5</f>
        <v>0</v>
      </c>
      <c r="GT5" s="315">
        <f t="shared" ref="GT5:GT42" si="5">H5+P5+X5+AF5+AN5+AV5+BD5+BL5+BT5+CB5+CJ5+CR5+CZ5+DH5+DP5+DX5+EF5+EN5+EV5+FD5+FL5+FT5+GB5+GJ5</f>
        <v>0</v>
      </c>
      <c r="GU5" s="315">
        <v>0</v>
      </c>
      <c r="GV5" s="315">
        <f t="shared" ref="GV5:GV42" si="6">I5+Q5+Y5+AG5+AO5+AW5+BE5+BM5+BU5+CC5+CK5+CS5+DA5+DI5+DQ5+DY5+EG5+EO5+EW5+FE5+FM5+FU5+GC5+GK5</f>
        <v>0</v>
      </c>
      <c r="GW5" s="315">
        <f t="shared" ref="GW5:GW42" si="7">J5+R5+Z5+AH5+AP5+AX5+BF5+BN5+BV5+CD5+CL5+CT5+DB5+DJ5+DR5+DZ5+EH5+EP5+EX5+FF5+FN5+FV5+GD5+GL5</f>
        <v>0</v>
      </c>
      <c r="GX5" s="315">
        <v>0</v>
      </c>
    </row>
    <row r="6" spans="1:398" ht="15.75" x14ac:dyDescent="0.25">
      <c r="A6" s="190">
        <v>2</v>
      </c>
      <c r="B6" s="102" t="s">
        <v>140</v>
      </c>
      <c r="C6" s="95">
        <v>3</v>
      </c>
      <c r="D6" s="313">
        <v>1</v>
      </c>
      <c r="E6" s="313"/>
      <c r="F6" s="313"/>
      <c r="G6" s="313"/>
      <c r="H6" s="313"/>
      <c r="I6" s="313"/>
      <c r="J6" s="313"/>
      <c r="K6" s="313">
        <v>1</v>
      </c>
      <c r="L6" s="313">
        <v>0</v>
      </c>
      <c r="M6" s="313"/>
      <c r="N6" s="313"/>
      <c r="O6" s="313"/>
      <c r="P6" s="313"/>
      <c r="Q6" s="313"/>
      <c r="R6" s="313"/>
      <c r="S6" s="313">
        <v>3</v>
      </c>
      <c r="T6" s="313">
        <v>0</v>
      </c>
      <c r="U6" s="313"/>
      <c r="V6" s="313"/>
      <c r="W6" s="313"/>
      <c r="X6" s="313"/>
      <c r="Y6" s="313"/>
      <c r="Z6" s="313"/>
      <c r="AA6" s="313">
        <v>5</v>
      </c>
      <c r="AB6" s="313">
        <v>1</v>
      </c>
      <c r="AC6" s="313">
        <v>1</v>
      </c>
      <c r="AD6" s="313">
        <v>0</v>
      </c>
      <c r="AE6" s="313"/>
      <c r="AF6" s="313"/>
      <c r="AG6" s="313"/>
      <c r="AH6" s="313"/>
      <c r="AI6" s="313">
        <v>2</v>
      </c>
      <c r="AJ6" s="313">
        <v>0</v>
      </c>
      <c r="AK6" s="314"/>
      <c r="AL6" s="313"/>
      <c r="AM6" s="313"/>
      <c r="AN6" s="313"/>
      <c r="AO6" s="313"/>
      <c r="AP6" s="313"/>
      <c r="AQ6" s="313">
        <v>2</v>
      </c>
      <c r="AR6" s="313">
        <v>0</v>
      </c>
      <c r="AS6" s="314"/>
      <c r="AT6" s="313"/>
      <c r="AU6" s="313"/>
      <c r="AV6" s="313"/>
      <c r="AW6" s="313"/>
      <c r="AX6" s="313"/>
      <c r="AY6" s="313">
        <v>1</v>
      </c>
      <c r="AZ6" s="313">
        <v>1</v>
      </c>
      <c r="BA6" s="313"/>
      <c r="BB6" s="313"/>
      <c r="BC6" s="313"/>
      <c r="BD6" s="313"/>
      <c r="BE6" s="313"/>
      <c r="BF6" s="313"/>
      <c r="BG6" s="313">
        <v>1</v>
      </c>
      <c r="BH6" s="313">
        <v>1</v>
      </c>
      <c r="BI6" s="313">
        <v>1</v>
      </c>
      <c r="BJ6" s="313">
        <v>0</v>
      </c>
      <c r="BK6" s="313"/>
      <c r="BL6" s="313"/>
      <c r="BM6" s="313"/>
      <c r="BN6" s="313"/>
      <c r="BO6" s="313">
        <v>1</v>
      </c>
      <c r="BP6" s="313">
        <v>1</v>
      </c>
      <c r="BQ6" s="313"/>
      <c r="BR6" s="313"/>
      <c r="BS6" s="313"/>
      <c r="BT6" s="313"/>
      <c r="BU6" s="313"/>
      <c r="BV6" s="313"/>
      <c r="BW6" s="313">
        <v>0</v>
      </c>
      <c r="BX6" s="313">
        <v>0</v>
      </c>
      <c r="BY6" s="313"/>
      <c r="BZ6" s="313"/>
      <c r="CA6" s="313"/>
      <c r="CB6" s="313"/>
      <c r="CC6" s="313"/>
      <c r="CD6" s="313"/>
      <c r="CE6" s="313">
        <v>2</v>
      </c>
      <c r="CF6" s="313">
        <v>1</v>
      </c>
      <c r="CG6" s="313">
        <v>1</v>
      </c>
      <c r="CH6" s="313">
        <v>0</v>
      </c>
      <c r="CI6" s="313"/>
      <c r="CJ6" s="313"/>
      <c r="CK6" s="313"/>
      <c r="CL6" s="313"/>
      <c r="CM6" s="313">
        <v>2</v>
      </c>
      <c r="CN6" s="313">
        <v>0</v>
      </c>
      <c r="CO6" s="313"/>
      <c r="CP6" s="313"/>
      <c r="CQ6" s="313"/>
      <c r="CR6" s="313"/>
      <c r="CS6" s="313"/>
      <c r="CT6" s="313"/>
      <c r="CU6" s="313"/>
      <c r="CV6" s="313"/>
      <c r="CW6" s="313"/>
      <c r="CX6" s="313"/>
      <c r="CY6" s="313"/>
      <c r="CZ6" s="313"/>
      <c r="DA6" s="313"/>
      <c r="DB6" s="313"/>
      <c r="DC6" s="313"/>
      <c r="DD6" s="313"/>
      <c r="DE6" s="313"/>
      <c r="DF6" s="313"/>
      <c r="DG6" s="313"/>
      <c r="DH6" s="313"/>
      <c r="DI6" s="313"/>
      <c r="DJ6" s="313"/>
      <c r="DK6" s="313">
        <v>2</v>
      </c>
      <c r="DL6" s="313">
        <v>1</v>
      </c>
      <c r="DM6" s="313"/>
      <c r="DN6" s="313"/>
      <c r="DO6" s="313"/>
      <c r="DP6" s="313"/>
      <c r="DQ6" s="313"/>
      <c r="DR6" s="313"/>
      <c r="DS6" s="313">
        <v>2</v>
      </c>
      <c r="DT6" s="313">
        <v>2</v>
      </c>
      <c r="DU6" s="313">
        <v>1</v>
      </c>
      <c r="DV6" s="313">
        <v>1</v>
      </c>
      <c r="DW6" s="313">
        <v>1</v>
      </c>
      <c r="DX6" s="313">
        <v>1</v>
      </c>
      <c r="DY6" s="313"/>
      <c r="DZ6" s="313"/>
      <c r="EA6" s="313"/>
      <c r="EB6" s="313"/>
      <c r="EC6" s="313"/>
      <c r="ED6" s="313"/>
      <c r="EE6" s="313"/>
      <c r="EF6" s="313"/>
      <c r="EG6" s="313"/>
      <c r="EH6" s="313"/>
      <c r="EI6" s="313">
        <v>2</v>
      </c>
      <c r="EJ6" s="313">
        <v>0</v>
      </c>
      <c r="EK6" s="314"/>
      <c r="EL6" s="314"/>
      <c r="EM6" s="314"/>
      <c r="EN6" s="313"/>
      <c r="EO6" s="313"/>
      <c r="EP6" s="313"/>
      <c r="EQ6" s="313"/>
      <c r="ER6" s="313"/>
      <c r="ES6" s="313"/>
      <c r="ET6" s="313"/>
      <c r="EU6" s="313"/>
      <c r="EV6" s="313"/>
      <c r="EW6" s="313"/>
      <c r="EX6" s="313"/>
      <c r="EY6" s="313">
        <v>2</v>
      </c>
      <c r="EZ6" s="313">
        <v>0</v>
      </c>
      <c r="FA6" s="313"/>
      <c r="FB6" s="313"/>
      <c r="FC6" s="313"/>
      <c r="FD6" s="313"/>
      <c r="FE6" s="313"/>
      <c r="FF6" s="313"/>
      <c r="FG6" s="313"/>
      <c r="FH6" s="313"/>
      <c r="FI6" s="313"/>
      <c r="FJ6" s="313"/>
      <c r="FK6" s="313"/>
      <c r="FL6" s="313"/>
      <c r="FM6" s="313"/>
      <c r="FN6" s="313"/>
      <c r="FO6" s="313">
        <v>5</v>
      </c>
      <c r="FP6" s="313">
        <v>3</v>
      </c>
      <c r="FQ6" s="313"/>
      <c r="FR6" s="313"/>
      <c r="FS6" s="313"/>
      <c r="FT6" s="313"/>
      <c r="FU6" s="313"/>
      <c r="FV6" s="313"/>
      <c r="FW6" s="313">
        <v>7</v>
      </c>
      <c r="FX6" s="313">
        <v>7</v>
      </c>
      <c r="FY6" s="313">
        <v>5</v>
      </c>
      <c r="FZ6" s="313">
        <v>4</v>
      </c>
      <c r="GA6" s="313"/>
      <c r="GB6" s="313"/>
      <c r="GC6" s="313"/>
      <c r="GD6" s="313"/>
      <c r="GE6" s="313">
        <v>1</v>
      </c>
      <c r="GF6" s="313">
        <v>1</v>
      </c>
      <c r="GG6" s="313"/>
      <c r="GH6" s="313"/>
      <c r="GI6" s="313"/>
      <c r="GJ6" s="313"/>
      <c r="GK6" s="313"/>
      <c r="GL6" s="313"/>
      <c r="GM6" s="315">
        <f t="shared" si="0"/>
        <v>44</v>
      </c>
      <c r="GN6" s="315">
        <f t="shared" si="0"/>
        <v>20</v>
      </c>
      <c r="GO6" s="315">
        <f t="shared" si="1"/>
        <v>0.45454545454545453</v>
      </c>
      <c r="GP6" s="315">
        <f t="shared" si="2"/>
        <v>9</v>
      </c>
      <c r="GQ6" s="315">
        <f t="shared" si="3"/>
        <v>5</v>
      </c>
      <c r="GR6" s="315">
        <f t="shared" ref="GR6:GR42" si="8">GQ6/GP6</f>
        <v>0.55555555555555558</v>
      </c>
      <c r="GS6" s="315">
        <f t="shared" si="4"/>
        <v>1</v>
      </c>
      <c r="GT6" s="315">
        <f t="shared" si="5"/>
        <v>1</v>
      </c>
      <c r="GU6" s="315">
        <f t="shared" ref="GU6:GU7" si="9">GT6/GS6</f>
        <v>1</v>
      </c>
      <c r="GV6" s="315">
        <f t="shared" si="6"/>
        <v>0</v>
      </c>
      <c r="GW6" s="315">
        <f t="shared" si="7"/>
        <v>0</v>
      </c>
      <c r="GX6" s="315">
        <v>0</v>
      </c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  <c r="JD6" s="98"/>
      <c r="JE6" s="98"/>
      <c r="JF6" s="98"/>
      <c r="JG6" s="98"/>
      <c r="JH6" s="98"/>
      <c r="JI6" s="98"/>
      <c r="JJ6" s="98"/>
      <c r="JK6" s="98"/>
      <c r="JL6" s="98"/>
      <c r="JM6" s="98"/>
      <c r="JN6" s="98"/>
      <c r="JO6" s="98"/>
      <c r="JP6" s="98"/>
      <c r="JQ6" s="98"/>
      <c r="JR6" s="98"/>
      <c r="JS6" s="98"/>
      <c r="JT6" s="98"/>
      <c r="JU6" s="98"/>
      <c r="JV6" s="98"/>
      <c r="JW6" s="98"/>
      <c r="JX6" s="98"/>
      <c r="JY6" s="98"/>
      <c r="JZ6" s="98"/>
      <c r="KA6" s="98"/>
      <c r="KB6" s="98"/>
      <c r="KC6" s="98"/>
      <c r="KD6" s="98"/>
      <c r="KE6" s="98"/>
      <c r="KF6" s="98"/>
      <c r="KG6" s="98"/>
      <c r="KH6" s="98"/>
      <c r="KI6" s="98"/>
      <c r="KJ6" s="98"/>
      <c r="KK6" s="98"/>
      <c r="KL6" s="98"/>
      <c r="KM6" s="98"/>
      <c r="KN6" s="98"/>
      <c r="KO6" s="98"/>
      <c r="KP6" s="98"/>
      <c r="KQ6" s="98"/>
      <c r="KR6" s="98"/>
      <c r="KS6" s="98"/>
      <c r="KT6" s="98"/>
      <c r="KU6" s="98"/>
      <c r="KV6" s="98"/>
      <c r="KW6" s="98"/>
      <c r="KX6" s="98"/>
      <c r="KY6" s="98"/>
      <c r="KZ6" s="98"/>
      <c r="LA6" s="98"/>
      <c r="LB6" s="98"/>
      <c r="LC6" s="98"/>
      <c r="LD6" s="98"/>
      <c r="LE6" s="98"/>
      <c r="LF6" s="98"/>
      <c r="LG6" s="98"/>
      <c r="LH6" s="98"/>
      <c r="LI6" s="98"/>
      <c r="LJ6" s="98"/>
      <c r="LK6" s="98"/>
      <c r="LL6" s="98"/>
      <c r="LM6" s="98"/>
      <c r="LN6" s="98"/>
      <c r="LO6" s="98"/>
      <c r="LP6" s="98"/>
      <c r="LQ6" s="98"/>
      <c r="LR6" s="98"/>
      <c r="LS6" s="98"/>
      <c r="LT6" s="98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98"/>
      <c r="MQ6" s="98"/>
      <c r="MR6" s="98"/>
      <c r="MS6" s="98"/>
      <c r="MT6" s="98"/>
      <c r="MU6" s="98"/>
      <c r="MV6" s="99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31">
        <f>GM6+GU6+HC6+HK6+HS6+IA6+II6+IQ6+IY6+JG6+JO6+JW6+KE6+KM6+KU6+LC6+LK6+LS6+MA6+MI6+MQ6+MY6+NG6+NO6</f>
        <v>45</v>
      </c>
      <c r="NX6" s="31">
        <f>GN6+GV6+HD6+HL6+HT6+IB6+IJ6+IR6+IZ6+JH6+JP6+JX6+KF6+KN6+KV6+LD6+LL6+LT6+MB6+MJ6+MR6+MZ6+NH6+NP6</f>
        <v>20</v>
      </c>
      <c r="NY6" s="31">
        <f t="shared" ref="NY6" si="10">NX6/NW6</f>
        <v>0.44444444444444442</v>
      </c>
      <c r="NZ6" s="31">
        <f>NQ6+NI6+GO6+GW6+HE6+HM6+HU6+IC6+IK6+IS6+JA6+JI6+JQ6+JY6+KG6+KO6+KW6+LE6+LM6+LU6+MC6+MK6+MS6+NA6</f>
        <v>0.45454545454545453</v>
      </c>
      <c r="OA6" s="31">
        <f>NR6+NJ6+GP6+GX6+HF6+HN6+HV6+ID6+IL6+IT6+JB6+JJ6+JR6+JZ6+KH6+KP6+KX6+LF6+LN6+LV6+MD6+ML6+MT6+NB6</f>
        <v>9</v>
      </c>
      <c r="OB6" s="31">
        <f t="shared" ref="OB6" si="11">OA6/NZ6</f>
        <v>19.8</v>
      </c>
      <c r="OC6" s="31">
        <f>GQ6+GY6+HG6+HO6+HW6+IE6+IM6+IU6+JC6+JK6+JS6+KA6+KI6+KQ6+KY6+LG6+LO6+LW6+ME6+MM6+MU6+NC6+NK6+NS6</f>
        <v>5</v>
      </c>
      <c r="OD6" s="31">
        <f>GR6+GZ6+HH6+HP6+HX6+IF6+IN6+IV6+JD6+JL6+JT6+KB6+KJ6+KR6+KZ6+LH6+LP6+LX6+MF6+MN6+MV6+ND6+NL6+NT6</f>
        <v>0.55555555555555558</v>
      </c>
      <c r="OE6" s="31">
        <f t="shared" ref="OE6" si="12">OD6/OC6</f>
        <v>0.11111111111111112</v>
      </c>
      <c r="OF6" s="31">
        <f>GS6+HA6+HI6+HQ6+HY6+IG6+IO6+IW6+JE6+JM6+JU6+KC6+KK6+KS6+LA6+LI6+LQ6+LY6+MG6+MO6+MW6+NE6+NM6+NU6</f>
        <v>1</v>
      </c>
      <c r="OG6" s="31">
        <f>GT6+HB6+HJ6+HR6+HZ6+IH6+IP6+IX6+JF6+JN6+JV6+KD6+KL6+KT6+LB6+LJ6+LR6+LZ6+MH6+MP6+MX6+NF6+NN6+NV6</f>
        <v>1</v>
      </c>
      <c r="OH6" s="31">
        <f t="shared" ref="OH6" si="13">OG6/OF6</f>
        <v>1</v>
      </c>
    </row>
    <row r="7" spans="1:398" ht="15.75" x14ac:dyDescent="0.25">
      <c r="A7" s="190">
        <v>3</v>
      </c>
      <c r="B7" s="102" t="s">
        <v>141</v>
      </c>
      <c r="C7" s="95">
        <v>1</v>
      </c>
      <c r="D7" s="313">
        <v>1</v>
      </c>
      <c r="E7" s="313"/>
      <c r="F7" s="313"/>
      <c r="G7" s="313"/>
      <c r="H7" s="313"/>
      <c r="I7" s="313"/>
      <c r="J7" s="313"/>
      <c r="K7" s="313">
        <v>1</v>
      </c>
      <c r="L7" s="313">
        <v>1</v>
      </c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>
        <v>1</v>
      </c>
      <c r="AB7" s="313">
        <v>1</v>
      </c>
      <c r="AC7" s="313"/>
      <c r="AD7" s="313"/>
      <c r="AE7" s="313"/>
      <c r="AF7" s="313"/>
      <c r="AG7" s="313"/>
      <c r="AH7" s="313"/>
      <c r="AI7" s="313">
        <v>2</v>
      </c>
      <c r="AJ7" s="313">
        <v>2</v>
      </c>
      <c r="AK7" s="314"/>
      <c r="AL7" s="313"/>
      <c r="AM7" s="313"/>
      <c r="AN7" s="313"/>
      <c r="AO7" s="313"/>
      <c r="AP7" s="313"/>
      <c r="AQ7" s="313">
        <v>2</v>
      </c>
      <c r="AR7" s="313">
        <v>2</v>
      </c>
      <c r="AS7" s="314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>
        <v>3</v>
      </c>
      <c r="BH7" s="313">
        <v>1</v>
      </c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>
        <v>1</v>
      </c>
      <c r="BX7" s="313">
        <v>1</v>
      </c>
      <c r="BY7" s="313"/>
      <c r="BZ7" s="313"/>
      <c r="CA7" s="313"/>
      <c r="CB7" s="313"/>
      <c r="CC7" s="313"/>
      <c r="CD7" s="313"/>
      <c r="CE7" s="313">
        <v>2</v>
      </c>
      <c r="CF7" s="313">
        <v>0</v>
      </c>
      <c r="CG7" s="313"/>
      <c r="CH7" s="313"/>
      <c r="CI7" s="313"/>
      <c r="CJ7" s="313"/>
      <c r="CK7" s="313"/>
      <c r="CL7" s="313"/>
      <c r="CM7" s="316"/>
      <c r="CN7" s="316"/>
      <c r="CO7" s="316"/>
      <c r="CP7" s="313"/>
      <c r="CQ7" s="313"/>
      <c r="CR7" s="313"/>
      <c r="CS7" s="313"/>
      <c r="CT7" s="313"/>
      <c r="CU7" s="316"/>
      <c r="CV7" s="316"/>
      <c r="CW7" s="313"/>
      <c r="CX7" s="313"/>
      <c r="CY7" s="313"/>
      <c r="CZ7" s="313"/>
      <c r="DA7" s="313"/>
      <c r="DB7" s="313"/>
      <c r="DC7" s="313"/>
      <c r="DD7" s="313"/>
      <c r="DE7" s="313"/>
      <c r="DF7" s="313"/>
      <c r="DG7" s="313"/>
      <c r="DH7" s="313"/>
      <c r="DI7" s="313"/>
      <c r="DJ7" s="313"/>
      <c r="DK7" s="313"/>
      <c r="DL7" s="313"/>
      <c r="DM7" s="313"/>
      <c r="DN7" s="313"/>
      <c r="DO7" s="313"/>
      <c r="DP7" s="313"/>
      <c r="DQ7" s="313"/>
      <c r="DR7" s="313"/>
      <c r="DS7" s="313">
        <v>2</v>
      </c>
      <c r="DT7" s="313">
        <v>0</v>
      </c>
      <c r="DU7" s="316">
        <v>1</v>
      </c>
      <c r="DV7" s="316">
        <v>1</v>
      </c>
      <c r="DW7" s="313">
        <v>1</v>
      </c>
      <c r="DX7" s="313">
        <v>1</v>
      </c>
      <c r="DY7" s="313"/>
      <c r="DZ7" s="313"/>
      <c r="EA7" s="313"/>
      <c r="EB7" s="313"/>
      <c r="EC7" s="313"/>
      <c r="ED7" s="313"/>
      <c r="EE7" s="313"/>
      <c r="EF7" s="313"/>
      <c r="EG7" s="313"/>
      <c r="EH7" s="313"/>
      <c r="EI7" s="313"/>
      <c r="EJ7" s="313"/>
      <c r="EK7" s="314"/>
      <c r="EL7" s="314"/>
      <c r="EM7" s="314"/>
      <c r="EN7" s="313"/>
      <c r="EO7" s="313"/>
      <c r="EP7" s="313"/>
      <c r="EQ7" s="313"/>
      <c r="ER7" s="313"/>
      <c r="ES7" s="313"/>
      <c r="ET7" s="313"/>
      <c r="EU7" s="313"/>
      <c r="EV7" s="313"/>
      <c r="EW7" s="313"/>
      <c r="EX7" s="313"/>
      <c r="EY7" s="313">
        <v>2</v>
      </c>
      <c r="EZ7" s="313">
        <v>0</v>
      </c>
      <c r="FA7" s="313"/>
      <c r="FB7" s="313"/>
      <c r="FC7" s="313"/>
      <c r="FD7" s="313"/>
      <c r="FE7" s="313"/>
      <c r="FF7" s="313"/>
      <c r="FG7" s="313"/>
      <c r="FH7" s="313"/>
      <c r="FI7" s="313"/>
      <c r="FJ7" s="313"/>
      <c r="FK7" s="313"/>
      <c r="FL7" s="313"/>
      <c r="FM7" s="313"/>
      <c r="FN7" s="313"/>
      <c r="FO7" s="313">
        <v>1</v>
      </c>
      <c r="FP7" s="313">
        <v>0</v>
      </c>
      <c r="FQ7" s="313"/>
      <c r="FR7" s="313"/>
      <c r="FS7" s="313"/>
      <c r="FT7" s="313"/>
      <c r="FU7" s="313"/>
      <c r="FV7" s="313"/>
      <c r="FW7" s="313">
        <v>2</v>
      </c>
      <c r="FX7" s="313">
        <v>1</v>
      </c>
      <c r="FY7" s="313"/>
      <c r="FZ7" s="313"/>
      <c r="GA7" s="313"/>
      <c r="GB7" s="313"/>
      <c r="GC7" s="313"/>
      <c r="GD7" s="313"/>
      <c r="GE7" s="313">
        <v>2</v>
      </c>
      <c r="GF7" s="313">
        <v>1</v>
      </c>
      <c r="GG7" s="313"/>
      <c r="GH7" s="313"/>
      <c r="GI7" s="313"/>
      <c r="GJ7" s="313"/>
      <c r="GK7" s="313"/>
      <c r="GL7" s="313"/>
      <c r="GM7" s="315">
        <f t="shared" si="0"/>
        <v>22</v>
      </c>
      <c r="GN7" s="315">
        <f t="shared" si="0"/>
        <v>11</v>
      </c>
      <c r="GO7" s="315">
        <f t="shared" si="1"/>
        <v>0.5</v>
      </c>
      <c r="GP7" s="315">
        <f t="shared" si="2"/>
        <v>1</v>
      </c>
      <c r="GQ7" s="315">
        <f t="shared" si="3"/>
        <v>1</v>
      </c>
      <c r="GR7" s="315">
        <f t="shared" si="8"/>
        <v>1</v>
      </c>
      <c r="GS7" s="315">
        <f t="shared" si="4"/>
        <v>1</v>
      </c>
      <c r="GT7" s="315">
        <f t="shared" si="5"/>
        <v>1</v>
      </c>
      <c r="GU7" s="315">
        <f t="shared" si="9"/>
        <v>1</v>
      </c>
      <c r="GV7" s="315">
        <f t="shared" si="6"/>
        <v>0</v>
      </c>
      <c r="GW7" s="315">
        <f t="shared" si="7"/>
        <v>0</v>
      </c>
      <c r="GX7" s="315">
        <v>0</v>
      </c>
    </row>
    <row r="8" spans="1:398" ht="15.75" x14ac:dyDescent="0.25">
      <c r="A8" s="190">
        <v>4</v>
      </c>
      <c r="B8" s="102" t="s">
        <v>142</v>
      </c>
      <c r="C8" s="95">
        <v>4</v>
      </c>
      <c r="D8" s="313">
        <v>0</v>
      </c>
      <c r="E8" s="313"/>
      <c r="F8" s="313"/>
      <c r="G8" s="313"/>
      <c r="H8" s="313"/>
      <c r="I8" s="313"/>
      <c r="J8" s="313"/>
      <c r="K8" s="313">
        <v>1</v>
      </c>
      <c r="L8" s="313">
        <v>0</v>
      </c>
      <c r="M8" s="313"/>
      <c r="N8" s="313"/>
      <c r="O8" s="313"/>
      <c r="P8" s="313"/>
      <c r="Q8" s="313"/>
      <c r="R8" s="313"/>
      <c r="S8" s="313">
        <v>1</v>
      </c>
      <c r="T8" s="313">
        <v>0</v>
      </c>
      <c r="U8" s="313"/>
      <c r="V8" s="313"/>
      <c r="W8" s="313"/>
      <c r="X8" s="313"/>
      <c r="Y8" s="313"/>
      <c r="Z8" s="313"/>
      <c r="AA8" s="313">
        <v>2</v>
      </c>
      <c r="AB8" s="313">
        <v>0</v>
      </c>
      <c r="AC8" s="313"/>
      <c r="AD8" s="313"/>
      <c r="AE8" s="313"/>
      <c r="AF8" s="313"/>
      <c r="AG8" s="313"/>
      <c r="AH8" s="313"/>
      <c r="AI8" s="313">
        <v>1</v>
      </c>
      <c r="AJ8" s="313">
        <v>1</v>
      </c>
      <c r="AK8" s="314"/>
      <c r="AL8" s="313"/>
      <c r="AM8" s="313"/>
      <c r="AN8" s="313"/>
      <c r="AO8" s="313"/>
      <c r="AP8" s="313"/>
      <c r="AQ8" s="313">
        <v>3</v>
      </c>
      <c r="AR8" s="313">
        <v>2</v>
      </c>
      <c r="AS8" s="314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>
        <v>2</v>
      </c>
      <c r="BH8" s="313">
        <v>0</v>
      </c>
      <c r="BI8" s="313"/>
      <c r="BJ8" s="313"/>
      <c r="BK8" s="313"/>
      <c r="BL8" s="313"/>
      <c r="BM8" s="313"/>
      <c r="BN8" s="313"/>
      <c r="BO8" s="313">
        <v>1</v>
      </c>
      <c r="BP8" s="313">
        <v>0</v>
      </c>
      <c r="BQ8" s="313"/>
      <c r="BR8" s="313"/>
      <c r="BS8" s="313"/>
      <c r="BT8" s="313"/>
      <c r="BU8" s="313"/>
      <c r="BV8" s="313"/>
      <c r="BW8" s="313">
        <v>1</v>
      </c>
      <c r="BX8" s="313">
        <v>1</v>
      </c>
      <c r="BY8" s="313"/>
      <c r="BZ8" s="313"/>
      <c r="CA8" s="313"/>
      <c r="CB8" s="313"/>
      <c r="CC8" s="313"/>
      <c r="CD8" s="313"/>
      <c r="CE8" s="313">
        <v>1</v>
      </c>
      <c r="CF8" s="313">
        <v>0</v>
      </c>
      <c r="CG8" s="313"/>
      <c r="CH8" s="313"/>
      <c r="CI8" s="313"/>
      <c r="CJ8" s="313"/>
      <c r="CK8" s="313"/>
      <c r="CL8" s="313"/>
      <c r="CM8" s="316">
        <v>1</v>
      </c>
      <c r="CN8" s="313">
        <v>0</v>
      </c>
      <c r="CO8" s="313"/>
      <c r="CP8" s="313"/>
      <c r="CQ8" s="313"/>
      <c r="CR8" s="313"/>
      <c r="CS8" s="313"/>
      <c r="CT8" s="313"/>
      <c r="CU8" s="316"/>
      <c r="CV8" s="313"/>
      <c r="CW8" s="313"/>
      <c r="CX8" s="313"/>
      <c r="CY8" s="313"/>
      <c r="CZ8" s="313"/>
      <c r="DA8" s="313"/>
      <c r="DB8" s="313"/>
      <c r="DC8" s="313"/>
      <c r="DD8" s="313"/>
      <c r="DE8" s="313"/>
      <c r="DF8" s="313"/>
      <c r="DG8" s="313"/>
      <c r="DH8" s="313"/>
      <c r="DI8" s="313"/>
      <c r="DJ8" s="313"/>
      <c r="DK8" s="313">
        <v>1</v>
      </c>
      <c r="DL8" s="313">
        <v>1</v>
      </c>
      <c r="DM8" s="313"/>
      <c r="DN8" s="313"/>
      <c r="DO8" s="313"/>
      <c r="DP8" s="313"/>
      <c r="DQ8" s="313"/>
      <c r="DR8" s="313"/>
      <c r="DS8" s="313">
        <v>1</v>
      </c>
      <c r="DT8" s="313">
        <v>1</v>
      </c>
      <c r="DU8" s="313">
        <v>1</v>
      </c>
      <c r="DV8" s="313">
        <v>1</v>
      </c>
      <c r="DW8" s="313"/>
      <c r="DX8" s="313"/>
      <c r="DY8" s="313"/>
      <c r="DZ8" s="313"/>
      <c r="EA8" s="313"/>
      <c r="EB8" s="313"/>
      <c r="EC8" s="313"/>
      <c r="ED8" s="313"/>
      <c r="EE8" s="313"/>
      <c r="EF8" s="313"/>
      <c r="EG8" s="313"/>
      <c r="EH8" s="313"/>
      <c r="EI8" s="313">
        <v>2</v>
      </c>
      <c r="EJ8" s="313">
        <v>0</v>
      </c>
      <c r="EK8" s="314"/>
      <c r="EL8" s="314"/>
      <c r="EM8" s="314"/>
      <c r="EN8" s="313"/>
      <c r="EO8" s="313"/>
      <c r="EP8" s="313"/>
      <c r="EQ8" s="313">
        <v>1</v>
      </c>
      <c r="ER8" s="313">
        <v>0</v>
      </c>
      <c r="ES8" s="313"/>
      <c r="ET8" s="313"/>
      <c r="EU8" s="313"/>
      <c r="EV8" s="313"/>
      <c r="EW8" s="313"/>
      <c r="EX8" s="313"/>
      <c r="EY8" s="313">
        <v>2</v>
      </c>
      <c r="EZ8" s="313">
        <v>0</v>
      </c>
      <c r="FA8" s="313"/>
      <c r="FB8" s="313"/>
      <c r="FC8" s="313"/>
      <c r="FD8" s="313"/>
      <c r="FE8" s="313"/>
      <c r="FF8" s="313"/>
      <c r="FG8" s="313"/>
      <c r="FH8" s="313"/>
      <c r="FI8" s="313"/>
      <c r="FJ8" s="313"/>
      <c r="FK8" s="313"/>
      <c r="FL8" s="313"/>
      <c r="FM8" s="313"/>
      <c r="FN8" s="313"/>
      <c r="FO8" s="313">
        <v>2</v>
      </c>
      <c r="FP8" s="313">
        <v>1</v>
      </c>
      <c r="FQ8" s="313"/>
      <c r="FR8" s="313"/>
      <c r="FS8" s="313"/>
      <c r="FT8" s="313"/>
      <c r="FU8" s="313"/>
      <c r="FV8" s="313"/>
      <c r="FW8" s="313">
        <v>2</v>
      </c>
      <c r="FX8" s="313">
        <v>0</v>
      </c>
      <c r="FY8" s="313"/>
      <c r="FZ8" s="313"/>
      <c r="GA8" s="313"/>
      <c r="GB8" s="313"/>
      <c r="GC8" s="313"/>
      <c r="GD8" s="313"/>
      <c r="GE8" s="313">
        <v>1</v>
      </c>
      <c r="GF8" s="313">
        <v>0</v>
      </c>
      <c r="GG8" s="313"/>
      <c r="GH8" s="313"/>
      <c r="GI8" s="313"/>
      <c r="GJ8" s="313"/>
      <c r="GK8" s="313"/>
      <c r="GL8" s="313"/>
      <c r="GM8" s="315">
        <f t="shared" si="0"/>
        <v>30</v>
      </c>
      <c r="GN8" s="315">
        <f t="shared" si="0"/>
        <v>7</v>
      </c>
      <c r="GO8" s="315">
        <f t="shared" si="1"/>
        <v>0.23333333333333334</v>
      </c>
      <c r="GP8" s="315">
        <f t="shared" si="2"/>
        <v>1</v>
      </c>
      <c r="GQ8" s="315">
        <f t="shared" si="3"/>
        <v>1</v>
      </c>
      <c r="GR8" s="315">
        <f t="shared" si="8"/>
        <v>1</v>
      </c>
      <c r="GS8" s="315">
        <f t="shared" si="4"/>
        <v>0</v>
      </c>
      <c r="GT8" s="315">
        <f t="shared" si="5"/>
        <v>0</v>
      </c>
      <c r="GU8" s="315">
        <v>0</v>
      </c>
      <c r="GV8" s="315">
        <f t="shared" si="6"/>
        <v>0</v>
      </c>
      <c r="GW8" s="315">
        <f t="shared" si="7"/>
        <v>0</v>
      </c>
      <c r="GX8" s="315">
        <v>0</v>
      </c>
    </row>
    <row r="9" spans="1:398" s="30" customFormat="1" ht="15.75" x14ac:dyDescent="0.25">
      <c r="A9" s="190">
        <v>5</v>
      </c>
      <c r="B9" s="102" t="s">
        <v>143</v>
      </c>
      <c r="C9" s="95">
        <v>1</v>
      </c>
      <c r="D9" s="313">
        <v>0</v>
      </c>
      <c r="E9" s="313"/>
      <c r="F9" s="313"/>
      <c r="G9" s="313"/>
      <c r="H9" s="313"/>
      <c r="I9" s="313"/>
      <c r="J9" s="313"/>
      <c r="K9" s="313">
        <v>1</v>
      </c>
      <c r="L9" s="313">
        <v>0</v>
      </c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>
        <v>1</v>
      </c>
      <c r="AB9" s="313">
        <v>0</v>
      </c>
      <c r="AC9" s="313"/>
      <c r="AD9" s="313"/>
      <c r="AE9" s="313"/>
      <c r="AF9" s="313"/>
      <c r="AG9" s="313"/>
      <c r="AH9" s="313"/>
      <c r="AI9" s="313">
        <v>2</v>
      </c>
      <c r="AJ9" s="313">
        <v>0</v>
      </c>
      <c r="AK9" s="314"/>
      <c r="AL9" s="313"/>
      <c r="AM9" s="313"/>
      <c r="AN9" s="313"/>
      <c r="AO9" s="313"/>
      <c r="AP9" s="313"/>
      <c r="AQ9" s="313">
        <v>3</v>
      </c>
      <c r="AR9" s="313">
        <v>1</v>
      </c>
      <c r="AS9" s="314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>
        <v>2</v>
      </c>
      <c r="BH9" s="313">
        <v>1</v>
      </c>
      <c r="BI9" s="313"/>
      <c r="BJ9" s="313"/>
      <c r="BK9" s="313"/>
      <c r="BL9" s="313"/>
      <c r="BM9" s="313"/>
      <c r="BN9" s="313"/>
      <c r="BO9" s="313">
        <v>1</v>
      </c>
      <c r="BP9" s="313">
        <v>0</v>
      </c>
      <c r="BQ9" s="313"/>
      <c r="BR9" s="313"/>
      <c r="BS9" s="313"/>
      <c r="BT9" s="313"/>
      <c r="BU9" s="313"/>
      <c r="BV9" s="313"/>
      <c r="BW9" s="313">
        <v>1</v>
      </c>
      <c r="BX9" s="313">
        <v>0</v>
      </c>
      <c r="BY9" s="313"/>
      <c r="BZ9" s="313"/>
      <c r="CA9" s="313"/>
      <c r="CB9" s="313"/>
      <c r="CC9" s="313"/>
      <c r="CD9" s="313"/>
      <c r="CE9" s="313">
        <v>1</v>
      </c>
      <c r="CF9" s="313">
        <v>0</v>
      </c>
      <c r="CG9" s="313"/>
      <c r="CH9" s="313"/>
      <c r="CI9" s="313"/>
      <c r="CJ9" s="313"/>
      <c r="CK9" s="313"/>
      <c r="CL9" s="313"/>
      <c r="CM9" s="313">
        <v>1</v>
      </c>
      <c r="CN9" s="313">
        <v>0</v>
      </c>
      <c r="CO9" s="313"/>
      <c r="CP9" s="313"/>
      <c r="CQ9" s="313"/>
      <c r="CR9" s="313"/>
      <c r="CS9" s="313"/>
      <c r="CT9" s="313"/>
      <c r="CU9" s="313"/>
      <c r="CV9" s="313"/>
      <c r="CW9" s="313"/>
      <c r="CX9" s="313"/>
      <c r="CY9" s="313"/>
      <c r="CZ9" s="313"/>
      <c r="DA9" s="313"/>
      <c r="DB9" s="313"/>
      <c r="DC9" s="313"/>
      <c r="DD9" s="313"/>
      <c r="DE9" s="313"/>
      <c r="DF9" s="313"/>
      <c r="DG9" s="313"/>
      <c r="DH9" s="313"/>
      <c r="DI9" s="313"/>
      <c r="DJ9" s="313"/>
      <c r="DK9" s="313">
        <v>1</v>
      </c>
      <c r="DL9" s="313">
        <v>0</v>
      </c>
      <c r="DM9" s="313"/>
      <c r="DN9" s="313"/>
      <c r="DO9" s="313"/>
      <c r="DP9" s="313"/>
      <c r="DQ9" s="313"/>
      <c r="DR9" s="313"/>
      <c r="DS9" s="313">
        <v>2</v>
      </c>
      <c r="DT9" s="313">
        <v>0</v>
      </c>
      <c r="DU9" s="313"/>
      <c r="DV9" s="313"/>
      <c r="DW9" s="313"/>
      <c r="DX9" s="313"/>
      <c r="DY9" s="313"/>
      <c r="DZ9" s="313"/>
      <c r="EA9" s="313"/>
      <c r="EB9" s="313"/>
      <c r="EC9" s="313"/>
      <c r="ED9" s="313"/>
      <c r="EE9" s="313"/>
      <c r="EF9" s="313"/>
      <c r="EG9" s="313"/>
      <c r="EH9" s="313"/>
      <c r="EI9" s="313">
        <v>5</v>
      </c>
      <c r="EJ9" s="313">
        <v>3</v>
      </c>
      <c r="EK9" s="314"/>
      <c r="EL9" s="314"/>
      <c r="EM9" s="314"/>
      <c r="EN9" s="313"/>
      <c r="EO9" s="313"/>
      <c r="EP9" s="313"/>
      <c r="EQ9" s="313">
        <v>1</v>
      </c>
      <c r="ER9" s="313">
        <v>0</v>
      </c>
      <c r="ES9" s="313"/>
      <c r="ET9" s="313"/>
      <c r="EU9" s="313"/>
      <c r="EV9" s="313"/>
      <c r="EW9" s="313"/>
      <c r="EX9" s="313"/>
      <c r="EY9" s="313">
        <v>1</v>
      </c>
      <c r="EZ9" s="313">
        <v>1</v>
      </c>
      <c r="FA9" s="313"/>
      <c r="FB9" s="313"/>
      <c r="FC9" s="313"/>
      <c r="FD9" s="313"/>
      <c r="FE9" s="313"/>
      <c r="FF9" s="313"/>
      <c r="FG9" s="313">
        <v>1</v>
      </c>
      <c r="FH9" s="313">
        <v>1</v>
      </c>
      <c r="FI9" s="313">
        <v>1</v>
      </c>
      <c r="FJ9" s="313">
        <v>0</v>
      </c>
      <c r="FK9" s="313"/>
      <c r="FL9" s="313"/>
      <c r="FM9" s="313"/>
      <c r="FN9" s="313"/>
      <c r="FO9" s="313">
        <v>1</v>
      </c>
      <c r="FP9" s="313">
        <v>0</v>
      </c>
      <c r="FQ9" s="313"/>
      <c r="FR9" s="313"/>
      <c r="FS9" s="313"/>
      <c r="FT9" s="313"/>
      <c r="FU9" s="313"/>
      <c r="FV9" s="313"/>
      <c r="FW9" s="313">
        <v>2</v>
      </c>
      <c r="FX9" s="313">
        <v>0</v>
      </c>
      <c r="FY9" s="313"/>
      <c r="FZ9" s="313"/>
      <c r="GA9" s="313"/>
      <c r="GB9" s="313"/>
      <c r="GC9" s="313"/>
      <c r="GD9" s="313"/>
      <c r="GE9" s="313"/>
      <c r="GF9" s="313"/>
      <c r="GG9" s="313"/>
      <c r="GH9" s="313"/>
      <c r="GI9" s="313"/>
      <c r="GJ9" s="313"/>
      <c r="GK9" s="313"/>
      <c r="GL9" s="313"/>
      <c r="GM9" s="315">
        <f t="shared" si="0"/>
        <v>28</v>
      </c>
      <c r="GN9" s="315">
        <f t="shared" si="0"/>
        <v>7</v>
      </c>
      <c r="GO9" s="315">
        <f t="shared" si="1"/>
        <v>0.25</v>
      </c>
      <c r="GP9" s="315">
        <f t="shared" si="2"/>
        <v>1</v>
      </c>
      <c r="GQ9" s="315">
        <f t="shared" si="3"/>
        <v>0</v>
      </c>
      <c r="GR9" s="315">
        <f t="shared" si="8"/>
        <v>0</v>
      </c>
      <c r="GS9" s="315">
        <f t="shared" si="4"/>
        <v>0</v>
      </c>
      <c r="GT9" s="315">
        <f t="shared" si="5"/>
        <v>0</v>
      </c>
      <c r="GU9" s="315">
        <v>0</v>
      </c>
      <c r="GV9" s="315">
        <f t="shared" si="6"/>
        <v>0</v>
      </c>
      <c r="GW9" s="315">
        <f t="shared" si="7"/>
        <v>0</v>
      </c>
      <c r="GX9" s="315">
        <v>0</v>
      </c>
    </row>
    <row r="10" spans="1:398" ht="25.5" x14ac:dyDescent="0.25">
      <c r="A10" s="190">
        <v>6</v>
      </c>
      <c r="B10" s="102" t="s">
        <v>177</v>
      </c>
      <c r="C10" s="95">
        <v>6</v>
      </c>
      <c r="D10" s="313">
        <v>0</v>
      </c>
      <c r="E10" s="313"/>
      <c r="F10" s="313"/>
      <c r="G10" s="313"/>
      <c r="H10" s="313"/>
      <c r="I10" s="313"/>
      <c r="J10" s="313"/>
      <c r="K10" s="313">
        <v>1</v>
      </c>
      <c r="L10" s="313">
        <v>0</v>
      </c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>
        <v>3</v>
      </c>
      <c r="AB10" s="313">
        <v>1</v>
      </c>
      <c r="AC10" s="313"/>
      <c r="AD10" s="313"/>
      <c r="AE10" s="313"/>
      <c r="AF10" s="313"/>
      <c r="AG10" s="313"/>
      <c r="AH10" s="313"/>
      <c r="AI10" s="313">
        <v>4</v>
      </c>
      <c r="AJ10" s="313">
        <v>3</v>
      </c>
      <c r="AK10" s="314">
        <v>1</v>
      </c>
      <c r="AL10" s="313">
        <v>0</v>
      </c>
      <c r="AM10" s="313"/>
      <c r="AN10" s="313"/>
      <c r="AO10" s="313"/>
      <c r="AP10" s="313"/>
      <c r="AQ10" s="313">
        <v>4</v>
      </c>
      <c r="AR10" s="313">
        <v>1</v>
      </c>
      <c r="AS10" s="314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>
        <v>3</v>
      </c>
      <c r="BH10" s="313">
        <v>2</v>
      </c>
      <c r="BI10" s="313"/>
      <c r="BJ10" s="313"/>
      <c r="BK10" s="313"/>
      <c r="BL10" s="313"/>
      <c r="BM10" s="313"/>
      <c r="BN10" s="313"/>
      <c r="BO10" s="313">
        <v>2</v>
      </c>
      <c r="BP10" s="313">
        <v>1</v>
      </c>
      <c r="BQ10" s="313"/>
      <c r="BR10" s="313"/>
      <c r="BS10" s="313"/>
      <c r="BT10" s="313"/>
      <c r="BU10" s="313"/>
      <c r="BV10" s="313"/>
      <c r="BW10" s="313">
        <v>0</v>
      </c>
      <c r="BX10" s="313">
        <v>0</v>
      </c>
      <c r="BY10" s="313"/>
      <c r="BZ10" s="313"/>
      <c r="CA10" s="313"/>
      <c r="CB10" s="313"/>
      <c r="CC10" s="313"/>
      <c r="CD10" s="313"/>
      <c r="CE10" s="313">
        <v>1</v>
      </c>
      <c r="CF10" s="313">
        <v>0</v>
      </c>
      <c r="CG10" s="313"/>
      <c r="CH10" s="313"/>
      <c r="CI10" s="313"/>
      <c r="CJ10" s="313"/>
      <c r="CK10" s="313"/>
      <c r="CL10" s="313"/>
      <c r="CM10" s="316">
        <v>1</v>
      </c>
      <c r="CN10" s="313">
        <v>0</v>
      </c>
      <c r="CO10" s="313"/>
      <c r="CP10" s="313"/>
      <c r="CQ10" s="313"/>
      <c r="CR10" s="313"/>
      <c r="CS10" s="313"/>
      <c r="CT10" s="313"/>
      <c r="CU10" s="316">
        <v>1</v>
      </c>
      <c r="CV10" s="313">
        <v>0</v>
      </c>
      <c r="CW10" s="313"/>
      <c r="CX10" s="313"/>
      <c r="CY10" s="313"/>
      <c r="CZ10" s="313"/>
      <c r="DA10" s="313"/>
      <c r="DB10" s="313"/>
      <c r="DC10" s="313">
        <v>2</v>
      </c>
      <c r="DD10" s="313">
        <v>1</v>
      </c>
      <c r="DE10" s="313"/>
      <c r="DF10" s="313"/>
      <c r="DG10" s="313"/>
      <c r="DH10" s="313"/>
      <c r="DI10" s="313"/>
      <c r="DJ10" s="313"/>
      <c r="DK10" s="313"/>
      <c r="DL10" s="313"/>
      <c r="DM10" s="313"/>
      <c r="DN10" s="313"/>
      <c r="DO10" s="313"/>
      <c r="DP10" s="313"/>
      <c r="DQ10" s="313"/>
      <c r="DR10" s="313"/>
      <c r="DS10" s="313">
        <v>3</v>
      </c>
      <c r="DT10" s="313">
        <v>1</v>
      </c>
      <c r="DU10" s="313">
        <v>1</v>
      </c>
      <c r="DV10" s="313"/>
      <c r="DW10" s="313"/>
      <c r="DX10" s="313"/>
      <c r="DY10" s="313"/>
      <c r="DZ10" s="313"/>
      <c r="EA10" s="313"/>
      <c r="EB10" s="313"/>
      <c r="EC10" s="313"/>
      <c r="ED10" s="313"/>
      <c r="EE10" s="313"/>
      <c r="EF10" s="313"/>
      <c r="EG10" s="313"/>
      <c r="EH10" s="313"/>
      <c r="EI10" s="313">
        <v>3</v>
      </c>
      <c r="EJ10" s="313">
        <v>2</v>
      </c>
      <c r="EK10" s="314">
        <v>1</v>
      </c>
      <c r="EL10" s="314">
        <v>0</v>
      </c>
      <c r="EM10" s="314"/>
      <c r="EN10" s="313"/>
      <c r="EO10" s="313"/>
      <c r="EP10" s="313"/>
      <c r="EQ10" s="313"/>
      <c r="ER10" s="313"/>
      <c r="ES10" s="313"/>
      <c r="ET10" s="313"/>
      <c r="EU10" s="313"/>
      <c r="EV10" s="313"/>
      <c r="EW10" s="313"/>
      <c r="EX10" s="313"/>
      <c r="EY10" s="313">
        <v>1</v>
      </c>
      <c r="EZ10" s="313">
        <v>0</v>
      </c>
      <c r="FA10" s="313"/>
      <c r="FB10" s="313"/>
      <c r="FC10" s="313"/>
      <c r="FD10" s="313"/>
      <c r="FE10" s="313"/>
      <c r="FF10" s="313"/>
      <c r="FG10" s="313">
        <v>1</v>
      </c>
      <c r="FH10" s="313">
        <v>0</v>
      </c>
      <c r="FI10" s="313"/>
      <c r="FJ10" s="313"/>
      <c r="FK10" s="313"/>
      <c r="FL10" s="313"/>
      <c r="FM10" s="313"/>
      <c r="FN10" s="313"/>
      <c r="FO10" s="313">
        <v>4</v>
      </c>
      <c r="FP10" s="313">
        <v>2</v>
      </c>
      <c r="FQ10" s="313"/>
      <c r="FR10" s="313"/>
      <c r="FS10" s="313"/>
      <c r="FT10" s="313"/>
      <c r="FU10" s="313"/>
      <c r="FV10" s="313"/>
      <c r="FW10" s="313">
        <v>3</v>
      </c>
      <c r="FX10" s="313">
        <v>0</v>
      </c>
      <c r="FY10" s="313"/>
      <c r="FZ10" s="313"/>
      <c r="GA10" s="313"/>
      <c r="GB10" s="313"/>
      <c r="GC10" s="313"/>
      <c r="GD10" s="313"/>
      <c r="GE10" s="313">
        <v>1</v>
      </c>
      <c r="GF10" s="313">
        <v>1</v>
      </c>
      <c r="GG10" s="313"/>
      <c r="GH10" s="313"/>
      <c r="GI10" s="313"/>
      <c r="GJ10" s="313"/>
      <c r="GK10" s="313"/>
      <c r="GL10" s="313"/>
      <c r="GM10" s="315">
        <f t="shared" si="0"/>
        <v>44</v>
      </c>
      <c r="GN10" s="315">
        <f t="shared" si="0"/>
        <v>15</v>
      </c>
      <c r="GO10" s="315">
        <f t="shared" si="1"/>
        <v>0.34090909090909088</v>
      </c>
      <c r="GP10" s="315">
        <f t="shared" si="2"/>
        <v>3</v>
      </c>
      <c r="GQ10" s="315">
        <f t="shared" si="3"/>
        <v>0</v>
      </c>
      <c r="GR10" s="315">
        <f t="shared" si="8"/>
        <v>0</v>
      </c>
      <c r="GS10" s="315">
        <f t="shared" si="4"/>
        <v>0</v>
      </c>
      <c r="GT10" s="315">
        <f t="shared" si="5"/>
        <v>0</v>
      </c>
      <c r="GU10" s="315">
        <v>0</v>
      </c>
      <c r="GV10" s="315">
        <f t="shared" si="6"/>
        <v>0</v>
      </c>
      <c r="GW10" s="315">
        <f t="shared" si="7"/>
        <v>0</v>
      </c>
      <c r="GX10" s="315">
        <v>0</v>
      </c>
    </row>
    <row r="11" spans="1:398" ht="15.75" x14ac:dyDescent="0.25">
      <c r="A11" s="190">
        <v>7</v>
      </c>
      <c r="B11" s="132" t="s">
        <v>144</v>
      </c>
      <c r="C11" s="155">
        <v>4</v>
      </c>
      <c r="D11" s="313">
        <v>1</v>
      </c>
      <c r="E11" s="313"/>
      <c r="F11" s="313"/>
      <c r="G11" s="313"/>
      <c r="H11" s="313"/>
      <c r="I11" s="313"/>
      <c r="J11" s="313"/>
      <c r="K11" s="313">
        <v>0</v>
      </c>
      <c r="L11" s="313">
        <v>0</v>
      </c>
      <c r="M11" s="313"/>
      <c r="N11" s="313"/>
      <c r="O11" s="313"/>
      <c r="P11" s="313"/>
      <c r="Q11" s="313"/>
      <c r="R11" s="313"/>
      <c r="S11" s="155">
        <v>1</v>
      </c>
      <c r="T11" s="313">
        <v>0</v>
      </c>
      <c r="U11" s="313"/>
      <c r="V11" s="313"/>
      <c r="W11" s="313"/>
      <c r="X11" s="313"/>
      <c r="Y11" s="313"/>
      <c r="Z11" s="313"/>
      <c r="AA11" s="313">
        <v>1</v>
      </c>
      <c r="AB11" s="313">
        <v>0</v>
      </c>
      <c r="AC11" s="313"/>
      <c r="AD11" s="313"/>
      <c r="AE11" s="313"/>
      <c r="AF11" s="313"/>
      <c r="AG11" s="313"/>
      <c r="AH11" s="313"/>
      <c r="AI11" s="155">
        <v>0</v>
      </c>
      <c r="AJ11" s="313">
        <v>0</v>
      </c>
      <c r="AK11" s="314"/>
      <c r="AL11" s="313"/>
      <c r="AM11" s="313"/>
      <c r="AN11" s="313"/>
      <c r="AO11" s="313"/>
      <c r="AP11" s="313"/>
      <c r="AQ11" s="313">
        <v>0</v>
      </c>
      <c r="AR11" s="313">
        <v>0</v>
      </c>
      <c r="AS11" s="314"/>
      <c r="AT11" s="313"/>
      <c r="AU11" s="313"/>
      <c r="AV11" s="313"/>
      <c r="AW11" s="313"/>
      <c r="AX11" s="313"/>
      <c r="AY11" s="155">
        <v>1</v>
      </c>
      <c r="AZ11" s="313">
        <v>0</v>
      </c>
      <c r="BA11" s="313"/>
      <c r="BB11" s="313"/>
      <c r="BC11" s="313"/>
      <c r="BD11" s="313"/>
      <c r="BE11" s="313"/>
      <c r="BF11" s="313"/>
      <c r="BG11" s="313">
        <v>3</v>
      </c>
      <c r="BH11" s="313">
        <v>0</v>
      </c>
      <c r="BI11" s="313"/>
      <c r="BJ11" s="313"/>
      <c r="BK11" s="313"/>
      <c r="BL11" s="313"/>
      <c r="BM11" s="313"/>
      <c r="BN11" s="313"/>
      <c r="BO11" s="155"/>
      <c r="BP11" s="313"/>
      <c r="BQ11" s="313"/>
      <c r="BR11" s="313"/>
      <c r="BS11" s="313"/>
      <c r="BT11" s="313"/>
      <c r="BU11" s="313"/>
      <c r="BV11" s="313"/>
      <c r="BW11" s="313">
        <v>0</v>
      </c>
      <c r="BX11" s="313">
        <v>0</v>
      </c>
      <c r="BY11" s="313"/>
      <c r="BZ11" s="313"/>
      <c r="CA11" s="313"/>
      <c r="CB11" s="313"/>
      <c r="CC11" s="313"/>
      <c r="CD11" s="313"/>
      <c r="CE11" s="155">
        <v>1</v>
      </c>
      <c r="CF11" s="313">
        <v>0</v>
      </c>
      <c r="CG11" s="313"/>
      <c r="CH11" s="313"/>
      <c r="CI11" s="313"/>
      <c r="CJ11" s="313"/>
      <c r="CK11" s="313"/>
      <c r="CL11" s="313"/>
      <c r="CM11" s="313"/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3"/>
      <c r="CY11" s="313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  <c r="DK11" s="155">
        <v>3</v>
      </c>
      <c r="DL11" s="313">
        <v>3</v>
      </c>
      <c r="DM11" s="313">
        <v>1</v>
      </c>
      <c r="DN11" s="313">
        <v>1</v>
      </c>
      <c r="DO11" s="313"/>
      <c r="DP11" s="313"/>
      <c r="DQ11" s="313"/>
      <c r="DR11" s="313"/>
      <c r="DS11" s="313">
        <v>0</v>
      </c>
      <c r="DT11" s="313">
        <v>0</v>
      </c>
      <c r="DU11" s="313"/>
      <c r="DV11" s="313"/>
      <c r="DW11" s="313"/>
      <c r="DX11" s="313"/>
      <c r="DY11" s="313"/>
      <c r="DZ11" s="313"/>
      <c r="EA11" s="155"/>
      <c r="EB11" s="313"/>
      <c r="EC11" s="313"/>
      <c r="ED11" s="313"/>
      <c r="EE11" s="313"/>
      <c r="EF11" s="313"/>
      <c r="EG11" s="313"/>
      <c r="EH11" s="313"/>
      <c r="EI11" s="313"/>
      <c r="EJ11" s="313"/>
      <c r="EK11" s="314"/>
      <c r="EL11" s="314"/>
      <c r="EM11" s="314"/>
      <c r="EN11" s="313"/>
      <c r="EO11" s="313"/>
      <c r="EP11" s="313"/>
      <c r="EQ11" s="155">
        <v>0</v>
      </c>
      <c r="ER11" s="313">
        <v>0</v>
      </c>
      <c r="ES11" s="313"/>
      <c r="ET11" s="313"/>
      <c r="EU11" s="313"/>
      <c r="EV11" s="313"/>
      <c r="EW11" s="313"/>
      <c r="EX11" s="313"/>
      <c r="EY11" s="313"/>
      <c r="EZ11" s="313"/>
      <c r="FA11" s="313"/>
      <c r="FB11" s="313"/>
      <c r="FC11" s="313"/>
      <c r="FD11" s="313"/>
      <c r="FE11" s="313"/>
      <c r="FF11" s="313"/>
      <c r="FG11" s="155"/>
      <c r="FH11" s="313"/>
      <c r="FI11" s="313"/>
      <c r="FJ11" s="313"/>
      <c r="FK11" s="313"/>
      <c r="FL11" s="313"/>
      <c r="FM11" s="313"/>
      <c r="FN11" s="313"/>
      <c r="FO11" s="313">
        <v>2</v>
      </c>
      <c r="FP11" s="313">
        <v>0</v>
      </c>
      <c r="FQ11" s="313"/>
      <c r="FR11" s="313"/>
      <c r="FS11" s="313"/>
      <c r="FT11" s="313"/>
      <c r="FU11" s="313"/>
      <c r="FV11" s="313"/>
      <c r="FW11" s="155">
        <v>3</v>
      </c>
      <c r="FX11" s="313">
        <v>0</v>
      </c>
      <c r="FY11" s="313"/>
      <c r="FZ11" s="313"/>
      <c r="GA11" s="313"/>
      <c r="GB11" s="313"/>
      <c r="GC11" s="313"/>
      <c r="GD11" s="313"/>
      <c r="GE11" s="313"/>
      <c r="GF11" s="313"/>
      <c r="GG11" s="313"/>
      <c r="GH11" s="313"/>
      <c r="GI11" s="313"/>
      <c r="GJ11" s="313"/>
      <c r="GK11" s="313"/>
      <c r="GL11" s="313"/>
      <c r="GM11" s="315">
        <f t="shared" si="0"/>
        <v>19</v>
      </c>
      <c r="GN11" s="315">
        <f t="shared" si="0"/>
        <v>4</v>
      </c>
      <c r="GO11" s="315">
        <f t="shared" si="1"/>
        <v>0.21052631578947367</v>
      </c>
      <c r="GP11" s="315">
        <f t="shared" si="2"/>
        <v>1</v>
      </c>
      <c r="GQ11" s="315">
        <f t="shared" si="3"/>
        <v>1</v>
      </c>
      <c r="GR11" s="315">
        <f t="shared" si="8"/>
        <v>1</v>
      </c>
      <c r="GS11" s="315">
        <f t="shared" si="4"/>
        <v>0</v>
      </c>
      <c r="GT11" s="315">
        <f t="shared" si="5"/>
        <v>0</v>
      </c>
      <c r="GU11" s="315">
        <v>0</v>
      </c>
      <c r="GV11" s="315">
        <f t="shared" si="6"/>
        <v>0</v>
      </c>
      <c r="GW11" s="315">
        <f t="shared" si="7"/>
        <v>0</v>
      </c>
      <c r="GX11" s="315">
        <v>0</v>
      </c>
    </row>
    <row r="12" spans="1:398" ht="15.75" x14ac:dyDescent="0.25">
      <c r="A12" s="190">
        <v>8</v>
      </c>
      <c r="B12" s="102" t="s">
        <v>145</v>
      </c>
      <c r="C12" s="95">
        <v>4</v>
      </c>
      <c r="D12" s="95">
        <v>0</v>
      </c>
      <c r="E12" s="95"/>
      <c r="F12" s="95"/>
      <c r="G12" s="95"/>
      <c r="H12" s="95"/>
      <c r="I12" s="95"/>
      <c r="J12" s="95"/>
      <c r="K12" s="95">
        <v>1</v>
      </c>
      <c r="L12" s="95">
        <v>0</v>
      </c>
      <c r="M12" s="95"/>
      <c r="N12" s="95"/>
      <c r="O12" s="95"/>
      <c r="P12" s="95"/>
      <c r="Q12" s="95"/>
      <c r="R12" s="95"/>
      <c r="S12" s="95">
        <v>1</v>
      </c>
      <c r="T12" s="95">
        <v>0</v>
      </c>
      <c r="U12" s="95"/>
      <c r="V12" s="95"/>
      <c r="W12" s="95"/>
      <c r="X12" s="95"/>
      <c r="Y12" s="95"/>
      <c r="Z12" s="95"/>
      <c r="AA12" s="95">
        <v>2</v>
      </c>
      <c r="AB12" s="95">
        <v>0</v>
      </c>
      <c r="AC12" s="95"/>
      <c r="AD12" s="95"/>
      <c r="AE12" s="95"/>
      <c r="AF12" s="95"/>
      <c r="AG12" s="95"/>
      <c r="AH12" s="95"/>
      <c r="AI12" s="95">
        <v>0</v>
      </c>
      <c r="AJ12" s="95">
        <v>0</v>
      </c>
      <c r="AK12" s="161"/>
      <c r="AL12" s="95"/>
      <c r="AM12" s="95"/>
      <c r="AN12" s="95"/>
      <c r="AO12" s="95"/>
      <c r="AP12" s="95"/>
      <c r="AQ12" s="95">
        <v>1</v>
      </c>
      <c r="AR12" s="95">
        <v>0</v>
      </c>
      <c r="AS12" s="161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>
        <v>3</v>
      </c>
      <c r="BH12" s="95">
        <v>0</v>
      </c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>
        <v>1</v>
      </c>
      <c r="BX12" s="95">
        <v>0</v>
      </c>
      <c r="BY12" s="95"/>
      <c r="BZ12" s="95"/>
      <c r="CA12" s="95"/>
      <c r="CB12" s="95"/>
      <c r="CC12" s="95"/>
      <c r="CD12" s="95"/>
      <c r="CE12" s="95">
        <v>4</v>
      </c>
      <c r="CF12" s="95">
        <v>0</v>
      </c>
      <c r="CG12" s="313"/>
      <c r="CH12" s="313"/>
      <c r="CI12" s="95"/>
      <c r="CJ12" s="95"/>
      <c r="CK12" s="95"/>
      <c r="CL12" s="95"/>
      <c r="CM12" s="95">
        <v>1</v>
      </c>
      <c r="CN12" s="95">
        <v>0</v>
      </c>
      <c r="CO12" s="95"/>
      <c r="CP12" s="95"/>
      <c r="CQ12" s="95"/>
      <c r="CR12" s="95"/>
      <c r="CS12" s="95"/>
      <c r="CT12" s="95"/>
      <c r="CU12" s="95"/>
      <c r="CV12" s="313"/>
      <c r="CW12" s="95"/>
      <c r="CX12" s="95"/>
      <c r="CY12" s="95"/>
      <c r="CZ12" s="95"/>
      <c r="DA12" s="95"/>
      <c r="DB12" s="95"/>
      <c r="DC12" s="95">
        <v>1</v>
      </c>
      <c r="DD12" s="95">
        <v>1</v>
      </c>
      <c r="DE12" s="95">
        <v>1</v>
      </c>
      <c r="DF12" s="95">
        <v>0</v>
      </c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>
        <v>1</v>
      </c>
      <c r="DT12" s="95">
        <v>0</v>
      </c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161"/>
      <c r="EL12" s="161"/>
      <c r="EM12" s="161"/>
      <c r="EN12" s="95"/>
      <c r="EO12" s="95"/>
      <c r="EP12" s="95"/>
      <c r="EQ12" s="95">
        <v>1</v>
      </c>
      <c r="ER12" s="95">
        <v>0</v>
      </c>
      <c r="ES12" s="95"/>
      <c r="ET12" s="95"/>
      <c r="EU12" s="95"/>
      <c r="EV12" s="95"/>
      <c r="EW12" s="95"/>
      <c r="EX12" s="95"/>
      <c r="EY12" s="95">
        <v>1</v>
      </c>
      <c r="EZ12" s="95">
        <v>0</v>
      </c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>
        <v>1</v>
      </c>
      <c r="FP12" s="95">
        <v>0</v>
      </c>
      <c r="FQ12" s="95"/>
      <c r="FR12" s="95"/>
      <c r="FS12" s="95"/>
      <c r="FT12" s="95"/>
      <c r="FU12" s="95"/>
      <c r="FV12" s="95"/>
      <c r="FW12" s="95">
        <v>1</v>
      </c>
      <c r="FX12" s="95">
        <v>0</v>
      </c>
      <c r="FY12" s="95"/>
      <c r="FZ12" s="95"/>
      <c r="GA12" s="95"/>
      <c r="GB12" s="95"/>
      <c r="GC12" s="95"/>
      <c r="GD12" s="95"/>
      <c r="GE12" s="95">
        <v>1</v>
      </c>
      <c r="GF12" s="95">
        <v>0</v>
      </c>
      <c r="GG12" s="95"/>
      <c r="GH12" s="95"/>
      <c r="GI12" s="95"/>
      <c r="GJ12" s="95"/>
      <c r="GK12" s="95"/>
      <c r="GL12" s="313"/>
      <c r="GM12" s="315">
        <f t="shared" si="0"/>
        <v>25</v>
      </c>
      <c r="GN12" s="315">
        <f t="shared" si="0"/>
        <v>1</v>
      </c>
      <c r="GO12" s="315">
        <f t="shared" si="1"/>
        <v>0.04</v>
      </c>
      <c r="GP12" s="315">
        <f t="shared" si="2"/>
        <v>1</v>
      </c>
      <c r="GQ12" s="315">
        <f t="shared" si="3"/>
        <v>0</v>
      </c>
      <c r="GR12" s="315">
        <f t="shared" si="8"/>
        <v>0</v>
      </c>
      <c r="GS12" s="315">
        <f t="shared" si="4"/>
        <v>0</v>
      </c>
      <c r="GT12" s="315">
        <f t="shared" si="5"/>
        <v>0</v>
      </c>
      <c r="GU12" s="315">
        <v>0</v>
      </c>
      <c r="GV12" s="315">
        <f t="shared" si="6"/>
        <v>0</v>
      </c>
      <c r="GW12" s="315">
        <f t="shared" si="7"/>
        <v>0</v>
      </c>
      <c r="GX12" s="315">
        <v>0</v>
      </c>
    </row>
    <row r="13" spans="1:398" ht="15.75" x14ac:dyDescent="0.25">
      <c r="A13" s="190">
        <v>9</v>
      </c>
      <c r="B13" s="102" t="s">
        <v>146</v>
      </c>
      <c r="C13" s="95">
        <v>4</v>
      </c>
      <c r="D13" s="313">
        <v>2</v>
      </c>
      <c r="E13" s="313"/>
      <c r="F13" s="313"/>
      <c r="G13" s="313"/>
      <c r="H13" s="313"/>
      <c r="I13" s="313"/>
      <c r="J13" s="313"/>
      <c r="K13" s="313">
        <v>1</v>
      </c>
      <c r="L13" s="313">
        <v>0</v>
      </c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>
        <v>1</v>
      </c>
      <c r="AB13" s="313">
        <v>0</v>
      </c>
      <c r="AC13" s="313"/>
      <c r="AD13" s="313"/>
      <c r="AE13" s="313"/>
      <c r="AF13" s="313"/>
      <c r="AG13" s="313"/>
      <c r="AH13" s="313"/>
      <c r="AI13" s="313">
        <v>1</v>
      </c>
      <c r="AJ13" s="313">
        <v>0</v>
      </c>
      <c r="AK13" s="314"/>
      <c r="AL13" s="313"/>
      <c r="AM13" s="313"/>
      <c r="AN13" s="313"/>
      <c r="AO13" s="313"/>
      <c r="AP13" s="313"/>
      <c r="AQ13" s="313">
        <v>1</v>
      </c>
      <c r="AR13" s="313">
        <v>1</v>
      </c>
      <c r="AS13" s="314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  <c r="BP13" s="313"/>
      <c r="BQ13" s="313"/>
      <c r="BR13" s="313"/>
      <c r="BS13" s="313"/>
      <c r="BT13" s="313"/>
      <c r="BU13" s="313"/>
      <c r="BV13" s="313"/>
      <c r="BW13" s="313">
        <v>2</v>
      </c>
      <c r="BX13" s="313">
        <v>0</v>
      </c>
      <c r="BY13" s="313"/>
      <c r="BZ13" s="313"/>
      <c r="CA13" s="313"/>
      <c r="CB13" s="313"/>
      <c r="CC13" s="313"/>
      <c r="CD13" s="313"/>
      <c r="CE13" s="313">
        <v>1</v>
      </c>
      <c r="CF13" s="313">
        <v>0</v>
      </c>
      <c r="CG13" s="313"/>
      <c r="CH13" s="313"/>
      <c r="CI13" s="313"/>
      <c r="CJ13" s="313"/>
      <c r="CK13" s="313"/>
      <c r="CL13" s="313"/>
      <c r="CM13" s="313">
        <v>1</v>
      </c>
      <c r="CN13" s="313">
        <v>0</v>
      </c>
      <c r="CO13" s="313"/>
      <c r="CP13" s="313"/>
      <c r="CQ13" s="313"/>
      <c r="CR13" s="313"/>
      <c r="CS13" s="313"/>
      <c r="CT13" s="313"/>
      <c r="CU13" s="313"/>
      <c r="CV13" s="313"/>
      <c r="CW13" s="313"/>
      <c r="CX13" s="313"/>
      <c r="CY13" s="313"/>
      <c r="CZ13" s="313"/>
      <c r="DA13" s="313"/>
      <c r="DB13" s="313"/>
      <c r="DC13" s="313"/>
      <c r="DD13" s="313"/>
      <c r="DE13" s="313"/>
      <c r="DF13" s="313"/>
      <c r="DG13" s="313"/>
      <c r="DH13" s="313"/>
      <c r="DI13" s="313"/>
      <c r="DJ13" s="313"/>
      <c r="DK13" s="313">
        <v>1</v>
      </c>
      <c r="DL13" s="313">
        <v>0</v>
      </c>
      <c r="DM13" s="313"/>
      <c r="DN13" s="313"/>
      <c r="DO13" s="313"/>
      <c r="DP13" s="313"/>
      <c r="DQ13" s="313"/>
      <c r="DR13" s="313"/>
      <c r="DS13" s="313">
        <v>1</v>
      </c>
      <c r="DT13" s="313">
        <v>1</v>
      </c>
      <c r="DU13" s="313"/>
      <c r="DV13" s="313"/>
      <c r="DW13" s="313"/>
      <c r="DX13" s="313"/>
      <c r="DY13" s="313"/>
      <c r="DZ13" s="313"/>
      <c r="EA13" s="313"/>
      <c r="EB13" s="313"/>
      <c r="EC13" s="313"/>
      <c r="ED13" s="313"/>
      <c r="EE13" s="313"/>
      <c r="EF13" s="313"/>
      <c r="EG13" s="313"/>
      <c r="EH13" s="313"/>
      <c r="EI13" s="313"/>
      <c r="EJ13" s="313"/>
      <c r="EK13" s="314"/>
      <c r="EL13" s="314"/>
      <c r="EM13" s="314"/>
      <c r="EN13" s="313"/>
      <c r="EO13" s="313"/>
      <c r="EP13" s="313"/>
      <c r="EQ13" s="313">
        <v>2</v>
      </c>
      <c r="ER13" s="313">
        <v>0</v>
      </c>
      <c r="ES13" s="313"/>
      <c r="ET13" s="313"/>
      <c r="EU13" s="313"/>
      <c r="EV13" s="313"/>
      <c r="EW13" s="313"/>
      <c r="EX13" s="313"/>
      <c r="EY13" s="313">
        <v>1</v>
      </c>
      <c r="EZ13" s="313">
        <v>0</v>
      </c>
      <c r="FA13" s="313"/>
      <c r="FB13" s="313"/>
      <c r="FC13" s="313"/>
      <c r="FD13" s="313"/>
      <c r="FE13" s="313"/>
      <c r="FF13" s="313"/>
      <c r="FG13" s="313"/>
      <c r="FH13" s="313"/>
      <c r="FI13" s="313"/>
      <c r="FJ13" s="313"/>
      <c r="FK13" s="313"/>
      <c r="FL13" s="313"/>
      <c r="FM13" s="313"/>
      <c r="FN13" s="313"/>
      <c r="FO13" s="313">
        <v>1</v>
      </c>
      <c r="FP13" s="313">
        <v>1</v>
      </c>
      <c r="FQ13" s="313"/>
      <c r="FR13" s="313"/>
      <c r="FS13" s="313"/>
      <c r="FT13" s="313"/>
      <c r="FU13" s="313"/>
      <c r="FV13" s="313"/>
      <c r="FW13" s="313">
        <v>2</v>
      </c>
      <c r="FX13" s="313">
        <v>0</v>
      </c>
      <c r="FY13" s="313"/>
      <c r="FZ13" s="313"/>
      <c r="GA13" s="313"/>
      <c r="GB13" s="313"/>
      <c r="GC13" s="313"/>
      <c r="GD13" s="313"/>
      <c r="GE13" s="313"/>
      <c r="GF13" s="313"/>
      <c r="GG13" s="313"/>
      <c r="GH13" s="313"/>
      <c r="GI13" s="313"/>
      <c r="GJ13" s="313"/>
      <c r="GK13" s="313"/>
      <c r="GL13" s="313"/>
      <c r="GM13" s="315">
        <f t="shared" si="0"/>
        <v>20</v>
      </c>
      <c r="GN13" s="315">
        <f t="shared" si="0"/>
        <v>5</v>
      </c>
      <c r="GO13" s="315">
        <f t="shared" si="1"/>
        <v>0.25</v>
      </c>
      <c r="GP13" s="315">
        <f t="shared" si="2"/>
        <v>0</v>
      </c>
      <c r="GQ13" s="315">
        <f t="shared" si="3"/>
        <v>0</v>
      </c>
      <c r="GR13" s="315">
        <v>0</v>
      </c>
      <c r="GS13" s="315">
        <f t="shared" si="4"/>
        <v>0</v>
      </c>
      <c r="GT13" s="315">
        <f t="shared" si="5"/>
        <v>0</v>
      </c>
      <c r="GU13" s="315">
        <v>0</v>
      </c>
      <c r="GV13" s="315">
        <f t="shared" si="6"/>
        <v>0</v>
      </c>
      <c r="GW13" s="315">
        <f t="shared" si="7"/>
        <v>0</v>
      </c>
      <c r="GX13" s="315">
        <v>0</v>
      </c>
    </row>
    <row r="14" spans="1:398" ht="15.75" x14ac:dyDescent="0.25">
      <c r="A14" s="190">
        <v>10</v>
      </c>
      <c r="B14" s="102" t="s">
        <v>172</v>
      </c>
      <c r="C14" s="155">
        <v>0</v>
      </c>
      <c r="D14" s="313">
        <v>0</v>
      </c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155"/>
      <c r="T14" s="313"/>
      <c r="U14" s="313"/>
      <c r="V14" s="313"/>
      <c r="W14" s="313"/>
      <c r="X14" s="313"/>
      <c r="Y14" s="313"/>
      <c r="Z14" s="313"/>
      <c r="AA14" s="313">
        <v>0</v>
      </c>
      <c r="AB14" s="313">
        <v>0</v>
      </c>
      <c r="AC14" s="313"/>
      <c r="AD14" s="313"/>
      <c r="AE14" s="313"/>
      <c r="AF14" s="313"/>
      <c r="AG14" s="313"/>
      <c r="AH14" s="313"/>
      <c r="AI14" s="155">
        <v>0</v>
      </c>
      <c r="AJ14" s="313">
        <v>0</v>
      </c>
      <c r="AK14" s="314"/>
      <c r="AL14" s="313"/>
      <c r="AM14" s="313"/>
      <c r="AN14" s="313"/>
      <c r="AO14" s="313"/>
      <c r="AP14" s="313"/>
      <c r="AQ14" s="313">
        <v>0</v>
      </c>
      <c r="AR14" s="313">
        <v>0</v>
      </c>
      <c r="AS14" s="314"/>
      <c r="AT14" s="313"/>
      <c r="AU14" s="313"/>
      <c r="AV14" s="313"/>
      <c r="AW14" s="313"/>
      <c r="AX14" s="313"/>
      <c r="AY14" s="155"/>
      <c r="AZ14" s="313"/>
      <c r="BA14" s="313"/>
      <c r="BB14" s="313"/>
      <c r="BC14" s="313"/>
      <c r="BD14" s="313"/>
      <c r="BE14" s="313"/>
      <c r="BF14" s="313"/>
      <c r="BG14" s="313">
        <v>1</v>
      </c>
      <c r="BH14" s="313">
        <v>0</v>
      </c>
      <c r="BI14" s="313"/>
      <c r="BJ14" s="313"/>
      <c r="BK14" s="313"/>
      <c r="BL14" s="313"/>
      <c r="BM14" s="313"/>
      <c r="BN14" s="313"/>
      <c r="BO14" s="155"/>
      <c r="BP14" s="313"/>
      <c r="BQ14" s="313"/>
      <c r="BR14" s="313"/>
      <c r="BS14" s="313"/>
      <c r="BT14" s="313"/>
      <c r="BU14" s="313"/>
      <c r="BV14" s="313"/>
      <c r="BW14" s="313">
        <v>0</v>
      </c>
      <c r="BX14" s="313">
        <v>0</v>
      </c>
      <c r="BY14" s="313"/>
      <c r="BZ14" s="313"/>
      <c r="CA14" s="313"/>
      <c r="CB14" s="313"/>
      <c r="CC14" s="313"/>
      <c r="CD14" s="313"/>
      <c r="CE14" s="155">
        <v>1</v>
      </c>
      <c r="CF14" s="313">
        <v>0</v>
      </c>
      <c r="CG14" s="313"/>
      <c r="CH14" s="313"/>
      <c r="CI14" s="313"/>
      <c r="CJ14" s="313"/>
      <c r="CK14" s="313"/>
      <c r="CL14" s="313"/>
      <c r="CM14" s="313"/>
      <c r="CN14" s="313"/>
      <c r="CO14" s="313"/>
      <c r="CP14" s="313"/>
      <c r="CQ14" s="313"/>
      <c r="CR14" s="313"/>
      <c r="CS14" s="313"/>
      <c r="CT14" s="313"/>
      <c r="CU14" s="313"/>
      <c r="CV14" s="313"/>
      <c r="CW14" s="313"/>
      <c r="CX14" s="313"/>
      <c r="CY14" s="313"/>
      <c r="CZ14" s="313"/>
      <c r="DA14" s="313"/>
      <c r="DB14" s="313"/>
      <c r="DC14" s="313"/>
      <c r="DD14" s="313"/>
      <c r="DE14" s="313"/>
      <c r="DF14" s="313"/>
      <c r="DG14" s="313"/>
      <c r="DH14" s="313"/>
      <c r="DI14" s="313"/>
      <c r="DJ14" s="313"/>
      <c r="DK14" s="155"/>
      <c r="DL14" s="313"/>
      <c r="DM14" s="313"/>
      <c r="DN14" s="313"/>
      <c r="DO14" s="313"/>
      <c r="DP14" s="313"/>
      <c r="DQ14" s="313"/>
      <c r="DR14" s="313"/>
      <c r="DS14" s="313">
        <v>0</v>
      </c>
      <c r="DT14" s="313">
        <v>0</v>
      </c>
      <c r="DU14" s="313"/>
      <c r="DV14" s="313"/>
      <c r="DW14" s="313"/>
      <c r="DX14" s="313"/>
      <c r="DY14" s="313"/>
      <c r="DZ14" s="313"/>
      <c r="EA14" s="155"/>
      <c r="EB14" s="313"/>
      <c r="EC14" s="313"/>
      <c r="ED14" s="313"/>
      <c r="EE14" s="313"/>
      <c r="EF14" s="313"/>
      <c r="EG14" s="313"/>
      <c r="EH14" s="313"/>
      <c r="EI14" s="313"/>
      <c r="EJ14" s="313"/>
      <c r="EK14" s="314"/>
      <c r="EL14" s="314"/>
      <c r="EM14" s="314"/>
      <c r="EN14" s="313"/>
      <c r="EO14" s="313"/>
      <c r="EP14" s="313"/>
      <c r="EQ14" s="155"/>
      <c r="ER14" s="313"/>
      <c r="ES14" s="313"/>
      <c r="ET14" s="313"/>
      <c r="EU14" s="313"/>
      <c r="EV14" s="313"/>
      <c r="EW14" s="313"/>
      <c r="EX14" s="313"/>
      <c r="EY14" s="313">
        <v>1</v>
      </c>
      <c r="EZ14" s="313">
        <v>0</v>
      </c>
      <c r="FA14" s="313"/>
      <c r="FB14" s="313"/>
      <c r="FC14" s="313"/>
      <c r="FD14" s="313"/>
      <c r="FE14" s="313"/>
      <c r="FF14" s="313"/>
      <c r="FG14" s="155"/>
      <c r="FH14" s="313"/>
      <c r="FI14" s="313"/>
      <c r="FJ14" s="313"/>
      <c r="FK14" s="313"/>
      <c r="FL14" s="313"/>
      <c r="FM14" s="313"/>
      <c r="FN14" s="313"/>
      <c r="FO14" s="313">
        <v>1</v>
      </c>
      <c r="FP14" s="313">
        <v>0</v>
      </c>
      <c r="FQ14" s="313"/>
      <c r="FR14" s="313"/>
      <c r="FS14" s="313"/>
      <c r="FT14" s="313"/>
      <c r="FU14" s="313"/>
      <c r="FV14" s="313"/>
      <c r="FW14" s="155">
        <v>0</v>
      </c>
      <c r="FX14" s="313">
        <v>0</v>
      </c>
      <c r="FY14" s="313"/>
      <c r="FZ14" s="313"/>
      <c r="GA14" s="313"/>
      <c r="GB14" s="313"/>
      <c r="GC14" s="313"/>
      <c r="GD14" s="313"/>
      <c r="GE14" s="313"/>
      <c r="GF14" s="313"/>
      <c r="GG14" s="313"/>
      <c r="GH14" s="313"/>
      <c r="GI14" s="313"/>
      <c r="GJ14" s="313"/>
      <c r="GK14" s="313"/>
      <c r="GL14" s="313"/>
      <c r="GM14" s="315">
        <f t="shared" si="0"/>
        <v>4</v>
      </c>
      <c r="GN14" s="315">
        <f t="shared" si="0"/>
        <v>0</v>
      </c>
      <c r="GO14" s="315">
        <f t="shared" si="1"/>
        <v>0</v>
      </c>
      <c r="GP14" s="315">
        <f t="shared" si="2"/>
        <v>0</v>
      </c>
      <c r="GQ14" s="315">
        <f t="shared" si="3"/>
        <v>0</v>
      </c>
      <c r="GR14" s="315">
        <v>0</v>
      </c>
      <c r="GS14" s="315">
        <f t="shared" si="4"/>
        <v>0</v>
      </c>
      <c r="GT14" s="315">
        <f t="shared" si="5"/>
        <v>0</v>
      </c>
      <c r="GU14" s="315">
        <v>0</v>
      </c>
      <c r="GV14" s="315">
        <f t="shared" si="6"/>
        <v>0</v>
      </c>
      <c r="GW14" s="315">
        <f t="shared" si="7"/>
        <v>0</v>
      </c>
      <c r="GX14" s="315">
        <v>0</v>
      </c>
    </row>
    <row r="15" spans="1:398" ht="15.75" x14ac:dyDescent="0.25">
      <c r="A15" s="190">
        <v>11</v>
      </c>
      <c r="B15" s="102" t="s">
        <v>147</v>
      </c>
      <c r="C15" s="95">
        <v>3</v>
      </c>
      <c r="D15" s="313">
        <v>0</v>
      </c>
      <c r="E15" s="313"/>
      <c r="F15" s="313"/>
      <c r="G15" s="313"/>
      <c r="H15" s="313"/>
      <c r="I15" s="313"/>
      <c r="J15" s="313"/>
      <c r="K15" s="313">
        <v>2</v>
      </c>
      <c r="L15" s="313">
        <v>0</v>
      </c>
      <c r="M15" s="313"/>
      <c r="N15" s="313"/>
      <c r="O15" s="313"/>
      <c r="P15" s="313"/>
      <c r="Q15" s="313"/>
      <c r="R15" s="313"/>
      <c r="S15" s="313">
        <v>1</v>
      </c>
      <c r="T15" s="313">
        <v>0</v>
      </c>
      <c r="U15" s="313"/>
      <c r="V15" s="313"/>
      <c r="W15" s="313"/>
      <c r="X15" s="313"/>
      <c r="Y15" s="313"/>
      <c r="Z15" s="313"/>
      <c r="AA15" s="313">
        <v>1</v>
      </c>
      <c r="AB15" s="313">
        <v>0</v>
      </c>
      <c r="AC15" s="313"/>
      <c r="AD15" s="313"/>
      <c r="AE15" s="313"/>
      <c r="AF15" s="313"/>
      <c r="AG15" s="313"/>
      <c r="AH15" s="313"/>
      <c r="AI15" s="313">
        <v>2</v>
      </c>
      <c r="AJ15" s="313">
        <v>1</v>
      </c>
      <c r="AK15" s="314"/>
      <c r="AL15" s="313"/>
      <c r="AM15" s="313"/>
      <c r="AN15" s="313"/>
      <c r="AO15" s="313"/>
      <c r="AP15" s="313"/>
      <c r="AQ15" s="313">
        <v>2</v>
      </c>
      <c r="AR15" s="313">
        <v>2</v>
      </c>
      <c r="AS15" s="314"/>
      <c r="AT15" s="313"/>
      <c r="AU15" s="313"/>
      <c r="AV15" s="313"/>
      <c r="AW15" s="313"/>
      <c r="AX15" s="313"/>
      <c r="AY15" s="313">
        <v>2</v>
      </c>
      <c r="AZ15" s="313">
        <v>1</v>
      </c>
      <c r="BA15" s="313"/>
      <c r="BB15" s="313"/>
      <c r="BC15" s="313"/>
      <c r="BD15" s="313"/>
      <c r="BE15" s="313"/>
      <c r="BF15" s="313"/>
      <c r="BG15" s="313">
        <v>3</v>
      </c>
      <c r="BH15" s="313">
        <v>1</v>
      </c>
      <c r="BI15" s="313"/>
      <c r="BJ15" s="313"/>
      <c r="BK15" s="313"/>
      <c r="BL15" s="313"/>
      <c r="BM15" s="313"/>
      <c r="BN15" s="313"/>
      <c r="BO15" s="313">
        <v>1</v>
      </c>
      <c r="BP15" s="313">
        <v>0</v>
      </c>
      <c r="BQ15" s="313"/>
      <c r="BR15" s="313"/>
      <c r="BS15" s="313"/>
      <c r="BT15" s="313"/>
      <c r="BU15" s="313"/>
      <c r="BV15" s="313"/>
      <c r="BW15" s="313">
        <v>2</v>
      </c>
      <c r="BX15" s="313">
        <v>0</v>
      </c>
      <c r="BY15" s="313"/>
      <c r="BZ15" s="313"/>
      <c r="CA15" s="313"/>
      <c r="CB15" s="313"/>
      <c r="CC15" s="313"/>
      <c r="CD15" s="313"/>
      <c r="CE15" s="313">
        <v>1</v>
      </c>
      <c r="CF15" s="313">
        <v>0</v>
      </c>
      <c r="CG15" s="313"/>
      <c r="CH15" s="313"/>
      <c r="CI15" s="313"/>
      <c r="CJ15" s="313"/>
      <c r="CK15" s="313"/>
      <c r="CL15" s="313"/>
      <c r="CM15" s="313">
        <v>1</v>
      </c>
      <c r="CN15" s="313">
        <v>0</v>
      </c>
      <c r="CO15" s="313"/>
      <c r="CP15" s="313"/>
      <c r="CQ15" s="313"/>
      <c r="CR15" s="313"/>
      <c r="CS15" s="313"/>
      <c r="CT15" s="313"/>
      <c r="CU15" s="313"/>
      <c r="CV15" s="313"/>
      <c r="CW15" s="313"/>
      <c r="CX15" s="313"/>
      <c r="CY15" s="313"/>
      <c r="CZ15" s="313"/>
      <c r="DA15" s="313"/>
      <c r="DB15" s="313"/>
      <c r="DC15" s="313"/>
      <c r="DD15" s="313"/>
      <c r="DE15" s="313"/>
      <c r="DF15" s="313"/>
      <c r="DG15" s="313"/>
      <c r="DH15" s="313"/>
      <c r="DI15" s="313"/>
      <c r="DJ15" s="313"/>
      <c r="DK15" s="313">
        <v>1</v>
      </c>
      <c r="DL15" s="313">
        <v>0</v>
      </c>
      <c r="DM15" s="313"/>
      <c r="DN15" s="313"/>
      <c r="DO15" s="313"/>
      <c r="DP15" s="313"/>
      <c r="DQ15" s="313"/>
      <c r="DR15" s="313"/>
      <c r="DS15" s="313">
        <v>3</v>
      </c>
      <c r="DT15" s="313">
        <v>2</v>
      </c>
      <c r="DU15" s="313"/>
      <c r="DV15" s="313"/>
      <c r="DW15" s="313"/>
      <c r="DX15" s="313"/>
      <c r="DY15" s="313"/>
      <c r="DZ15" s="313"/>
      <c r="EA15" s="313"/>
      <c r="EB15" s="313"/>
      <c r="EC15" s="313"/>
      <c r="ED15" s="313"/>
      <c r="EE15" s="313"/>
      <c r="EF15" s="313"/>
      <c r="EG15" s="313"/>
      <c r="EH15" s="313"/>
      <c r="EI15" s="313"/>
      <c r="EJ15" s="313"/>
      <c r="EK15" s="314"/>
      <c r="EL15" s="314"/>
      <c r="EM15" s="314"/>
      <c r="EN15" s="313"/>
      <c r="EO15" s="313"/>
      <c r="EP15" s="313"/>
      <c r="EQ15" s="313">
        <v>2</v>
      </c>
      <c r="ER15" s="313">
        <v>0</v>
      </c>
      <c r="ES15" s="313"/>
      <c r="ET15" s="313"/>
      <c r="EU15" s="313"/>
      <c r="EV15" s="313"/>
      <c r="EW15" s="313"/>
      <c r="EX15" s="313"/>
      <c r="EY15" s="313">
        <v>1</v>
      </c>
      <c r="EZ15" s="313">
        <v>0</v>
      </c>
      <c r="FA15" s="313"/>
      <c r="FB15" s="313"/>
      <c r="FC15" s="313"/>
      <c r="FD15" s="313"/>
      <c r="FE15" s="313"/>
      <c r="FF15" s="313"/>
      <c r="FG15" s="313"/>
      <c r="FH15" s="313"/>
      <c r="FI15" s="313"/>
      <c r="FJ15" s="313"/>
      <c r="FK15" s="313"/>
      <c r="FL15" s="313"/>
      <c r="FM15" s="313"/>
      <c r="FN15" s="313"/>
      <c r="FO15" s="313">
        <v>1</v>
      </c>
      <c r="FP15" s="313">
        <v>0</v>
      </c>
      <c r="FQ15" s="313"/>
      <c r="FR15" s="313"/>
      <c r="FS15" s="313"/>
      <c r="FT15" s="313"/>
      <c r="FU15" s="313"/>
      <c r="FV15" s="313"/>
      <c r="FW15" s="313">
        <v>3</v>
      </c>
      <c r="FX15" s="313">
        <v>1</v>
      </c>
      <c r="FY15" s="313"/>
      <c r="FZ15" s="313"/>
      <c r="GA15" s="313"/>
      <c r="GB15" s="313"/>
      <c r="GC15" s="313"/>
      <c r="GD15" s="313"/>
      <c r="GE15" s="313">
        <v>2</v>
      </c>
      <c r="GF15" s="313">
        <v>0</v>
      </c>
      <c r="GG15" s="313"/>
      <c r="GH15" s="313"/>
      <c r="GI15" s="313"/>
      <c r="GJ15" s="313"/>
      <c r="GK15" s="313"/>
      <c r="GL15" s="313"/>
      <c r="GM15" s="315">
        <f t="shared" si="0"/>
        <v>34</v>
      </c>
      <c r="GN15" s="315">
        <f t="shared" si="0"/>
        <v>8</v>
      </c>
      <c r="GO15" s="315">
        <f t="shared" si="1"/>
        <v>0.23529411764705882</v>
      </c>
      <c r="GP15" s="315">
        <f t="shared" si="2"/>
        <v>0</v>
      </c>
      <c r="GQ15" s="315">
        <f t="shared" si="3"/>
        <v>0</v>
      </c>
      <c r="GR15" s="315">
        <v>0</v>
      </c>
      <c r="GS15" s="315">
        <f t="shared" si="4"/>
        <v>0</v>
      </c>
      <c r="GT15" s="315">
        <f t="shared" si="5"/>
        <v>0</v>
      </c>
      <c r="GU15" s="315">
        <v>0</v>
      </c>
      <c r="GV15" s="315">
        <f t="shared" si="6"/>
        <v>0</v>
      </c>
      <c r="GW15" s="315">
        <f t="shared" si="7"/>
        <v>0</v>
      </c>
      <c r="GX15" s="315">
        <v>0</v>
      </c>
    </row>
    <row r="16" spans="1:398" ht="25.5" x14ac:dyDescent="0.25">
      <c r="A16" s="190">
        <v>12</v>
      </c>
      <c r="B16" s="102" t="s">
        <v>178</v>
      </c>
      <c r="C16" s="95">
        <v>5</v>
      </c>
      <c r="D16" s="313">
        <v>0</v>
      </c>
      <c r="E16" s="313"/>
      <c r="F16" s="313"/>
      <c r="G16" s="313"/>
      <c r="H16" s="313"/>
      <c r="I16" s="313"/>
      <c r="J16" s="313"/>
      <c r="K16" s="313">
        <v>1</v>
      </c>
      <c r="L16" s="313">
        <v>0</v>
      </c>
      <c r="M16" s="313"/>
      <c r="N16" s="313"/>
      <c r="O16" s="313"/>
      <c r="P16" s="313"/>
      <c r="Q16" s="313"/>
      <c r="R16" s="313"/>
      <c r="S16" s="313">
        <v>2</v>
      </c>
      <c r="T16" s="313">
        <v>0</v>
      </c>
      <c r="U16" s="313"/>
      <c r="V16" s="313"/>
      <c r="W16" s="313"/>
      <c r="X16" s="313"/>
      <c r="Y16" s="313"/>
      <c r="Z16" s="313"/>
      <c r="AA16" s="313">
        <v>3</v>
      </c>
      <c r="AB16" s="313">
        <v>1</v>
      </c>
      <c r="AC16" s="313"/>
      <c r="AD16" s="313"/>
      <c r="AE16" s="313"/>
      <c r="AF16" s="313"/>
      <c r="AG16" s="313"/>
      <c r="AH16" s="313"/>
      <c r="AI16" s="313">
        <v>1</v>
      </c>
      <c r="AJ16" s="313">
        <v>1</v>
      </c>
      <c r="AK16" s="314">
        <v>1</v>
      </c>
      <c r="AL16" s="313">
        <v>0</v>
      </c>
      <c r="AM16" s="313"/>
      <c r="AN16" s="313"/>
      <c r="AO16" s="313"/>
      <c r="AP16" s="313"/>
      <c r="AQ16" s="313">
        <v>1</v>
      </c>
      <c r="AR16" s="313">
        <v>0</v>
      </c>
      <c r="AS16" s="314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>
        <v>1</v>
      </c>
      <c r="BH16" s="313">
        <v>1</v>
      </c>
      <c r="BI16" s="313">
        <v>1</v>
      </c>
      <c r="BJ16" s="313">
        <v>0</v>
      </c>
      <c r="BK16" s="313"/>
      <c r="BL16" s="313"/>
      <c r="BM16" s="313"/>
      <c r="BN16" s="313"/>
      <c r="BO16" s="313">
        <v>2</v>
      </c>
      <c r="BP16" s="313">
        <v>0</v>
      </c>
      <c r="BQ16" s="313"/>
      <c r="BR16" s="313"/>
      <c r="BS16" s="313"/>
      <c r="BT16" s="313"/>
      <c r="BU16" s="313"/>
      <c r="BV16" s="313"/>
      <c r="BW16" s="313">
        <v>1</v>
      </c>
      <c r="BX16" s="313">
        <v>0</v>
      </c>
      <c r="BY16" s="313"/>
      <c r="BZ16" s="313"/>
      <c r="CA16" s="313"/>
      <c r="CB16" s="313"/>
      <c r="CC16" s="313"/>
      <c r="CD16" s="313"/>
      <c r="CE16" s="313">
        <v>2</v>
      </c>
      <c r="CF16" s="313">
        <v>1</v>
      </c>
      <c r="CG16" s="313">
        <v>1</v>
      </c>
      <c r="CH16" s="313">
        <v>1</v>
      </c>
      <c r="CI16" s="313"/>
      <c r="CJ16" s="313"/>
      <c r="CK16" s="313"/>
      <c r="CL16" s="313"/>
      <c r="CM16" s="313">
        <v>1</v>
      </c>
      <c r="CN16" s="313">
        <v>0</v>
      </c>
      <c r="CO16" s="313"/>
      <c r="CP16" s="313"/>
      <c r="CQ16" s="313"/>
      <c r="CR16" s="313"/>
      <c r="CS16" s="313"/>
      <c r="CT16" s="313"/>
      <c r="CU16" s="313"/>
      <c r="CV16" s="313"/>
      <c r="CW16" s="313"/>
      <c r="CX16" s="313"/>
      <c r="CY16" s="313"/>
      <c r="CZ16" s="313"/>
      <c r="DA16" s="313"/>
      <c r="DB16" s="313"/>
      <c r="DC16" s="313">
        <v>1</v>
      </c>
      <c r="DD16" s="313">
        <v>1</v>
      </c>
      <c r="DE16" s="313"/>
      <c r="DF16" s="313"/>
      <c r="DG16" s="313"/>
      <c r="DH16" s="313"/>
      <c r="DI16" s="313"/>
      <c r="DJ16" s="313"/>
      <c r="DK16" s="313">
        <v>1</v>
      </c>
      <c r="DL16" s="313">
        <v>0</v>
      </c>
      <c r="DM16" s="313"/>
      <c r="DN16" s="313"/>
      <c r="DO16" s="313"/>
      <c r="DP16" s="313"/>
      <c r="DQ16" s="313"/>
      <c r="DR16" s="313"/>
      <c r="DS16" s="313">
        <v>3</v>
      </c>
      <c r="DT16" s="313">
        <v>0</v>
      </c>
      <c r="DU16" s="313"/>
      <c r="DV16" s="313"/>
      <c r="DW16" s="313"/>
      <c r="DX16" s="313"/>
      <c r="DY16" s="313"/>
      <c r="DZ16" s="313"/>
      <c r="EA16" s="313"/>
      <c r="EB16" s="313"/>
      <c r="EC16" s="313"/>
      <c r="ED16" s="313"/>
      <c r="EE16" s="313"/>
      <c r="EF16" s="313"/>
      <c r="EG16" s="313"/>
      <c r="EH16" s="313"/>
      <c r="EI16" s="313">
        <v>2</v>
      </c>
      <c r="EJ16" s="313">
        <v>2</v>
      </c>
      <c r="EK16" s="314">
        <v>2</v>
      </c>
      <c r="EL16" s="314">
        <v>2</v>
      </c>
      <c r="EM16" s="314"/>
      <c r="EN16" s="313"/>
      <c r="EO16" s="313"/>
      <c r="EP16" s="313"/>
      <c r="EQ16" s="313">
        <v>1</v>
      </c>
      <c r="ER16" s="313">
        <v>0</v>
      </c>
      <c r="ES16" s="313"/>
      <c r="ET16" s="313"/>
      <c r="EU16" s="313"/>
      <c r="EV16" s="313"/>
      <c r="EW16" s="313"/>
      <c r="EX16" s="313"/>
      <c r="EY16" s="313">
        <v>3</v>
      </c>
      <c r="EZ16" s="313">
        <v>0</v>
      </c>
      <c r="FA16" s="313"/>
      <c r="FB16" s="313"/>
      <c r="FC16" s="313"/>
      <c r="FD16" s="313"/>
      <c r="FE16" s="313"/>
      <c r="FF16" s="313"/>
      <c r="FG16" s="313"/>
      <c r="FH16" s="313"/>
      <c r="FI16" s="313"/>
      <c r="FJ16" s="313"/>
      <c r="FK16" s="313"/>
      <c r="FL16" s="313"/>
      <c r="FM16" s="313"/>
      <c r="FN16" s="313"/>
      <c r="FO16" s="313">
        <v>2</v>
      </c>
      <c r="FP16" s="313">
        <v>0</v>
      </c>
      <c r="FQ16" s="313"/>
      <c r="FR16" s="313"/>
      <c r="FS16" s="313"/>
      <c r="FT16" s="313"/>
      <c r="FU16" s="313"/>
      <c r="FV16" s="313"/>
      <c r="FW16" s="313">
        <v>4</v>
      </c>
      <c r="FX16" s="313">
        <v>0</v>
      </c>
      <c r="FY16" s="313"/>
      <c r="FZ16" s="313"/>
      <c r="GA16" s="313"/>
      <c r="GB16" s="313"/>
      <c r="GC16" s="313"/>
      <c r="GD16" s="313"/>
      <c r="GE16" s="313"/>
      <c r="GF16" s="313"/>
      <c r="GG16" s="313"/>
      <c r="GH16" s="313"/>
      <c r="GI16" s="313"/>
      <c r="GJ16" s="313"/>
      <c r="GK16" s="313"/>
      <c r="GL16" s="313"/>
      <c r="GM16" s="315">
        <f t="shared" si="0"/>
        <v>37</v>
      </c>
      <c r="GN16" s="315">
        <f t="shared" si="0"/>
        <v>7</v>
      </c>
      <c r="GO16" s="315">
        <f t="shared" si="1"/>
        <v>0.1891891891891892</v>
      </c>
      <c r="GP16" s="315">
        <f t="shared" si="2"/>
        <v>5</v>
      </c>
      <c r="GQ16" s="315">
        <f t="shared" si="3"/>
        <v>3</v>
      </c>
      <c r="GR16" s="315">
        <f t="shared" si="8"/>
        <v>0.6</v>
      </c>
      <c r="GS16" s="315">
        <f t="shared" si="4"/>
        <v>0</v>
      </c>
      <c r="GT16" s="315">
        <f t="shared" si="5"/>
        <v>0</v>
      </c>
      <c r="GU16" s="315">
        <v>0</v>
      </c>
      <c r="GV16" s="315">
        <f t="shared" si="6"/>
        <v>0</v>
      </c>
      <c r="GW16" s="315">
        <f t="shared" si="7"/>
        <v>0</v>
      </c>
      <c r="GX16" s="315">
        <v>0</v>
      </c>
    </row>
    <row r="17" spans="1:206" ht="15.75" x14ac:dyDescent="0.25">
      <c r="A17" s="190">
        <v>13</v>
      </c>
      <c r="B17" s="102" t="s">
        <v>148</v>
      </c>
      <c r="C17" s="95">
        <v>1</v>
      </c>
      <c r="D17" s="313">
        <v>1</v>
      </c>
      <c r="E17" s="313"/>
      <c r="F17" s="313"/>
      <c r="G17" s="313"/>
      <c r="H17" s="313"/>
      <c r="I17" s="313"/>
      <c r="J17" s="313"/>
      <c r="K17" s="313">
        <v>2</v>
      </c>
      <c r="L17" s="313">
        <v>0</v>
      </c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>
        <v>3</v>
      </c>
      <c r="AB17" s="313">
        <v>3</v>
      </c>
      <c r="AC17" s="313"/>
      <c r="AD17" s="313"/>
      <c r="AE17" s="313"/>
      <c r="AF17" s="313"/>
      <c r="AG17" s="313"/>
      <c r="AH17" s="313"/>
      <c r="AI17" s="313">
        <v>2</v>
      </c>
      <c r="AJ17" s="313">
        <v>0</v>
      </c>
      <c r="AK17" s="314"/>
      <c r="AL17" s="313"/>
      <c r="AM17" s="313"/>
      <c r="AN17" s="313"/>
      <c r="AO17" s="313"/>
      <c r="AP17" s="313"/>
      <c r="AQ17" s="313">
        <v>1</v>
      </c>
      <c r="AR17" s="313">
        <v>1</v>
      </c>
      <c r="AS17" s="314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>
        <v>1</v>
      </c>
      <c r="BH17" s="313">
        <v>0</v>
      </c>
      <c r="BI17" s="313"/>
      <c r="BJ17" s="313"/>
      <c r="BK17" s="313"/>
      <c r="BL17" s="313"/>
      <c r="BM17" s="313"/>
      <c r="BN17" s="313"/>
      <c r="BO17" s="313"/>
      <c r="BP17" s="313"/>
      <c r="BQ17" s="313"/>
      <c r="BR17" s="313"/>
      <c r="BS17" s="313"/>
      <c r="BT17" s="313"/>
      <c r="BU17" s="313"/>
      <c r="BV17" s="313"/>
      <c r="BW17" s="313">
        <v>0</v>
      </c>
      <c r="BX17" s="313">
        <v>0</v>
      </c>
      <c r="BY17" s="313"/>
      <c r="BZ17" s="313"/>
      <c r="CA17" s="313"/>
      <c r="CB17" s="313"/>
      <c r="CC17" s="313"/>
      <c r="CD17" s="313"/>
      <c r="CE17" s="313"/>
      <c r="CF17" s="313"/>
      <c r="CG17" s="313"/>
      <c r="CH17" s="313"/>
      <c r="CI17" s="313"/>
      <c r="CJ17" s="313"/>
      <c r="CK17" s="313"/>
      <c r="CL17" s="313"/>
      <c r="CM17" s="313">
        <v>2</v>
      </c>
      <c r="CN17" s="313">
        <v>0</v>
      </c>
      <c r="CO17" s="313"/>
      <c r="CP17" s="313"/>
      <c r="CQ17" s="313"/>
      <c r="CR17" s="313"/>
      <c r="CS17" s="313"/>
      <c r="CT17" s="313"/>
      <c r="CU17" s="313"/>
      <c r="CV17" s="313"/>
      <c r="CW17" s="313"/>
      <c r="CX17" s="313"/>
      <c r="CY17" s="313"/>
      <c r="CZ17" s="313"/>
      <c r="DA17" s="313"/>
      <c r="DB17" s="313"/>
      <c r="DC17" s="313">
        <v>1</v>
      </c>
      <c r="DD17" s="313">
        <v>1</v>
      </c>
      <c r="DE17" s="313">
        <v>1</v>
      </c>
      <c r="DF17" s="313">
        <v>0</v>
      </c>
      <c r="DG17" s="313"/>
      <c r="DH17" s="313"/>
      <c r="DI17" s="313"/>
      <c r="DJ17" s="313"/>
      <c r="DK17" s="313"/>
      <c r="DL17" s="313"/>
      <c r="DM17" s="313"/>
      <c r="DN17" s="313"/>
      <c r="DO17" s="313"/>
      <c r="DP17" s="313"/>
      <c r="DQ17" s="313"/>
      <c r="DR17" s="313"/>
      <c r="DS17" s="313">
        <v>1</v>
      </c>
      <c r="DT17" s="313">
        <v>0</v>
      </c>
      <c r="DU17" s="313"/>
      <c r="DV17" s="313"/>
      <c r="DW17" s="313"/>
      <c r="DX17" s="313"/>
      <c r="DY17" s="313"/>
      <c r="DZ17" s="313"/>
      <c r="EA17" s="313"/>
      <c r="EB17" s="313"/>
      <c r="EC17" s="313"/>
      <c r="ED17" s="313"/>
      <c r="EE17" s="313"/>
      <c r="EF17" s="313"/>
      <c r="EG17" s="313"/>
      <c r="EH17" s="313"/>
      <c r="EI17" s="313"/>
      <c r="EJ17" s="313"/>
      <c r="EK17" s="314"/>
      <c r="EL17" s="314"/>
      <c r="EM17" s="314"/>
      <c r="EN17" s="313"/>
      <c r="EO17" s="313"/>
      <c r="EP17" s="313"/>
      <c r="EQ17" s="313">
        <v>1</v>
      </c>
      <c r="ER17" s="313">
        <v>1</v>
      </c>
      <c r="ES17" s="313"/>
      <c r="ET17" s="313"/>
      <c r="EU17" s="313"/>
      <c r="EV17" s="313"/>
      <c r="EW17" s="313"/>
      <c r="EX17" s="313"/>
      <c r="EY17" s="313">
        <v>1</v>
      </c>
      <c r="EZ17" s="313">
        <v>0</v>
      </c>
      <c r="FA17" s="313"/>
      <c r="FB17" s="313"/>
      <c r="FC17" s="313"/>
      <c r="FD17" s="313"/>
      <c r="FE17" s="313"/>
      <c r="FF17" s="313"/>
      <c r="FG17" s="313"/>
      <c r="FH17" s="313"/>
      <c r="FI17" s="313"/>
      <c r="FJ17" s="313"/>
      <c r="FK17" s="313"/>
      <c r="FL17" s="313"/>
      <c r="FM17" s="313"/>
      <c r="FN17" s="313"/>
      <c r="FO17" s="313">
        <v>1</v>
      </c>
      <c r="FP17" s="313">
        <v>0</v>
      </c>
      <c r="FQ17" s="313"/>
      <c r="FR17" s="313"/>
      <c r="FS17" s="313"/>
      <c r="FT17" s="313"/>
      <c r="FU17" s="313"/>
      <c r="FV17" s="313"/>
      <c r="FW17" s="313">
        <v>4</v>
      </c>
      <c r="FX17" s="313">
        <v>0</v>
      </c>
      <c r="FY17" s="313"/>
      <c r="FZ17" s="313"/>
      <c r="GA17" s="313"/>
      <c r="GB17" s="313"/>
      <c r="GC17" s="313"/>
      <c r="GD17" s="313"/>
      <c r="GE17" s="313">
        <v>1</v>
      </c>
      <c r="GF17" s="313">
        <v>0</v>
      </c>
      <c r="GG17" s="313"/>
      <c r="GH17" s="313"/>
      <c r="GI17" s="313"/>
      <c r="GJ17" s="313"/>
      <c r="GK17" s="313"/>
      <c r="GL17" s="313"/>
      <c r="GM17" s="315">
        <f t="shared" si="0"/>
        <v>22</v>
      </c>
      <c r="GN17" s="315">
        <f t="shared" si="0"/>
        <v>7</v>
      </c>
      <c r="GO17" s="315">
        <f t="shared" si="1"/>
        <v>0.31818181818181818</v>
      </c>
      <c r="GP17" s="315">
        <f t="shared" si="2"/>
        <v>1</v>
      </c>
      <c r="GQ17" s="315">
        <f t="shared" si="3"/>
        <v>0</v>
      </c>
      <c r="GR17" s="315">
        <f t="shared" si="8"/>
        <v>0</v>
      </c>
      <c r="GS17" s="315">
        <f t="shared" si="4"/>
        <v>0</v>
      </c>
      <c r="GT17" s="315">
        <f t="shared" si="5"/>
        <v>0</v>
      </c>
      <c r="GU17" s="315">
        <v>0</v>
      </c>
      <c r="GV17" s="315">
        <f t="shared" si="6"/>
        <v>0</v>
      </c>
      <c r="GW17" s="315">
        <f t="shared" si="7"/>
        <v>0</v>
      </c>
      <c r="GX17" s="315">
        <v>0</v>
      </c>
    </row>
    <row r="18" spans="1:206" ht="15.75" x14ac:dyDescent="0.25">
      <c r="A18" s="190">
        <v>14</v>
      </c>
      <c r="B18" s="102" t="s">
        <v>173</v>
      </c>
      <c r="C18" s="95">
        <v>4</v>
      </c>
      <c r="D18" s="313">
        <v>0</v>
      </c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>
        <v>2</v>
      </c>
      <c r="AB18" s="313">
        <v>1</v>
      </c>
      <c r="AC18" s="313"/>
      <c r="AD18" s="313"/>
      <c r="AE18" s="313"/>
      <c r="AF18" s="313"/>
      <c r="AG18" s="313"/>
      <c r="AH18" s="313"/>
      <c r="AI18" s="313">
        <v>3</v>
      </c>
      <c r="AJ18" s="313">
        <v>0</v>
      </c>
      <c r="AK18" s="314"/>
      <c r="AL18" s="313"/>
      <c r="AM18" s="313"/>
      <c r="AN18" s="313"/>
      <c r="AO18" s="313"/>
      <c r="AP18" s="313"/>
      <c r="AQ18" s="313">
        <v>3</v>
      </c>
      <c r="AR18" s="313">
        <v>0</v>
      </c>
      <c r="AS18" s="314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>
        <v>0</v>
      </c>
      <c r="BX18" s="313">
        <v>0</v>
      </c>
      <c r="BY18" s="313"/>
      <c r="BZ18" s="313"/>
      <c r="CA18" s="313"/>
      <c r="CB18" s="313"/>
      <c r="CC18" s="313"/>
      <c r="CD18" s="313"/>
      <c r="CE18" s="313">
        <v>1</v>
      </c>
      <c r="CF18" s="313">
        <v>0</v>
      </c>
      <c r="CG18" s="313"/>
      <c r="CH18" s="313"/>
      <c r="CI18" s="313"/>
      <c r="CJ18" s="313"/>
      <c r="CK18" s="313"/>
      <c r="CL18" s="313"/>
      <c r="CM18" s="313"/>
      <c r="CN18" s="313"/>
      <c r="CO18" s="313"/>
      <c r="CP18" s="313"/>
      <c r="CQ18" s="313"/>
      <c r="CR18" s="313"/>
      <c r="CS18" s="313"/>
      <c r="CT18" s="313"/>
      <c r="CU18" s="313"/>
      <c r="CV18" s="313"/>
      <c r="CW18" s="313"/>
      <c r="CX18" s="313"/>
      <c r="CY18" s="313"/>
      <c r="CZ18" s="313"/>
      <c r="DA18" s="313"/>
      <c r="DB18" s="313"/>
      <c r="DC18" s="313"/>
      <c r="DD18" s="313"/>
      <c r="DE18" s="313"/>
      <c r="DF18" s="313"/>
      <c r="DG18" s="313"/>
      <c r="DH18" s="313"/>
      <c r="DI18" s="313"/>
      <c r="DJ18" s="313"/>
      <c r="DK18" s="313">
        <v>1</v>
      </c>
      <c r="DL18" s="313">
        <v>1</v>
      </c>
      <c r="DM18" s="313"/>
      <c r="DN18" s="313"/>
      <c r="DO18" s="313"/>
      <c r="DP18" s="313"/>
      <c r="DQ18" s="313"/>
      <c r="DR18" s="313"/>
      <c r="DS18" s="313">
        <v>1</v>
      </c>
      <c r="DT18" s="313">
        <v>0</v>
      </c>
      <c r="DU18" s="313"/>
      <c r="DV18" s="313"/>
      <c r="DW18" s="313"/>
      <c r="DX18" s="313"/>
      <c r="DY18" s="313"/>
      <c r="DZ18" s="313"/>
      <c r="EA18" s="313"/>
      <c r="EB18" s="313"/>
      <c r="EC18" s="313"/>
      <c r="ED18" s="313"/>
      <c r="EE18" s="313"/>
      <c r="EF18" s="313"/>
      <c r="EG18" s="313"/>
      <c r="EH18" s="313"/>
      <c r="EI18" s="313"/>
      <c r="EJ18" s="313"/>
      <c r="EK18" s="314"/>
      <c r="EL18" s="314"/>
      <c r="EM18" s="314"/>
      <c r="EN18" s="313"/>
      <c r="EO18" s="313"/>
      <c r="EP18" s="313"/>
      <c r="EQ18" s="313"/>
      <c r="ER18" s="313"/>
      <c r="ES18" s="313"/>
      <c r="ET18" s="313"/>
      <c r="EU18" s="313"/>
      <c r="EV18" s="313"/>
      <c r="EW18" s="313"/>
      <c r="EX18" s="313"/>
      <c r="EY18" s="313"/>
      <c r="EZ18" s="313"/>
      <c r="FA18" s="313"/>
      <c r="FB18" s="313"/>
      <c r="FC18" s="313"/>
      <c r="FD18" s="313"/>
      <c r="FE18" s="313"/>
      <c r="FF18" s="313"/>
      <c r="FG18" s="313"/>
      <c r="FH18" s="313"/>
      <c r="FI18" s="313"/>
      <c r="FJ18" s="313"/>
      <c r="FK18" s="313"/>
      <c r="FL18" s="313"/>
      <c r="FM18" s="313"/>
      <c r="FN18" s="313"/>
      <c r="FO18" s="313">
        <v>1</v>
      </c>
      <c r="FP18" s="313">
        <v>0</v>
      </c>
      <c r="FQ18" s="313"/>
      <c r="FR18" s="313"/>
      <c r="FS18" s="313"/>
      <c r="FT18" s="313"/>
      <c r="FU18" s="313"/>
      <c r="FV18" s="313"/>
      <c r="FW18" s="313">
        <v>4</v>
      </c>
      <c r="FX18" s="313">
        <v>0</v>
      </c>
      <c r="FY18" s="313"/>
      <c r="FZ18" s="313"/>
      <c r="GA18" s="313"/>
      <c r="GB18" s="313"/>
      <c r="GC18" s="313"/>
      <c r="GD18" s="313"/>
      <c r="GE18" s="313"/>
      <c r="GF18" s="313"/>
      <c r="GG18" s="313"/>
      <c r="GH18" s="313"/>
      <c r="GI18" s="313"/>
      <c r="GJ18" s="313"/>
      <c r="GK18" s="313"/>
      <c r="GL18" s="313"/>
      <c r="GM18" s="315">
        <f t="shared" si="0"/>
        <v>20</v>
      </c>
      <c r="GN18" s="315">
        <f t="shared" si="0"/>
        <v>2</v>
      </c>
      <c r="GO18" s="315">
        <f t="shared" si="1"/>
        <v>0.1</v>
      </c>
      <c r="GP18" s="315">
        <f t="shared" si="2"/>
        <v>0</v>
      </c>
      <c r="GQ18" s="315">
        <f t="shared" si="3"/>
        <v>0</v>
      </c>
      <c r="GR18" s="315">
        <v>0</v>
      </c>
      <c r="GS18" s="315">
        <f t="shared" si="4"/>
        <v>0</v>
      </c>
      <c r="GT18" s="315">
        <f t="shared" si="5"/>
        <v>0</v>
      </c>
      <c r="GU18" s="315">
        <v>0</v>
      </c>
      <c r="GV18" s="315">
        <f t="shared" si="6"/>
        <v>0</v>
      </c>
      <c r="GW18" s="315">
        <f t="shared" si="7"/>
        <v>0</v>
      </c>
      <c r="GX18" s="315">
        <v>0</v>
      </c>
    </row>
    <row r="19" spans="1:206" ht="15.75" x14ac:dyDescent="0.25">
      <c r="A19" s="190">
        <v>15</v>
      </c>
      <c r="B19" s="102" t="s">
        <v>149</v>
      </c>
      <c r="C19" s="155">
        <v>3</v>
      </c>
      <c r="D19" s="313">
        <v>1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155">
        <v>1</v>
      </c>
      <c r="T19" s="313">
        <v>0</v>
      </c>
      <c r="U19" s="313"/>
      <c r="V19" s="313"/>
      <c r="W19" s="313"/>
      <c r="X19" s="313"/>
      <c r="Y19" s="313"/>
      <c r="Z19" s="313"/>
      <c r="AA19" s="313">
        <v>1</v>
      </c>
      <c r="AB19" s="313">
        <v>0</v>
      </c>
      <c r="AC19" s="313"/>
      <c r="AD19" s="313"/>
      <c r="AE19" s="313"/>
      <c r="AF19" s="313"/>
      <c r="AG19" s="313"/>
      <c r="AH19" s="313"/>
      <c r="AI19" s="155">
        <v>2</v>
      </c>
      <c r="AJ19" s="313">
        <v>0</v>
      </c>
      <c r="AK19" s="314"/>
      <c r="AL19" s="313"/>
      <c r="AM19" s="313"/>
      <c r="AN19" s="313"/>
      <c r="AO19" s="313"/>
      <c r="AP19" s="313"/>
      <c r="AQ19" s="313">
        <v>0</v>
      </c>
      <c r="AR19" s="313">
        <v>0</v>
      </c>
      <c r="AS19" s="314"/>
      <c r="AT19" s="313"/>
      <c r="AU19" s="313"/>
      <c r="AV19" s="313"/>
      <c r="AW19" s="313"/>
      <c r="AX19" s="313"/>
      <c r="AY19" s="155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155">
        <v>1</v>
      </c>
      <c r="BP19" s="313">
        <v>0</v>
      </c>
      <c r="BQ19" s="313"/>
      <c r="BR19" s="313"/>
      <c r="BS19" s="313"/>
      <c r="BT19" s="313"/>
      <c r="BU19" s="313"/>
      <c r="BV19" s="313"/>
      <c r="BW19" s="313">
        <v>1</v>
      </c>
      <c r="BX19" s="313">
        <v>0</v>
      </c>
      <c r="BY19" s="313"/>
      <c r="BZ19" s="313"/>
      <c r="CA19" s="313"/>
      <c r="CB19" s="313"/>
      <c r="CC19" s="313"/>
      <c r="CD19" s="313"/>
      <c r="CE19" s="155">
        <v>1</v>
      </c>
      <c r="CF19" s="313">
        <v>1</v>
      </c>
      <c r="CG19" s="313"/>
      <c r="CH19" s="313"/>
      <c r="CI19" s="313"/>
      <c r="CJ19" s="313"/>
      <c r="CK19" s="313"/>
      <c r="CL19" s="313"/>
      <c r="CM19" s="313"/>
      <c r="CN19" s="313"/>
      <c r="CO19" s="313"/>
      <c r="CP19" s="313"/>
      <c r="CQ19" s="313"/>
      <c r="CR19" s="313"/>
      <c r="CS19" s="313"/>
      <c r="CT19" s="313"/>
      <c r="CU19" s="313"/>
      <c r="CV19" s="313"/>
      <c r="CW19" s="313"/>
      <c r="CX19" s="313"/>
      <c r="CY19" s="313"/>
      <c r="CZ19" s="313"/>
      <c r="DA19" s="313"/>
      <c r="DB19" s="313"/>
      <c r="DC19" s="313"/>
      <c r="DD19" s="313"/>
      <c r="DE19" s="313"/>
      <c r="DF19" s="313"/>
      <c r="DG19" s="313"/>
      <c r="DH19" s="313"/>
      <c r="DI19" s="313"/>
      <c r="DJ19" s="313"/>
      <c r="DK19" s="155">
        <v>1</v>
      </c>
      <c r="DL19" s="313">
        <v>0</v>
      </c>
      <c r="DM19" s="313"/>
      <c r="DN19" s="313"/>
      <c r="DO19" s="313"/>
      <c r="DP19" s="313"/>
      <c r="DQ19" s="313"/>
      <c r="DR19" s="313"/>
      <c r="DS19" s="313">
        <v>1</v>
      </c>
      <c r="DT19" s="313">
        <v>0</v>
      </c>
      <c r="DU19" s="313"/>
      <c r="DV19" s="313"/>
      <c r="DW19" s="313"/>
      <c r="DX19" s="313"/>
      <c r="DY19" s="313"/>
      <c r="DZ19" s="313"/>
      <c r="EA19" s="155"/>
      <c r="EB19" s="313"/>
      <c r="EC19" s="313"/>
      <c r="ED19" s="313"/>
      <c r="EE19" s="313"/>
      <c r="EF19" s="313"/>
      <c r="EG19" s="313"/>
      <c r="EH19" s="313"/>
      <c r="EI19" s="313"/>
      <c r="EJ19" s="313"/>
      <c r="EK19" s="314"/>
      <c r="EL19" s="314"/>
      <c r="EM19" s="314"/>
      <c r="EN19" s="313"/>
      <c r="EO19" s="313"/>
      <c r="EP19" s="313"/>
      <c r="EQ19" s="155">
        <v>0</v>
      </c>
      <c r="ER19" s="313">
        <v>0</v>
      </c>
      <c r="ES19" s="313"/>
      <c r="ET19" s="313"/>
      <c r="EU19" s="313"/>
      <c r="EV19" s="313"/>
      <c r="EW19" s="313"/>
      <c r="EX19" s="313"/>
      <c r="EY19" s="313"/>
      <c r="EZ19" s="313"/>
      <c r="FA19" s="313"/>
      <c r="FB19" s="313"/>
      <c r="FC19" s="313"/>
      <c r="FD19" s="313"/>
      <c r="FE19" s="313"/>
      <c r="FF19" s="313"/>
      <c r="FG19" s="155"/>
      <c r="FH19" s="313"/>
      <c r="FI19" s="313"/>
      <c r="FJ19" s="313"/>
      <c r="FK19" s="313"/>
      <c r="FL19" s="313"/>
      <c r="FM19" s="313"/>
      <c r="FN19" s="313"/>
      <c r="FO19" s="313">
        <v>1</v>
      </c>
      <c r="FP19" s="313">
        <v>0</v>
      </c>
      <c r="FQ19" s="313"/>
      <c r="FR19" s="313"/>
      <c r="FS19" s="313"/>
      <c r="FT19" s="313"/>
      <c r="FU19" s="313"/>
      <c r="FV19" s="313"/>
      <c r="FW19" s="155">
        <v>2</v>
      </c>
      <c r="FX19" s="313">
        <v>0</v>
      </c>
      <c r="FY19" s="313"/>
      <c r="FZ19" s="313"/>
      <c r="GA19" s="313"/>
      <c r="GB19" s="313"/>
      <c r="GC19" s="313"/>
      <c r="GD19" s="313"/>
      <c r="GE19" s="313">
        <v>1</v>
      </c>
      <c r="GF19" s="313">
        <v>0</v>
      </c>
      <c r="GG19" s="313"/>
      <c r="GH19" s="313"/>
      <c r="GI19" s="313"/>
      <c r="GJ19" s="313"/>
      <c r="GK19" s="313"/>
      <c r="GL19" s="313"/>
      <c r="GM19" s="315">
        <f t="shared" si="0"/>
        <v>16</v>
      </c>
      <c r="GN19" s="315">
        <f t="shared" si="0"/>
        <v>2</v>
      </c>
      <c r="GO19" s="315">
        <f t="shared" si="1"/>
        <v>0.125</v>
      </c>
      <c r="GP19" s="315">
        <f t="shared" si="2"/>
        <v>0</v>
      </c>
      <c r="GQ19" s="315">
        <f t="shared" si="3"/>
        <v>0</v>
      </c>
      <c r="GR19" s="315">
        <v>0</v>
      </c>
      <c r="GS19" s="315">
        <f t="shared" si="4"/>
        <v>0</v>
      </c>
      <c r="GT19" s="315">
        <f t="shared" si="5"/>
        <v>0</v>
      </c>
      <c r="GU19" s="315">
        <v>0</v>
      </c>
      <c r="GV19" s="315">
        <f t="shared" si="6"/>
        <v>0</v>
      </c>
      <c r="GW19" s="315">
        <f t="shared" si="7"/>
        <v>0</v>
      </c>
      <c r="GX19" s="315">
        <v>0</v>
      </c>
    </row>
    <row r="20" spans="1:206" ht="15.75" x14ac:dyDescent="0.25">
      <c r="A20" s="190">
        <v>16</v>
      </c>
      <c r="B20" s="102" t="s">
        <v>150</v>
      </c>
      <c r="C20" s="95">
        <v>3</v>
      </c>
      <c r="D20" s="313">
        <v>0</v>
      </c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>
        <v>2</v>
      </c>
      <c r="AB20" s="313">
        <v>0</v>
      </c>
      <c r="AC20" s="313"/>
      <c r="AD20" s="313"/>
      <c r="AE20" s="313"/>
      <c r="AF20" s="313"/>
      <c r="AG20" s="313"/>
      <c r="AH20" s="313"/>
      <c r="AI20" s="313">
        <v>0</v>
      </c>
      <c r="AJ20" s="313">
        <v>0</v>
      </c>
      <c r="AK20" s="314"/>
      <c r="AL20" s="313"/>
      <c r="AM20" s="313"/>
      <c r="AN20" s="313"/>
      <c r="AO20" s="313"/>
      <c r="AP20" s="313"/>
      <c r="AQ20" s="313">
        <v>2</v>
      </c>
      <c r="AR20" s="313">
        <v>0</v>
      </c>
      <c r="AS20" s="314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>
        <v>2</v>
      </c>
      <c r="BH20" s="313">
        <v>0</v>
      </c>
      <c r="BI20" s="313"/>
      <c r="BJ20" s="313"/>
      <c r="BK20" s="313"/>
      <c r="BL20" s="313"/>
      <c r="BM20" s="313"/>
      <c r="BN20" s="313"/>
      <c r="BO20" s="313"/>
      <c r="BP20" s="313"/>
      <c r="BQ20" s="313"/>
      <c r="BR20" s="313"/>
      <c r="BS20" s="313"/>
      <c r="BT20" s="313"/>
      <c r="BU20" s="313"/>
      <c r="BV20" s="313"/>
      <c r="BW20" s="313">
        <v>1</v>
      </c>
      <c r="BX20" s="313">
        <v>0</v>
      </c>
      <c r="BY20" s="313"/>
      <c r="BZ20" s="313"/>
      <c r="CA20" s="313"/>
      <c r="CB20" s="313"/>
      <c r="CC20" s="313"/>
      <c r="CD20" s="313"/>
      <c r="CE20" s="313">
        <v>1</v>
      </c>
      <c r="CF20" s="313">
        <v>0</v>
      </c>
      <c r="CG20" s="313"/>
      <c r="CH20" s="313"/>
      <c r="CI20" s="313"/>
      <c r="CJ20" s="313"/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3"/>
      <c r="DD20" s="313"/>
      <c r="DE20" s="313"/>
      <c r="DF20" s="313"/>
      <c r="DG20" s="313"/>
      <c r="DH20" s="313"/>
      <c r="DI20" s="313"/>
      <c r="DJ20" s="313"/>
      <c r="DK20" s="313">
        <v>1</v>
      </c>
      <c r="DL20" s="313">
        <v>1</v>
      </c>
      <c r="DM20" s="313"/>
      <c r="DN20" s="313"/>
      <c r="DO20" s="313"/>
      <c r="DP20" s="313"/>
      <c r="DQ20" s="313"/>
      <c r="DR20" s="313"/>
      <c r="DS20" s="313">
        <v>1</v>
      </c>
      <c r="DT20" s="313">
        <v>0</v>
      </c>
      <c r="DU20" s="313"/>
      <c r="DV20" s="313"/>
      <c r="DW20" s="313"/>
      <c r="DX20" s="313"/>
      <c r="DY20" s="313"/>
      <c r="DZ20" s="313"/>
      <c r="EA20" s="313"/>
      <c r="EB20" s="313"/>
      <c r="EC20" s="313"/>
      <c r="ED20" s="313"/>
      <c r="EE20" s="313"/>
      <c r="EF20" s="313"/>
      <c r="EG20" s="313"/>
      <c r="EH20" s="313"/>
      <c r="EI20" s="313"/>
      <c r="EJ20" s="313"/>
      <c r="EK20" s="314"/>
      <c r="EL20" s="314"/>
      <c r="EM20" s="314"/>
      <c r="EN20" s="313"/>
      <c r="EO20" s="313"/>
      <c r="EP20" s="313"/>
      <c r="EQ20" s="313"/>
      <c r="ER20" s="313"/>
      <c r="ES20" s="313"/>
      <c r="ET20" s="313"/>
      <c r="EU20" s="313"/>
      <c r="EV20" s="313"/>
      <c r="EW20" s="313"/>
      <c r="EX20" s="313"/>
      <c r="EY20" s="313">
        <v>2</v>
      </c>
      <c r="EZ20" s="313">
        <v>0</v>
      </c>
      <c r="FA20" s="313"/>
      <c r="FB20" s="313"/>
      <c r="FC20" s="313"/>
      <c r="FD20" s="313"/>
      <c r="FE20" s="313"/>
      <c r="FF20" s="313"/>
      <c r="FG20" s="313"/>
      <c r="FH20" s="313"/>
      <c r="FI20" s="313"/>
      <c r="FJ20" s="313"/>
      <c r="FK20" s="313"/>
      <c r="FL20" s="313"/>
      <c r="FM20" s="313"/>
      <c r="FN20" s="313"/>
      <c r="FO20" s="313">
        <v>2</v>
      </c>
      <c r="FP20" s="313">
        <v>1</v>
      </c>
      <c r="FQ20" s="313"/>
      <c r="FR20" s="313"/>
      <c r="FS20" s="313"/>
      <c r="FT20" s="313"/>
      <c r="FU20" s="313"/>
      <c r="FV20" s="313"/>
      <c r="FW20" s="313">
        <v>1</v>
      </c>
      <c r="FX20" s="313">
        <v>1</v>
      </c>
      <c r="FY20" s="313"/>
      <c r="FZ20" s="313"/>
      <c r="GA20" s="313"/>
      <c r="GB20" s="313"/>
      <c r="GC20" s="313"/>
      <c r="GD20" s="313"/>
      <c r="GE20" s="313">
        <v>1</v>
      </c>
      <c r="GF20" s="313">
        <v>0</v>
      </c>
      <c r="GG20" s="313"/>
      <c r="GH20" s="313"/>
      <c r="GI20" s="313"/>
      <c r="GJ20" s="313"/>
      <c r="GK20" s="313"/>
      <c r="GL20" s="313"/>
      <c r="GM20" s="315">
        <f t="shared" si="0"/>
        <v>19</v>
      </c>
      <c r="GN20" s="315">
        <f t="shared" si="0"/>
        <v>3</v>
      </c>
      <c r="GO20" s="315">
        <f t="shared" si="1"/>
        <v>0.15789473684210525</v>
      </c>
      <c r="GP20" s="315">
        <f t="shared" si="2"/>
        <v>0</v>
      </c>
      <c r="GQ20" s="315">
        <f t="shared" si="3"/>
        <v>0</v>
      </c>
      <c r="GR20" s="315">
        <v>0</v>
      </c>
      <c r="GS20" s="315">
        <f t="shared" si="4"/>
        <v>0</v>
      </c>
      <c r="GT20" s="315">
        <f t="shared" si="5"/>
        <v>0</v>
      </c>
      <c r="GU20" s="315">
        <v>0</v>
      </c>
      <c r="GV20" s="315">
        <f t="shared" si="6"/>
        <v>0</v>
      </c>
      <c r="GW20" s="315">
        <f t="shared" si="7"/>
        <v>0</v>
      </c>
      <c r="GX20" s="315">
        <v>0</v>
      </c>
    </row>
    <row r="21" spans="1:206" ht="15.75" x14ac:dyDescent="0.25">
      <c r="A21" s="190">
        <v>17</v>
      </c>
      <c r="B21" s="102" t="s">
        <v>151</v>
      </c>
      <c r="C21" s="95">
        <v>3</v>
      </c>
      <c r="D21" s="313">
        <v>0</v>
      </c>
      <c r="E21" s="313"/>
      <c r="F21" s="313"/>
      <c r="G21" s="313"/>
      <c r="H21" s="313"/>
      <c r="I21" s="313"/>
      <c r="J21" s="313"/>
      <c r="K21" s="313">
        <v>2</v>
      </c>
      <c r="L21" s="313">
        <v>0</v>
      </c>
      <c r="M21" s="313"/>
      <c r="N21" s="313"/>
      <c r="O21" s="313"/>
      <c r="P21" s="313"/>
      <c r="Q21" s="313"/>
      <c r="R21" s="313"/>
      <c r="S21" s="313">
        <v>1</v>
      </c>
      <c r="T21" s="313">
        <v>0</v>
      </c>
      <c r="U21" s="313"/>
      <c r="V21" s="313"/>
      <c r="W21" s="313"/>
      <c r="X21" s="313"/>
      <c r="Y21" s="313"/>
      <c r="Z21" s="313"/>
      <c r="AA21" s="313">
        <v>3</v>
      </c>
      <c r="AB21" s="313">
        <v>0</v>
      </c>
      <c r="AC21" s="313"/>
      <c r="AD21" s="313"/>
      <c r="AE21" s="313"/>
      <c r="AF21" s="313"/>
      <c r="AG21" s="313"/>
      <c r="AH21" s="313"/>
      <c r="AI21" s="313">
        <v>1</v>
      </c>
      <c r="AJ21" s="313">
        <v>1</v>
      </c>
      <c r="AK21" s="314"/>
      <c r="AL21" s="313"/>
      <c r="AM21" s="313"/>
      <c r="AN21" s="313"/>
      <c r="AO21" s="313"/>
      <c r="AP21" s="313"/>
      <c r="AQ21" s="313">
        <v>2</v>
      </c>
      <c r="AR21" s="313">
        <v>2</v>
      </c>
      <c r="AS21" s="314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>
        <v>3</v>
      </c>
      <c r="BH21" s="313">
        <v>1</v>
      </c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>
        <v>1</v>
      </c>
      <c r="BX21" s="313">
        <v>0</v>
      </c>
      <c r="BY21" s="313"/>
      <c r="BZ21" s="313"/>
      <c r="CA21" s="313"/>
      <c r="CB21" s="313"/>
      <c r="CC21" s="313"/>
      <c r="CD21" s="313"/>
      <c r="CE21" s="313">
        <v>2</v>
      </c>
      <c r="CF21" s="313">
        <v>1</v>
      </c>
      <c r="CG21" s="313"/>
      <c r="CH21" s="313"/>
      <c r="CI21" s="313"/>
      <c r="CJ21" s="313"/>
      <c r="CK21" s="313"/>
      <c r="CL21" s="313"/>
      <c r="CM21" s="313">
        <v>1</v>
      </c>
      <c r="CN21" s="313">
        <v>0</v>
      </c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>
        <v>1</v>
      </c>
      <c r="DL21" s="313">
        <v>1</v>
      </c>
      <c r="DM21" s="313"/>
      <c r="DN21" s="313"/>
      <c r="DO21" s="313"/>
      <c r="DP21" s="313"/>
      <c r="DQ21" s="313"/>
      <c r="DR21" s="313"/>
      <c r="DS21" s="313">
        <v>2</v>
      </c>
      <c r="DT21" s="313">
        <v>0</v>
      </c>
      <c r="DU21" s="313"/>
      <c r="DV21" s="313"/>
      <c r="DW21" s="313"/>
      <c r="DX21" s="313"/>
      <c r="DY21" s="313"/>
      <c r="DZ21" s="313"/>
      <c r="EA21" s="313"/>
      <c r="EB21" s="313"/>
      <c r="EC21" s="313"/>
      <c r="ED21" s="313"/>
      <c r="EE21" s="313"/>
      <c r="EF21" s="313"/>
      <c r="EG21" s="313"/>
      <c r="EH21" s="313"/>
      <c r="EI21" s="313">
        <v>1</v>
      </c>
      <c r="EJ21" s="313">
        <v>0</v>
      </c>
      <c r="EK21" s="314"/>
      <c r="EL21" s="314"/>
      <c r="EM21" s="314"/>
      <c r="EN21" s="313"/>
      <c r="EO21" s="313"/>
      <c r="EP21" s="313"/>
      <c r="EQ21" s="313"/>
      <c r="ER21" s="313"/>
      <c r="ES21" s="313"/>
      <c r="ET21" s="313"/>
      <c r="EU21" s="313"/>
      <c r="EV21" s="313"/>
      <c r="EW21" s="313"/>
      <c r="EX21" s="313"/>
      <c r="EY21" s="313">
        <v>1</v>
      </c>
      <c r="EZ21" s="313">
        <v>0</v>
      </c>
      <c r="FA21" s="313"/>
      <c r="FB21" s="313"/>
      <c r="FC21" s="313"/>
      <c r="FD21" s="313"/>
      <c r="FE21" s="313"/>
      <c r="FF21" s="313"/>
      <c r="FG21" s="313"/>
      <c r="FH21" s="313"/>
      <c r="FI21" s="313"/>
      <c r="FJ21" s="313"/>
      <c r="FK21" s="313"/>
      <c r="FL21" s="313"/>
      <c r="FM21" s="313"/>
      <c r="FN21" s="313"/>
      <c r="FO21" s="313">
        <v>2</v>
      </c>
      <c r="FP21" s="313">
        <v>0</v>
      </c>
      <c r="FQ21" s="313"/>
      <c r="FR21" s="313"/>
      <c r="FS21" s="313"/>
      <c r="FT21" s="313"/>
      <c r="FU21" s="313"/>
      <c r="FV21" s="313"/>
      <c r="FW21" s="313">
        <v>2</v>
      </c>
      <c r="FX21" s="313">
        <v>1</v>
      </c>
      <c r="FY21" s="313"/>
      <c r="FZ21" s="313"/>
      <c r="GA21" s="313"/>
      <c r="GB21" s="313"/>
      <c r="GC21" s="313"/>
      <c r="GD21" s="313"/>
      <c r="GE21" s="313">
        <v>1</v>
      </c>
      <c r="GF21" s="313">
        <v>0</v>
      </c>
      <c r="GG21" s="313"/>
      <c r="GH21" s="313"/>
      <c r="GI21" s="313"/>
      <c r="GJ21" s="313"/>
      <c r="GK21" s="313"/>
      <c r="GL21" s="313"/>
      <c r="GM21" s="315">
        <f t="shared" si="0"/>
        <v>29</v>
      </c>
      <c r="GN21" s="315">
        <f t="shared" si="0"/>
        <v>7</v>
      </c>
      <c r="GO21" s="315">
        <f t="shared" si="1"/>
        <v>0.2413793103448276</v>
      </c>
      <c r="GP21" s="315">
        <f t="shared" si="2"/>
        <v>0</v>
      </c>
      <c r="GQ21" s="315">
        <f t="shared" si="3"/>
        <v>0</v>
      </c>
      <c r="GR21" s="315">
        <v>0</v>
      </c>
      <c r="GS21" s="315">
        <f t="shared" si="4"/>
        <v>0</v>
      </c>
      <c r="GT21" s="315">
        <f t="shared" si="5"/>
        <v>0</v>
      </c>
      <c r="GU21" s="315">
        <v>0</v>
      </c>
      <c r="GV21" s="315">
        <f t="shared" si="6"/>
        <v>0</v>
      </c>
      <c r="GW21" s="315">
        <f t="shared" si="7"/>
        <v>0</v>
      </c>
      <c r="GX21" s="315">
        <v>0</v>
      </c>
    </row>
    <row r="22" spans="1:206" ht="15.75" x14ac:dyDescent="0.25">
      <c r="A22" s="190">
        <v>18</v>
      </c>
      <c r="B22" s="102" t="s">
        <v>152</v>
      </c>
      <c r="C22" s="95">
        <v>5</v>
      </c>
      <c r="D22" s="313">
        <v>2</v>
      </c>
      <c r="E22" s="313"/>
      <c r="F22" s="313"/>
      <c r="G22" s="313"/>
      <c r="H22" s="313"/>
      <c r="I22" s="313"/>
      <c r="J22" s="313"/>
      <c r="K22" s="313">
        <v>1</v>
      </c>
      <c r="L22" s="313">
        <v>0</v>
      </c>
      <c r="M22" s="313"/>
      <c r="N22" s="313"/>
      <c r="O22" s="313"/>
      <c r="P22" s="313"/>
      <c r="Q22" s="313"/>
      <c r="R22" s="313"/>
      <c r="S22" s="313">
        <v>2</v>
      </c>
      <c r="T22" s="313">
        <v>0</v>
      </c>
      <c r="U22" s="313"/>
      <c r="V22" s="313"/>
      <c r="W22" s="313"/>
      <c r="X22" s="313"/>
      <c r="Y22" s="313"/>
      <c r="Z22" s="313"/>
      <c r="AA22" s="313">
        <v>1</v>
      </c>
      <c r="AB22" s="313">
        <v>0</v>
      </c>
      <c r="AC22" s="313"/>
      <c r="AD22" s="313"/>
      <c r="AE22" s="313"/>
      <c r="AF22" s="313"/>
      <c r="AG22" s="313"/>
      <c r="AH22" s="313"/>
      <c r="AI22" s="313">
        <v>2</v>
      </c>
      <c r="AJ22" s="313">
        <v>0</v>
      </c>
      <c r="AK22" s="314"/>
      <c r="AL22" s="313"/>
      <c r="AM22" s="313"/>
      <c r="AN22" s="313"/>
      <c r="AO22" s="313"/>
      <c r="AP22" s="313"/>
      <c r="AQ22" s="313">
        <v>2</v>
      </c>
      <c r="AR22" s="313">
        <v>2</v>
      </c>
      <c r="AS22" s="314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>
        <v>1</v>
      </c>
      <c r="BH22" s="313">
        <v>0</v>
      </c>
      <c r="BI22" s="313"/>
      <c r="BJ22" s="313"/>
      <c r="BK22" s="313"/>
      <c r="BL22" s="313"/>
      <c r="BM22" s="313"/>
      <c r="BN22" s="313"/>
      <c r="BO22" s="313"/>
      <c r="BP22" s="313"/>
      <c r="BQ22" s="313"/>
      <c r="BR22" s="313"/>
      <c r="BS22" s="313"/>
      <c r="BT22" s="313"/>
      <c r="BU22" s="313"/>
      <c r="BV22" s="313"/>
      <c r="BW22" s="313">
        <v>1</v>
      </c>
      <c r="BX22" s="313">
        <v>0</v>
      </c>
      <c r="BY22" s="313"/>
      <c r="BZ22" s="313"/>
      <c r="CA22" s="313"/>
      <c r="CB22" s="313"/>
      <c r="CC22" s="313"/>
      <c r="CD22" s="313"/>
      <c r="CE22" s="313">
        <v>2</v>
      </c>
      <c r="CF22" s="313">
        <v>0</v>
      </c>
      <c r="CG22" s="313"/>
      <c r="CH22" s="313"/>
      <c r="CI22" s="313"/>
      <c r="CJ22" s="313"/>
      <c r="CK22" s="313"/>
      <c r="CL22" s="313"/>
      <c r="CM22" s="313">
        <v>1</v>
      </c>
      <c r="CN22" s="313">
        <v>0</v>
      </c>
      <c r="CO22" s="313"/>
      <c r="CP22" s="313"/>
      <c r="CQ22" s="313"/>
      <c r="CR22" s="313"/>
      <c r="CS22" s="313"/>
      <c r="CT22" s="313"/>
      <c r="CU22" s="313"/>
      <c r="CV22" s="313"/>
      <c r="CW22" s="313"/>
      <c r="CX22" s="313"/>
      <c r="CY22" s="313"/>
      <c r="CZ22" s="313"/>
      <c r="DA22" s="313"/>
      <c r="DB22" s="313"/>
      <c r="DC22" s="313"/>
      <c r="DD22" s="313"/>
      <c r="DE22" s="313"/>
      <c r="DF22" s="313"/>
      <c r="DG22" s="313"/>
      <c r="DH22" s="313"/>
      <c r="DI22" s="313"/>
      <c r="DJ22" s="313"/>
      <c r="DK22" s="313">
        <v>1</v>
      </c>
      <c r="DL22" s="313">
        <v>0</v>
      </c>
      <c r="DM22" s="313"/>
      <c r="DN22" s="313"/>
      <c r="DO22" s="313"/>
      <c r="DP22" s="313"/>
      <c r="DQ22" s="313"/>
      <c r="DR22" s="313"/>
      <c r="DS22" s="313">
        <v>2</v>
      </c>
      <c r="DT22" s="313">
        <v>0</v>
      </c>
      <c r="DU22" s="313"/>
      <c r="DV22" s="313"/>
      <c r="DW22" s="313"/>
      <c r="DX22" s="313"/>
      <c r="DY22" s="313"/>
      <c r="DZ22" s="313"/>
      <c r="EA22" s="313"/>
      <c r="EB22" s="313"/>
      <c r="EC22" s="313"/>
      <c r="ED22" s="313"/>
      <c r="EE22" s="313"/>
      <c r="EF22" s="313"/>
      <c r="EG22" s="313"/>
      <c r="EH22" s="313"/>
      <c r="EI22" s="313"/>
      <c r="EJ22" s="313"/>
      <c r="EK22" s="314"/>
      <c r="EL22" s="314"/>
      <c r="EM22" s="314"/>
      <c r="EN22" s="313"/>
      <c r="EO22" s="313"/>
      <c r="EP22" s="313"/>
      <c r="EQ22" s="313">
        <v>1</v>
      </c>
      <c r="ER22" s="313">
        <v>0</v>
      </c>
      <c r="ES22" s="313"/>
      <c r="ET22" s="313"/>
      <c r="EU22" s="313"/>
      <c r="EV22" s="313"/>
      <c r="EW22" s="313"/>
      <c r="EX22" s="313"/>
      <c r="EY22" s="313">
        <v>2</v>
      </c>
      <c r="EZ22" s="313">
        <v>0</v>
      </c>
      <c r="FA22" s="313"/>
      <c r="FB22" s="313"/>
      <c r="FC22" s="313"/>
      <c r="FD22" s="313"/>
      <c r="FE22" s="313"/>
      <c r="FF22" s="313"/>
      <c r="FG22" s="313"/>
      <c r="FH22" s="313"/>
      <c r="FI22" s="313"/>
      <c r="FJ22" s="313"/>
      <c r="FK22" s="313"/>
      <c r="FL22" s="313"/>
      <c r="FM22" s="313"/>
      <c r="FN22" s="313"/>
      <c r="FO22" s="313">
        <v>3</v>
      </c>
      <c r="FP22" s="313">
        <v>3</v>
      </c>
      <c r="FQ22" s="313"/>
      <c r="FR22" s="313"/>
      <c r="FS22" s="313"/>
      <c r="FT22" s="313"/>
      <c r="FU22" s="313"/>
      <c r="FV22" s="313"/>
      <c r="FW22" s="313">
        <v>2</v>
      </c>
      <c r="FX22" s="313">
        <v>2</v>
      </c>
      <c r="FY22" s="313"/>
      <c r="FZ22" s="313"/>
      <c r="GA22" s="313"/>
      <c r="GB22" s="313"/>
      <c r="GC22" s="313"/>
      <c r="GD22" s="313"/>
      <c r="GE22" s="313">
        <v>1</v>
      </c>
      <c r="GF22" s="313">
        <v>0</v>
      </c>
      <c r="GG22" s="313"/>
      <c r="GH22" s="313"/>
      <c r="GI22" s="313"/>
      <c r="GJ22" s="313"/>
      <c r="GK22" s="313"/>
      <c r="GL22" s="313"/>
      <c r="GM22" s="315">
        <f t="shared" si="0"/>
        <v>30</v>
      </c>
      <c r="GN22" s="315">
        <f t="shared" si="0"/>
        <v>9</v>
      </c>
      <c r="GO22" s="315">
        <f t="shared" si="1"/>
        <v>0.3</v>
      </c>
      <c r="GP22" s="315">
        <f t="shared" si="2"/>
        <v>0</v>
      </c>
      <c r="GQ22" s="315">
        <f t="shared" si="3"/>
        <v>0</v>
      </c>
      <c r="GR22" s="315">
        <v>0</v>
      </c>
      <c r="GS22" s="315">
        <f t="shared" si="4"/>
        <v>0</v>
      </c>
      <c r="GT22" s="315">
        <f t="shared" si="5"/>
        <v>0</v>
      </c>
      <c r="GU22" s="315">
        <v>0</v>
      </c>
      <c r="GV22" s="315">
        <f t="shared" si="6"/>
        <v>0</v>
      </c>
      <c r="GW22" s="315">
        <f t="shared" si="7"/>
        <v>0</v>
      </c>
      <c r="GX22" s="315">
        <v>0</v>
      </c>
    </row>
    <row r="23" spans="1:206" ht="15.75" x14ac:dyDescent="0.25">
      <c r="A23" s="190">
        <v>19</v>
      </c>
      <c r="B23" s="102" t="s">
        <v>153</v>
      </c>
      <c r="C23" s="95">
        <v>2</v>
      </c>
      <c r="D23" s="313">
        <v>1</v>
      </c>
      <c r="E23" s="313"/>
      <c r="F23" s="313"/>
      <c r="G23" s="313"/>
      <c r="H23" s="313"/>
      <c r="I23" s="313"/>
      <c r="J23" s="313"/>
      <c r="K23" s="313">
        <v>1</v>
      </c>
      <c r="L23" s="313">
        <v>0</v>
      </c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>
        <v>2</v>
      </c>
      <c r="AB23" s="313">
        <v>1</v>
      </c>
      <c r="AC23" s="313"/>
      <c r="AD23" s="313"/>
      <c r="AE23" s="313"/>
      <c r="AF23" s="313"/>
      <c r="AG23" s="313"/>
      <c r="AH23" s="313"/>
      <c r="AI23" s="313">
        <v>1</v>
      </c>
      <c r="AJ23" s="313">
        <v>0</v>
      </c>
      <c r="AK23" s="314"/>
      <c r="AL23" s="313"/>
      <c r="AM23" s="313"/>
      <c r="AN23" s="313"/>
      <c r="AO23" s="313"/>
      <c r="AP23" s="313"/>
      <c r="AQ23" s="313">
        <v>1</v>
      </c>
      <c r="AR23" s="313">
        <v>1</v>
      </c>
      <c r="AS23" s="314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>
        <v>4</v>
      </c>
      <c r="BH23" s="313">
        <v>1</v>
      </c>
      <c r="BI23" s="313">
        <v>1</v>
      </c>
      <c r="BJ23" s="313">
        <v>0</v>
      </c>
      <c r="BK23" s="313"/>
      <c r="BL23" s="313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>
        <v>0</v>
      </c>
      <c r="BX23" s="313">
        <v>0</v>
      </c>
      <c r="BY23" s="313"/>
      <c r="BZ23" s="313"/>
      <c r="CA23" s="313"/>
      <c r="CB23" s="313"/>
      <c r="CC23" s="313"/>
      <c r="CD23" s="313"/>
      <c r="CE23" s="313">
        <v>1</v>
      </c>
      <c r="CF23" s="313">
        <v>0</v>
      </c>
      <c r="CG23" s="313"/>
      <c r="CH23" s="313"/>
      <c r="CI23" s="313"/>
      <c r="CJ23" s="313"/>
      <c r="CK23" s="313"/>
      <c r="CL23" s="313"/>
      <c r="CM23" s="313">
        <v>1</v>
      </c>
      <c r="CN23" s="313">
        <v>1</v>
      </c>
      <c r="CO23" s="313"/>
      <c r="CP23" s="313"/>
      <c r="CQ23" s="313"/>
      <c r="CR23" s="313"/>
      <c r="CS23" s="313"/>
      <c r="CT23" s="313"/>
      <c r="CU23" s="313"/>
      <c r="CV23" s="313"/>
      <c r="CW23" s="313"/>
      <c r="CX23" s="313"/>
      <c r="CY23" s="313"/>
      <c r="CZ23" s="313"/>
      <c r="DA23" s="313"/>
      <c r="DB23" s="313"/>
      <c r="DC23" s="313"/>
      <c r="DD23" s="313"/>
      <c r="DE23" s="313"/>
      <c r="DF23" s="313"/>
      <c r="DG23" s="313"/>
      <c r="DH23" s="313"/>
      <c r="DI23" s="313"/>
      <c r="DJ23" s="313"/>
      <c r="DK23" s="313"/>
      <c r="DL23" s="313"/>
      <c r="DM23" s="313"/>
      <c r="DN23" s="313"/>
      <c r="DO23" s="313"/>
      <c r="DP23" s="313"/>
      <c r="DQ23" s="313"/>
      <c r="DR23" s="313"/>
      <c r="DS23" s="313">
        <v>0</v>
      </c>
      <c r="DT23" s="313">
        <v>0</v>
      </c>
      <c r="DU23" s="313"/>
      <c r="DV23" s="313"/>
      <c r="DW23" s="313"/>
      <c r="DX23" s="313"/>
      <c r="DY23" s="313"/>
      <c r="DZ23" s="313"/>
      <c r="EA23" s="313"/>
      <c r="EB23" s="313"/>
      <c r="EC23" s="313"/>
      <c r="ED23" s="313"/>
      <c r="EE23" s="313"/>
      <c r="EF23" s="313"/>
      <c r="EG23" s="313"/>
      <c r="EH23" s="313"/>
      <c r="EI23" s="313">
        <v>1</v>
      </c>
      <c r="EJ23" s="313">
        <v>1</v>
      </c>
      <c r="EK23" s="314"/>
      <c r="EL23" s="314"/>
      <c r="EM23" s="314"/>
      <c r="EN23" s="313"/>
      <c r="EO23" s="313"/>
      <c r="EP23" s="313"/>
      <c r="EQ23" s="313"/>
      <c r="ER23" s="313"/>
      <c r="ES23" s="313"/>
      <c r="ET23" s="313"/>
      <c r="EU23" s="313"/>
      <c r="EV23" s="313"/>
      <c r="EW23" s="313"/>
      <c r="EX23" s="313"/>
      <c r="EY23" s="313">
        <v>1</v>
      </c>
      <c r="EZ23" s="313">
        <v>0</v>
      </c>
      <c r="FA23" s="313"/>
      <c r="FB23" s="313"/>
      <c r="FC23" s="313"/>
      <c r="FD23" s="313"/>
      <c r="FE23" s="313"/>
      <c r="FF23" s="313"/>
      <c r="FG23" s="313"/>
      <c r="FH23" s="313"/>
      <c r="FI23" s="313"/>
      <c r="FJ23" s="313"/>
      <c r="FK23" s="313"/>
      <c r="FL23" s="313"/>
      <c r="FM23" s="313"/>
      <c r="FN23" s="313"/>
      <c r="FO23" s="313">
        <v>1</v>
      </c>
      <c r="FP23" s="313">
        <v>0</v>
      </c>
      <c r="FQ23" s="313"/>
      <c r="FR23" s="313"/>
      <c r="FS23" s="313"/>
      <c r="FT23" s="313"/>
      <c r="FU23" s="313"/>
      <c r="FV23" s="313"/>
      <c r="FW23" s="313">
        <v>1</v>
      </c>
      <c r="FX23" s="313">
        <v>1</v>
      </c>
      <c r="FY23" s="313"/>
      <c r="FZ23" s="313"/>
      <c r="GA23" s="313"/>
      <c r="GB23" s="313"/>
      <c r="GC23" s="313"/>
      <c r="GD23" s="313"/>
      <c r="GE23" s="313"/>
      <c r="GF23" s="313"/>
      <c r="GG23" s="313"/>
      <c r="GH23" s="313"/>
      <c r="GI23" s="313"/>
      <c r="GJ23" s="313"/>
      <c r="GK23" s="313"/>
      <c r="GL23" s="313"/>
      <c r="GM23" s="315">
        <f t="shared" si="0"/>
        <v>17</v>
      </c>
      <c r="GN23" s="315">
        <f t="shared" si="0"/>
        <v>7</v>
      </c>
      <c r="GO23" s="315">
        <f t="shared" si="1"/>
        <v>0.41176470588235292</v>
      </c>
      <c r="GP23" s="315">
        <f t="shared" si="2"/>
        <v>1</v>
      </c>
      <c r="GQ23" s="315">
        <f t="shared" si="3"/>
        <v>0</v>
      </c>
      <c r="GR23" s="315">
        <f t="shared" si="8"/>
        <v>0</v>
      </c>
      <c r="GS23" s="315">
        <f t="shared" si="4"/>
        <v>0</v>
      </c>
      <c r="GT23" s="315">
        <f t="shared" si="5"/>
        <v>0</v>
      </c>
      <c r="GU23" s="315">
        <v>0</v>
      </c>
      <c r="GV23" s="315">
        <f t="shared" si="6"/>
        <v>0</v>
      </c>
      <c r="GW23" s="315">
        <f t="shared" si="7"/>
        <v>0</v>
      </c>
      <c r="GX23" s="315">
        <v>0</v>
      </c>
    </row>
    <row r="24" spans="1:206" ht="15.75" x14ac:dyDescent="0.25">
      <c r="A24" s="190">
        <v>20</v>
      </c>
      <c r="B24" s="102" t="s">
        <v>154</v>
      </c>
      <c r="C24" s="95">
        <v>7</v>
      </c>
      <c r="D24" s="313">
        <v>4</v>
      </c>
      <c r="E24" s="313">
        <v>1</v>
      </c>
      <c r="F24" s="313">
        <v>0</v>
      </c>
      <c r="G24" s="313"/>
      <c r="H24" s="313"/>
      <c r="I24" s="313"/>
      <c r="J24" s="313"/>
      <c r="K24" s="313">
        <v>3</v>
      </c>
      <c r="L24" s="313">
        <v>1</v>
      </c>
      <c r="M24" s="313"/>
      <c r="N24" s="313"/>
      <c r="O24" s="313"/>
      <c r="P24" s="313"/>
      <c r="Q24" s="313"/>
      <c r="R24" s="313"/>
      <c r="S24" s="313">
        <v>4</v>
      </c>
      <c r="T24" s="313"/>
      <c r="U24" s="313">
        <v>1</v>
      </c>
      <c r="V24" s="313">
        <v>1</v>
      </c>
      <c r="W24" s="313"/>
      <c r="X24" s="313"/>
      <c r="Y24" s="313"/>
      <c r="Z24" s="313"/>
      <c r="AA24" s="313">
        <v>3</v>
      </c>
      <c r="AB24" s="313">
        <v>3</v>
      </c>
      <c r="AC24" s="313"/>
      <c r="AD24" s="313"/>
      <c r="AE24" s="313"/>
      <c r="AF24" s="313"/>
      <c r="AG24" s="313"/>
      <c r="AH24" s="313"/>
      <c r="AI24" s="313">
        <v>3</v>
      </c>
      <c r="AJ24" s="313">
        <v>2</v>
      </c>
      <c r="AK24" s="314"/>
      <c r="AL24" s="313"/>
      <c r="AM24" s="313"/>
      <c r="AN24" s="313"/>
      <c r="AO24" s="313"/>
      <c r="AP24" s="313"/>
      <c r="AQ24" s="313">
        <v>3</v>
      </c>
      <c r="AR24" s="313">
        <v>2</v>
      </c>
      <c r="AS24" s="314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>
        <v>3</v>
      </c>
      <c r="BH24" s="313">
        <v>3</v>
      </c>
      <c r="BI24" s="313">
        <v>1</v>
      </c>
      <c r="BJ24" s="313">
        <v>0</v>
      </c>
      <c r="BK24" s="313"/>
      <c r="BL24" s="313"/>
      <c r="BM24" s="313"/>
      <c r="BN24" s="313"/>
      <c r="BO24" s="313"/>
      <c r="BP24" s="313"/>
      <c r="BQ24" s="313"/>
      <c r="BR24" s="313"/>
      <c r="BS24" s="313"/>
      <c r="BT24" s="313"/>
      <c r="BU24" s="313"/>
      <c r="BV24" s="313"/>
      <c r="BW24" s="313">
        <v>0</v>
      </c>
      <c r="BX24" s="313">
        <v>0</v>
      </c>
      <c r="BY24" s="313"/>
      <c r="BZ24" s="313"/>
      <c r="CA24" s="313"/>
      <c r="CB24" s="313"/>
      <c r="CC24" s="313"/>
      <c r="CD24" s="313"/>
      <c r="CE24" s="313">
        <v>5</v>
      </c>
      <c r="CF24" s="313">
        <v>1</v>
      </c>
      <c r="CG24" s="313">
        <v>1</v>
      </c>
      <c r="CH24" s="313">
        <v>0</v>
      </c>
      <c r="CI24" s="313"/>
      <c r="CJ24" s="313"/>
      <c r="CK24" s="313"/>
      <c r="CL24" s="313"/>
      <c r="CM24" s="316">
        <v>2</v>
      </c>
      <c r="CN24" s="313">
        <v>0</v>
      </c>
      <c r="CO24" s="316"/>
      <c r="CP24" s="313"/>
      <c r="CQ24" s="313"/>
      <c r="CR24" s="313"/>
      <c r="CS24" s="313"/>
      <c r="CT24" s="313"/>
      <c r="CU24" s="316"/>
      <c r="CV24" s="313"/>
      <c r="CW24" s="313"/>
      <c r="CX24" s="313"/>
      <c r="CY24" s="313"/>
      <c r="CZ24" s="313"/>
      <c r="DA24" s="313"/>
      <c r="DB24" s="313"/>
      <c r="DC24" s="313"/>
      <c r="DD24" s="313"/>
      <c r="DE24" s="313"/>
      <c r="DF24" s="313"/>
      <c r="DG24" s="313"/>
      <c r="DH24" s="313"/>
      <c r="DI24" s="313"/>
      <c r="DJ24" s="313"/>
      <c r="DK24" s="313">
        <v>1</v>
      </c>
      <c r="DL24" s="313">
        <v>0</v>
      </c>
      <c r="DM24" s="313"/>
      <c r="DN24" s="313"/>
      <c r="DO24" s="313"/>
      <c r="DP24" s="313"/>
      <c r="DQ24" s="313"/>
      <c r="DR24" s="313"/>
      <c r="DS24" s="313">
        <v>0</v>
      </c>
      <c r="DT24" s="313">
        <v>0</v>
      </c>
      <c r="DU24" s="313"/>
      <c r="DV24" s="313"/>
      <c r="DW24" s="313"/>
      <c r="DX24" s="313"/>
      <c r="DY24" s="313"/>
      <c r="DZ24" s="313"/>
      <c r="EA24" s="313">
        <v>5</v>
      </c>
      <c r="EB24" s="313">
        <v>5</v>
      </c>
      <c r="EC24" s="313">
        <v>5</v>
      </c>
      <c r="ED24" s="313">
        <v>3</v>
      </c>
      <c r="EE24" s="313"/>
      <c r="EF24" s="313"/>
      <c r="EG24" s="313"/>
      <c r="EH24" s="313"/>
      <c r="EI24" s="313"/>
      <c r="EJ24" s="313"/>
      <c r="EK24" s="314"/>
      <c r="EL24" s="314"/>
      <c r="EM24" s="314"/>
      <c r="EN24" s="313"/>
      <c r="EO24" s="313"/>
      <c r="EP24" s="313"/>
      <c r="EQ24" s="313">
        <v>0</v>
      </c>
      <c r="ER24" s="313">
        <v>0</v>
      </c>
      <c r="ES24" s="313"/>
      <c r="ET24" s="313"/>
      <c r="EU24" s="313"/>
      <c r="EV24" s="313"/>
      <c r="EW24" s="313"/>
      <c r="EX24" s="313"/>
      <c r="EY24" s="313">
        <v>2</v>
      </c>
      <c r="EZ24" s="313">
        <v>1</v>
      </c>
      <c r="FA24" s="313">
        <v>1</v>
      </c>
      <c r="FB24" s="313">
        <v>1</v>
      </c>
      <c r="FC24" s="313"/>
      <c r="FD24" s="313"/>
      <c r="FE24" s="313"/>
      <c r="FF24" s="313"/>
      <c r="FG24" s="313"/>
      <c r="FH24" s="313"/>
      <c r="FI24" s="313"/>
      <c r="FJ24" s="313"/>
      <c r="FK24" s="313"/>
      <c r="FL24" s="313"/>
      <c r="FM24" s="313"/>
      <c r="FN24" s="313"/>
      <c r="FO24" s="313">
        <v>5</v>
      </c>
      <c r="FP24" s="313">
        <v>2</v>
      </c>
      <c r="FQ24" s="313"/>
      <c r="FR24" s="313"/>
      <c r="FS24" s="313"/>
      <c r="FT24" s="313"/>
      <c r="FU24" s="313"/>
      <c r="FV24" s="313"/>
      <c r="FW24" s="313">
        <v>2</v>
      </c>
      <c r="FX24" s="313">
        <v>1</v>
      </c>
      <c r="FY24" s="313"/>
      <c r="FZ24" s="313"/>
      <c r="GA24" s="313"/>
      <c r="GB24" s="313"/>
      <c r="GC24" s="313"/>
      <c r="GD24" s="313"/>
      <c r="GE24" s="313">
        <v>1</v>
      </c>
      <c r="GF24" s="313">
        <v>0</v>
      </c>
      <c r="GG24" s="313"/>
      <c r="GH24" s="313"/>
      <c r="GI24" s="313"/>
      <c r="GJ24" s="313"/>
      <c r="GK24" s="313"/>
      <c r="GL24" s="313"/>
      <c r="GM24" s="315">
        <f t="shared" si="0"/>
        <v>49</v>
      </c>
      <c r="GN24" s="315">
        <f t="shared" si="0"/>
        <v>25</v>
      </c>
      <c r="GO24" s="315">
        <f t="shared" si="1"/>
        <v>0.51020408163265307</v>
      </c>
      <c r="GP24" s="315">
        <f t="shared" si="2"/>
        <v>10</v>
      </c>
      <c r="GQ24" s="315">
        <f t="shared" si="3"/>
        <v>5</v>
      </c>
      <c r="GR24" s="315">
        <f t="shared" si="8"/>
        <v>0.5</v>
      </c>
      <c r="GS24" s="315">
        <f t="shared" si="4"/>
        <v>0</v>
      </c>
      <c r="GT24" s="315">
        <f t="shared" si="5"/>
        <v>0</v>
      </c>
      <c r="GU24" s="315">
        <v>0</v>
      </c>
      <c r="GV24" s="315">
        <f t="shared" si="6"/>
        <v>0</v>
      </c>
      <c r="GW24" s="315">
        <f t="shared" si="7"/>
        <v>0</v>
      </c>
      <c r="GX24" s="315">
        <v>0</v>
      </c>
    </row>
    <row r="25" spans="1:206" ht="15.75" x14ac:dyDescent="0.25">
      <c r="A25" s="190">
        <v>21</v>
      </c>
      <c r="B25" s="102" t="s">
        <v>155</v>
      </c>
      <c r="C25" s="95">
        <v>2</v>
      </c>
      <c r="D25" s="313">
        <v>1</v>
      </c>
      <c r="E25" s="313"/>
      <c r="F25" s="313"/>
      <c r="G25" s="313"/>
      <c r="H25" s="313"/>
      <c r="I25" s="313"/>
      <c r="J25" s="313"/>
      <c r="K25" s="313">
        <v>1</v>
      </c>
      <c r="L25" s="313">
        <v>0</v>
      </c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>
        <v>1</v>
      </c>
      <c r="AB25" s="313">
        <v>1</v>
      </c>
      <c r="AC25" s="313"/>
      <c r="AD25" s="313"/>
      <c r="AE25" s="313"/>
      <c r="AF25" s="313"/>
      <c r="AG25" s="313"/>
      <c r="AH25" s="313"/>
      <c r="AI25" s="313">
        <v>2</v>
      </c>
      <c r="AJ25" s="313">
        <v>0</v>
      </c>
      <c r="AK25" s="314"/>
      <c r="AL25" s="313"/>
      <c r="AM25" s="313"/>
      <c r="AN25" s="313"/>
      <c r="AO25" s="313"/>
      <c r="AP25" s="313"/>
      <c r="AQ25" s="313">
        <v>1</v>
      </c>
      <c r="AR25" s="313">
        <v>0</v>
      </c>
      <c r="AS25" s="314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>
        <v>2</v>
      </c>
      <c r="BH25" s="313">
        <v>0</v>
      </c>
      <c r="BI25" s="313"/>
      <c r="BJ25" s="313"/>
      <c r="BK25" s="313"/>
      <c r="BL25" s="313"/>
      <c r="BM25" s="313"/>
      <c r="BN25" s="313"/>
      <c r="BO25" s="313"/>
      <c r="BP25" s="313"/>
      <c r="BQ25" s="313"/>
      <c r="BR25" s="313"/>
      <c r="BS25" s="313"/>
      <c r="BT25" s="313"/>
      <c r="BU25" s="313"/>
      <c r="BV25" s="313"/>
      <c r="BW25" s="313">
        <v>1</v>
      </c>
      <c r="BX25" s="313">
        <v>1</v>
      </c>
      <c r="BY25" s="313"/>
      <c r="BZ25" s="313"/>
      <c r="CA25" s="313"/>
      <c r="CB25" s="313"/>
      <c r="CC25" s="313"/>
      <c r="CD25" s="313"/>
      <c r="CE25" s="313">
        <v>1</v>
      </c>
      <c r="CF25" s="313">
        <v>1</v>
      </c>
      <c r="CG25" s="313"/>
      <c r="CH25" s="313"/>
      <c r="CI25" s="313"/>
      <c r="CJ25" s="313"/>
      <c r="CK25" s="313"/>
      <c r="CL25" s="313"/>
      <c r="CM25" s="316">
        <v>1</v>
      </c>
      <c r="CN25" s="313">
        <v>0</v>
      </c>
      <c r="CO25" s="313"/>
      <c r="CP25" s="313"/>
      <c r="CQ25" s="313"/>
      <c r="CR25" s="313"/>
      <c r="CS25" s="313"/>
      <c r="CT25" s="313"/>
      <c r="CU25" s="316"/>
      <c r="CV25" s="313"/>
      <c r="CW25" s="313"/>
      <c r="CX25" s="313"/>
      <c r="CY25" s="313"/>
      <c r="CZ25" s="313"/>
      <c r="DA25" s="313"/>
      <c r="DB25" s="313"/>
      <c r="DC25" s="313"/>
      <c r="DD25" s="313"/>
      <c r="DE25" s="313"/>
      <c r="DF25" s="313"/>
      <c r="DG25" s="313"/>
      <c r="DH25" s="313"/>
      <c r="DI25" s="313"/>
      <c r="DJ25" s="313"/>
      <c r="DK25" s="313">
        <v>1</v>
      </c>
      <c r="DL25" s="313">
        <v>0</v>
      </c>
      <c r="DM25" s="313"/>
      <c r="DN25" s="313"/>
      <c r="DO25" s="313"/>
      <c r="DP25" s="313"/>
      <c r="DQ25" s="313"/>
      <c r="DR25" s="313"/>
      <c r="DS25" s="313">
        <v>3</v>
      </c>
      <c r="DT25" s="313">
        <v>2</v>
      </c>
      <c r="DU25" s="313"/>
      <c r="DV25" s="313"/>
      <c r="DW25" s="313"/>
      <c r="DX25" s="313"/>
      <c r="DY25" s="313"/>
      <c r="DZ25" s="313"/>
      <c r="EA25" s="313"/>
      <c r="EB25" s="313"/>
      <c r="EC25" s="313"/>
      <c r="ED25" s="313"/>
      <c r="EE25" s="313"/>
      <c r="EF25" s="313"/>
      <c r="EG25" s="313"/>
      <c r="EH25" s="313"/>
      <c r="EI25" s="313"/>
      <c r="EJ25" s="313"/>
      <c r="EK25" s="314"/>
      <c r="EL25" s="314"/>
      <c r="EM25" s="314"/>
      <c r="EN25" s="313"/>
      <c r="EO25" s="313"/>
      <c r="EP25" s="313"/>
      <c r="EQ25" s="313"/>
      <c r="ER25" s="313"/>
      <c r="ES25" s="313"/>
      <c r="ET25" s="313"/>
      <c r="EU25" s="313"/>
      <c r="EV25" s="313"/>
      <c r="EW25" s="313"/>
      <c r="EX25" s="313"/>
      <c r="EY25" s="313">
        <v>1</v>
      </c>
      <c r="EZ25" s="313">
        <v>0</v>
      </c>
      <c r="FA25" s="313"/>
      <c r="FB25" s="313"/>
      <c r="FC25" s="313"/>
      <c r="FD25" s="313"/>
      <c r="FE25" s="313"/>
      <c r="FF25" s="313"/>
      <c r="FG25" s="313"/>
      <c r="FH25" s="313"/>
      <c r="FI25" s="313"/>
      <c r="FJ25" s="313"/>
      <c r="FK25" s="313"/>
      <c r="FL25" s="313"/>
      <c r="FM25" s="313"/>
      <c r="FN25" s="313"/>
      <c r="FO25" s="313">
        <v>1</v>
      </c>
      <c r="FP25" s="313">
        <v>1</v>
      </c>
      <c r="FQ25" s="313"/>
      <c r="FR25" s="313"/>
      <c r="FS25" s="313"/>
      <c r="FT25" s="313"/>
      <c r="FU25" s="313"/>
      <c r="FV25" s="313"/>
      <c r="FW25" s="313">
        <v>1</v>
      </c>
      <c r="FX25" s="313">
        <v>0</v>
      </c>
      <c r="FY25" s="313"/>
      <c r="FZ25" s="313"/>
      <c r="GA25" s="313"/>
      <c r="GB25" s="313"/>
      <c r="GC25" s="313"/>
      <c r="GD25" s="313"/>
      <c r="GE25" s="313">
        <v>1</v>
      </c>
      <c r="GF25" s="313">
        <v>0</v>
      </c>
      <c r="GG25" s="313"/>
      <c r="GH25" s="313"/>
      <c r="GI25" s="313"/>
      <c r="GJ25" s="313"/>
      <c r="GK25" s="313"/>
      <c r="GL25" s="313"/>
      <c r="GM25" s="315">
        <f t="shared" si="0"/>
        <v>20</v>
      </c>
      <c r="GN25" s="315">
        <f t="shared" si="0"/>
        <v>7</v>
      </c>
      <c r="GO25" s="315">
        <f t="shared" si="1"/>
        <v>0.35</v>
      </c>
      <c r="GP25" s="315">
        <f t="shared" si="2"/>
        <v>0</v>
      </c>
      <c r="GQ25" s="315">
        <f t="shared" si="3"/>
        <v>0</v>
      </c>
      <c r="GR25" s="315">
        <v>0</v>
      </c>
      <c r="GS25" s="315">
        <f t="shared" si="4"/>
        <v>0</v>
      </c>
      <c r="GT25" s="315">
        <f t="shared" si="5"/>
        <v>0</v>
      </c>
      <c r="GU25" s="315">
        <v>0</v>
      </c>
      <c r="GV25" s="315">
        <f t="shared" si="6"/>
        <v>0</v>
      </c>
      <c r="GW25" s="315">
        <f t="shared" si="7"/>
        <v>0</v>
      </c>
      <c r="GX25" s="315">
        <v>0</v>
      </c>
    </row>
    <row r="26" spans="1:206" ht="15.75" x14ac:dyDescent="0.25">
      <c r="A26" s="190">
        <v>22</v>
      </c>
      <c r="B26" s="102" t="s">
        <v>277</v>
      </c>
      <c r="C26" s="95">
        <v>5</v>
      </c>
      <c r="D26" s="313">
        <v>1</v>
      </c>
      <c r="E26" s="313"/>
      <c r="F26" s="313"/>
      <c r="G26" s="313"/>
      <c r="H26" s="313"/>
      <c r="I26" s="313"/>
      <c r="J26" s="313"/>
      <c r="K26" s="313">
        <v>0</v>
      </c>
      <c r="L26" s="313">
        <v>0</v>
      </c>
      <c r="M26" s="313"/>
      <c r="N26" s="313"/>
      <c r="O26" s="313"/>
      <c r="P26" s="313"/>
      <c r="Q26" s="313"/>
      <c r="R26" s="313"/>
      <c r="S26" s="313">
        <v>1</v>
      </c>
      <c r="T26" s="313">
        <v>0</v>
      </c>
      <c r="U26" s="313"/>
      <c r="V26" s="313"/>
      <c r="W26" s="313"/>
      <c r="X26" s="313"/>
      <c r="Y26" s="313"/>
      <c r="Z26" s="313"/>
      <c r="AA26" s="313">
        <v>2</v>
      </c>
      <c r="AB26" s="313">
        <v>0</v>
      </c>
      <c r="AC26" s="313"/>
      <c r="AD26" s="313"/>
      <c r="AE26" s="313"/>
      <c r="AF26" s="313"/>
      <c r="AG26" s="313"/>
      <c r="AH26" s="313"/>
      <c r="AI26" s="313">
        <v>3</v>
      </c>
      <c r="AJ26" s="313">
        <v>0</v>
      </c>
      <c r="AK26" s="314"/>
      <c r="AL26" s="313"/>
      <c r="AM26" s="313"/>
      <c r="AN26" s="313"/>
      <c r="AO26" s="313"/>
      <c r="AP26" s="313"/>
      <c r="AQ26" s="313">
        <v>1</v>
      </c>
      <c r="AR26" s="313">
        <v>0</v>
      </c>
      <c r="AS26" s="314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>
        <v>4</v>
      </c>
      <c r="BH26" s="313">
        <v>0</v>
      </c>
      <c r="BI26" s="313"/>
      <c r="BJ26" s="313"/>
      <c r="BK26" s="313"/>
      <c r="BL26" s="313"/>
      <c r="BM26" s="313"/>
      <c r="BN26" s="313"/>
      <c r="BO26" s="313">
        <v>1</v>
      </c>
      <c r="BP26" s="313">
        <v>0</v>
      </c>
      <c r="BQ26" s="313"/>
      <c r="BR26" s="313"/>
      <c r="BS26" s="313"/>
      <c r="BT26" s="313"/>
      <c r="BU26" s="313"/>
      <c r="BV26" s="313"/>
      <c r="BW26" s="313">
        <v>0</v>
      </c>
      <c r="BX26" s="313">
        <v>0</v>
      </c>
      <c r="BY26" s="313"/>
      <c r="BZ26" s="313"/>
      <c r="CA26" s="313"/>
      <c r="CB26" s="313"/>
      <c r="CC26" s="313"/>
      <c r="CD26" s="313"/>
      <c r="CE26" s="313">
        <v>1</v>
      </c>
      <c r="CF26" s="313">
        <v>0</v>
      </c>
      <c r="CG26" s="313"/>
      <c r="CH26" s="313"/>
      <c r="CI26" s="313"/>
      <c r="CJ26" s="313"/>
      <c r="CK26" s="313"/>
      <c r="CL26" s="313"/>
      <c r="CM26" s="316">
        <v>1</v>
      </c>
      <c r="CN26" s="313">
        <v>0</v>
      </c>
      <c r="CO26" s="313"/>
      <c r="CP26" s="313"/>
      <c r="CQ26" s="313"/>
      <c r="CR26" s="313"/>
      <c r="CS26" s="313"/>
      <c r="CT26" s="313"/>
      <c r="CU26" s="316"/>
      <c r="CV26" s="313"/>
      <c r="CW26" s="313"/>
      <c r="CX26" s="313"/>
      <c r="CY26" s="313"/>
      <c r="CZ26" s="313"/>
      <c r="DA26" s="313"/>
      <c r="DB26" s="313"/>
      <c r="DC26" s="313">
        <v>1</v>
      </c>
      <c r="DD26" s="313">
        <v>1</v>
      </c>
      <c r="DE26" s="313">
        <v>1</v>
      </c>
      <c r="DF26" s="313">
        <v>1</v>
      </c>
      <c r="DG26" s="313"/>
      <c r="DH26" s="313"/>
      <c r="DI26" s="313"/>
      <c r="DJ26" s="313"/>
      <c r="DK26" s="313">
        <v>1</v>
      </c>
      <c r="DL26" s="313">
        <v>0</v>
      </c>
      <c r="DM26" s="313"/>
      <c r="DN26" s="313"/>
      <c r="DO26" s="313"/>
      <c r="DP26" s="313"/>
      <c r="DQ26" s="313"/>
      <c r="DR26" s="313"/>
      <c r="DS26" s="313">
        <v>2</v>
      </c>
      <c r="DT26" s="313">
        <v>0</v>
      </c>
      <c r="DU26" s="313"/>
      <c r="DV26" s="313"/>
      <c r="DW26" s="313"/>
      <c r="DX26" s="313"/>
      <c r="DY26" s="313"/>
      <c r="DZ26" s="313"/>
      <c r="EA26" s="313"/>
      <c r="EB26" s="313"/>
      <c r="EC26" s="313"/>
      <c r="ED26" s="313"/>
      <c r="EE26" s="313"/>
      <c r="EF26" s="313"/>
      <c r="EG26" s="313"/>
      <c r="EH26" s="313"/>
      <c r="EI26" s="313"/>
      <c r="EJ26" s="313"/>
      <c r="EK26" s="314"/>
      <c r="EL26" s="314"/>
      <c r="EM26" s="314"/>
      <c r="EN26" s="313"/>
      <c r="EO26" s="313"/>
      <c r="EP26" s="313"/>
      <c r="EQ26" s="313">
        <v>1</v>
      </c>
      <c r="ER26" s="313">
        <v>0</v>
      </c>
      <c r="ES26" s="313"/>
      <c r="ET26" s="313"/>
      <c r="EU26" s="313"/>
      <c r="EV26" s="313"/>
      <c r="EW26" s="313"/>
      <c r="EX26" s="313"/>
      <c r="EY26" s="313">
        <v>2</v>
      </c>
      <c r="EZ26" s="313">
        <v>0</v>
      </c>
      <c r="FA26" s="313"/>
      <c r="FB26" s="313"/>
      <c r="FC26" s="313"/>
      <c r="FD26" s="313"/>
      <c r="FE26" s="313"/>
      <c r="FF26" s="313"/>
      <c r="FG26" s="313"/>
      <c r="FH26" s="313"/>
      <c r="FI26" s="313"/>
      <c r="FJ26" s="313"/>
      <c r="FK26" s="313"/>
      <c r="FL26" s="313"/>
      <c r="FM26" s="313"/>
      <c r="FN26" s="313"/>
      <c r="FO26" s="313">
        <v>2</v>
      </c>
      <c r="FP26" s="313">
        <v>0</v>
      </c>
      <c r="FQ26" s="313"/>
      <c r="FR26" s="313"/>
      <c r="FS26" s="313"/>
      <c r="FT26" s="313"/>
      <c r="FU26" s="313"/>
      <c r="FV26" s="313"/>
      <c r="FW26" s="313">
        <v>3</v>
      </c>
      <c r="FX26" s="313">
        <v>0</v>
      </c>
      <c r="FY26" s="313"/>
      <c r="FZ26" s="313"/>
      <c r="GA26" s="313"/>
      <c r="GB26" s="313"/>
      <c r="GC26" s="313"/>
      <c r="GD26" s="313"/>
      <c r="GE26" s="313">
        <v>1</v>
      </c>
      <c r="GF26" s="313">
        <v>1</v>
      </c>
      <c r="GG26" s="313"/>
      <c r="GH26" s="313"/>
      <c r="GI26" s="313"/>
      <c r="GJ26" s="313"/>
      <c r="GK26" s="313"/>
      <c r="GL26" s="313"/>
      <c r="GM26" s="315">
        <f>C26+K26+S26+AA26+AI26+AQ26+AY26+BG26+BO26+BW26+CE26+CM26+CU26+DC26+DK26+DS26+EA26+EI26+EQ26+EY26+FG26+FO26+FW26+GE26</f>
        <v>32</v>
      </c>
      <c r="GN26" s="315">
        <f>D26+L26+T26+AB26+AJ26+AR26+AZ26+BH26+BP26+BX26+CF26+CN26+CV26+DD26+DL26+DT26+EB26+EJ26+ER26+EZ26+FH26+FP26+FX26+GF26</f>
        <v>3</v>
      </c>
      <c r="GO26" s="315">
        <f>GN26/GM26</f>
        <v>9.375E-2</v>
      </c>
      <c r="GP26" s="315">
        <f t="shared" si="2"/>
        <v>1</v>
      </c>
      <c r="GQ26" s="315">
        <f t="shared" si="3"/>
        <v>1</v>
      </c>
      <c r="GR26" s="315">
        <f>GQ26/GP26</f>
        <v>1</v>
      </c>
      <c r="GS26" s="315">
        <f t="shared" si="4"/>
        <v>0</v>
      </c>
      <c r="GT26" s="315">
        <f t="shared" si="5"/>
        <v>0</v>
      </c>
      <c r="GU26" s="315">
        <v>0</v>
      </c>
      <c r="GV26" s="315">
        <f t="shared" si="6"/>
        <v>0</v>
      </c>
      <c r="GW26" s="315">
        <f t="shared" si="7"/>
        <v>0</v>
      </c>
      <c r="GX26" s="315">
        <v>0</v>
      </c>
    </row>
    <row r="27" spans="1:206" ht="15.75" x14ac:dyDescent="0.25">
      <c r="A27" s="190">
        <v>23</v>
      </c>
      <c r="B27" s="102" t="s">
        <v>156</v>
      </c>
      <c r="C27" s="155">
        <v>4</v>
      </c>
      <c r="D27" s="313">
        <v>0</v>
      </c>
      <c r="E27" s="313"/>
      <c r="F27" s="313"/>
      <c r="G27" s="313"/>
      <c r="H27" s="313"/>
      <c r="I27" s="313"/>
      <c r="J27" s="313"/>
      <c r="K27" s="313">
        <v>2</v>
      </c>
      <c r="L27" s="313">
        <v>0</v>
      </c>
      <c r="M27" s="313"/>
      <c r="N27" s="313"/>
      <c r="O27" s="313"/>
      <c r="P27" s="313"/>
      <c r="Q27" s="313"/>
      <c r="R27" s="313"/>
      <c r="S27" s="155">
        <v>2</v>
      </c>
      <c r="T27" s="313">
        <v>1</v>
      </c>
      <c r="U27" s="313"/>
      <c r="V27" s="313"/>
      <c r="W27" s="313"/>
      <c r="X27" s="313"/>
      <c r="Y27" s="313"/>
      <c r="Z27" s="313"/>
      <c r="AA27" s="313">
        <v>1</v>
      </c>
      <c r="AB27" s="313">
        <v>0</v>
      </c>
      <c r="AC27" s="313"/>
      <c r="AD27" s="313"/>
      <c r="AE27" s="313"/>
      <c r="AF27" s="313"/>
      <c r="AG27" s="313"/>
      <c r="AH27" s="313"/>
      <c r="AI27" s="155">
        <v>0</v>
      </c>
      <c r="AJ27" s="313">
        <v>0</v>
      </c>
      <c r="AK27" s="314"/>
      <c r="AL27" s="313"/>
      <c r="AM27" s="313"/>
      <c r="AN27" s="313"/>
      <c r="AO27" s="313"/>
      <c r="AP27" s="313"/>
      <c r="AQ27" s="313">
        <v>1</v>
      </c>
      <c r="AR27" s="313">
        <v>0</v>
      </c>
      <c r="AS27" s="314"/>
      <c r="AT27" s="313"/>
      <c r="AU27" s="313"/>
      <c r="AV27" s="313"/>
      <c r="AW27" s="313"/>
      <c r="AX27" s="313"/>
      <c r="AY27" s="155">
        <v>1</v>
      </c>
      <c r="AZ27" s="313">
        <v>0</v>
      </c>
      <c r="BA27" s="313"/>
      <c r="BB27" s="313"/>
      <c r="BC27" s="313"/>
      <c r="BD27" s="313"/>
      <c r="BE27" s="313"/>
      <c r="BF27" s="313"/>
      <c r="BG27" s="313">
        <v>2</v>
      </c>
      <c r="BH27" s="313">
        <v>1</v>
      </c>
      <c r="BI27" s="313"/>
      <c r="BJ27" s="313"/>
      <c r="BK27" s="313"/>
      <c r="BL27" s="313"/>
      <c r="BM27" s="313"/>
      <c r="BN27" s="313"/>
      <c r="BO27" s="155"/>
      <c r="BP27" s="313"/>
      <c r="BQ27" s="313"/>
      <c r="BR27" s="313"/>
      <c r="BS27" s="313"/>
      <c r="BT27" s="313"/>
      <c r="BU27" s="313"/>
      <c r="BV27" s="313"/>
      <c r="BW27" s="313">
        <v>1</v>
      </c>
      <c r="BX27" s="313">
        <v>1</v>
      </c>
      <c r="BY27" s="313">
        <v>1</v>
      </c>
      <c r="BZ27" s="313">
        <v>0</v>
      </c>
      <c r="CA27" s="313"/>
      <c r="CB27" s="313"/>
      <c r="CC27" s="313"/>
      <c r="CD27" s="313"/>
      <c r="CE27" s="155">
        <v>2</v>
      </c>
      <c r="CF27" s="313">
        <v>0</v>
      </c>
      <c r="CG27" s="313"/>
      <c r="CH27" s="313"/>
      <c r="CI27" s="313"/>
      <c r="CJ27" s="313"/>
      <c r="CK27" s="313"/>
      <c r="CL27" s="313"/>
      <c r="CM27" s="313">
        <v>1</v>
      </c>
      <c r="CN27" s="313">
        <v>0</v>
      </c>
      <c r="CO27" s="313"/>
      <c r="CP27" s="313"/>
      <c r="CQ27" s="313"/>
      <c r="CR27" s="313"/>
      <c r="CS27" s="313"/>
      <c r="CT27" s="313"/>
      <c r="CU27" s="313"/>
      <c r="CV27" s="313"/>
      <c r="CW27" s="313"/>
      <c r="CX27" s="313"/>
      <c r="CY27" s="313"/>
      <c r="CZ27" s="313"/>
      <c r="DA27" s="313"/>
      <c r="DB27" s="313"/>
      <c r="DC27" s="313">
        <v>1</v>
      </c>
      <c r="DD27" s="313">
        <v>1</v>
      </c>
      <c r="DE27" s="313"/>
      <c r="DF27" s="313"/>
      <c r="DG27" s="313"/>
      <c r="DH27" s="313"/>
      <c r="DI27" s="313"/>
      <c r="DJ27" s="313"/>
      <c r="DK27" s="155"/>
      <c r="DL27" s="313"/>
      <c r="DM27" s="313"/>
      <c r="DN27" s="313"/>
      <c r="DO27" s="313"/>
      <c r="DP27" s="313"/>
      <c r="DQ27" s="313"/>
      <c r="DR27" s="313"/>
      <c r="DS27" s="313">
        <v>1</v>
      </c>
      <c r="DT27" s="313">
        <v>0</v>
      </c>
      <c r="DU27" s="313"/>
      <c r="DV27" s="313"/>
      <c r="DW27" s="313"/>
      <c r="DX27" s="313"/>
      <c r="DY27" s="313"/>
      <c r="DZ27" s="313"/>
      <c r="EA27" s="155"/>
      <c r="EB27" s="313"/>
      <c r="EC27" s="313"/>
      <c r="ED27" s="313"/>
      <c r="EE27" s="313"/>
      <c r="EF27" s="313"/>
      <c r="EG27" s="313"/>
      <c r="EH27" s="313"/>
      <c r="EI27" s="313"/>
      <c r="EJ27" s="313"/>
      <c r="EK27" s="314"/>
      <c r="EL27" s="314"/>
      <c r="EM27" s="314"/>
      <c r="EN27" s="313"/>
      <c r="EO27" s="313"/>
      <c r="EP27" s="313"/>
      <c r="EQ27" s="155">
        <v>1</v>
      </c>
      <c r="ER27" s="313">
        <v>0</v>
      </c>
      <c r="ES27" s="313"/>
      <c r="ET27" s="313"/>
      <c r="EU27" s="313"/>
      <c r="EV27" s="313"/>
      <c r="EW27" s="313"/>
      <c r="EX27" s="313"/>
      <c r="EY27" s="313">
        <v>2</v>
      </c>
      <c r="EZ27" s="313">
        <v>0</v>
      </c>
      <c r="FA27" s="313"/>
      <c r="FB27" s="313"/>
      <c r="FC27" s="313"/>
      <c r="FD27" s="313"/>
      <c r="FE27" s="313"/>
      <c r="FF27" s="313"/>
      <c r="FG27" s="155"/>
      <c r="FH27" s="313"/>
      <c r="FI27" s="313"/>
      <c r="FJ27" s="313"/>
      <c r="FK27" s="313"/>
      <c r="FL27" s="313"/>
      <c r="FM27" s="313"/>
      <c r="FN27" s="313"/>
      <c r="FO27" s="313">
        <v>3</v>
      </c>
      <c r="FP27" s="313">
        <v>1</v>
      </c>
      <c r="FQ27" s="313"/>
      <c r="FR27" s="313"/>
      <c r="FS27" s="313"/>
      <c r="FT27" s="313"/>
      <c r="FU27" s="313"/>
      <c r="FV27" s="313"/>
      <c r="FW27" s="155">
        <v>1</v>
      </c>
      <c r="FX27" s="313">
        <v>1</v>
      </c>
      <c r="FY27" s="313"/>
      <c r="FZ27" s="313"/>
      <c r="GA27" s="313"/>
      <c r="GB27" s="313"/>
      <c r="GC27" s="313"/>
      <c r="GD27" s="313"/>
      <c r="GE27" s="313">
        <v>1</v>
      </c>
      <c r="GF27" s="313">
        <v>0</v>
      </c>
      <c r="GG27" s="313"/>
      <c r="GH27" s="313"/>
      <c r="GI27" s="313"/>
      <c r="GJ27" s="313"/>
      <c r="GK27" s="313"/>
      <c r="GL27" s="313"/>
      <c r="GM27" s="315">
        <f t="shared" si="0"/>
        <v>27</v>
      </c>
      <c r="GN27" s="315">
        <f t="shared" si="0"/>
        <v>6</v>
      </c>
      <c r="GO27" s="315">
        <f t="shared" si="1"/>
        <v>0.22222222222222221</v>
      </c>
      <c r="GP27" s="315">
        <f t="shared" si="2"/>
        <v>1</v>
      </c>
      <c r="GQ27" s="315">
        <f t="shared" si="3"/>
        <v>0</v>
      </c>
      <c r="GR27" s="315">
        <f t="shared" si="8"/>
        <v>0</v>
      </c>
      <c r="GS27" s="315">
        <f t="shared" si="4"/>
        <v>0</v>
      </c>
      <c r="GT27" s="315">
        <f t="shared" si="5"/>
        <v>0</v>
      </c>
      <c r="GU27" s="315">
        <v>0</v>
      </c>
      <c r="GV27" s="315">
        <f t="shared" si="6"/>
        <v>0</v>
      </c>
      <c r="GW27" s="315">
        <f t="shared" si="7"/>
        <v>0</v>
      </c>
      <c r="GX27" s="315">
        <v>0</v>
      </c>
    </row>
    <row r="28" spans="1:206" ht="15.75" x14ac:dyDescent="0.25">
      <c r="A28" s="190">
        <v>24</v>
      </c>
      <c r="B28" s="102" t="s">
        <v>157</v>
      </c>
      <c r="C28" s="155">
        <v>4</v>
      </c>
      <c r="D28" s="313">
        <v>0</v>
      </c>
      <c r="E28" s="313"/>
      <c r="F28" s="313"/>
      <c r="G28" s="313"/>
      <c r="H28" s="313"/>
      <c r="I28" s="313"/>
      <c r="J28" s="313"/>
      <c r="K28" s="313">
        <v>1</v>
      </c>
      <c r="L28" s="313">
        <v>0</v>
      </c>
      <c r="M28" s="313"/>
      <c r="N28" s="313"/>
      <c r="O28" s="313"/>
      <c r="P28" s="313"/>
      <c r="Q28" s="313"/>
      <c r="R28" s="313"/>
      <c r="S28" s="155">
        <v>1</v>
      </c>
      <c r="T28" s="313">
        <v>0</v>
      </c>
      <c r="U28" s="313"/>
      <c r="V28" s="313"/>
      <c r="W28" s="313"/>
      <c r="X28" s="313"/>
      <c r="Y28" s="313"/>
      <c r="Z28" s="313"/>
      <c r="AA28" s="313">
        <v>1</v>
      </c>
      <c r="AB28" s="313">
        <v>0</v>
      </c>
      <c r="AC28" s="313"/>
      <c r="AD28" s="313"/>
      <c r="AE28" s="313"/>
      <c r="AF28" s="313"/>
      <c r="AG28" s="313"/>
      <c r="AH28" s="313"/>
      <c r="AI28" s="155">
        <v>2</v>
      </c>
      <c r="AJ28" s="313">
        <v>0</v>
      </c>
      <c r="AK28" s="314"/>
      <c r="AL28" s="313"/>
      <c r="AM28" s="313"/>
      <c r="AN28" s="313"/>
      <c r="AO28" s="313"/>
      <c r="AP28" s="313"/>
      <c r="AQ28" s="313">
        <v>2</v>
      </c>
      <c r="AR28" s="313">
        <v>1</v>
      </c>
      <c r="AS28" s="314"/>
      <c r="AT28" s="313"/>
      <c r="AU28" s="313"/>
      <c r="AV28" s="313"/>
      <c r="AW28" s="313"/>
      <c r="AX28" s="313"/>
      <c r="AY28" s="155"/>
      <c r="AZ28" s="313"/>
      <c r="BA28" s="313"/>
      <c r="BB28" s="313"/>
      <c r="BC28" s="313"/>
      <c r="BD28" s="313"/>
      <c r="BE28" s="313"/>
      <c r="BF28" s="313"/>
      <c r="BG28" s="313">
        <v>1</v>
      </c>
      <c r="BH28" s="313">
        <v>1</v>
      </c>
      <c r="BI28" s="313"/>
      <c r="BJ28" s="313"/>
      <c r="BK28" s="313"/>
      <c r="BL28" s="313"/>
      <c r="BM28" s="313"/>
      <c r="BN28" s="313"/>
      <c r="BO28" s="155"/>
      <c r="BP28" s="313"/>
      <c r="BQ28" s="313"/>
      <c r="BR28" s="313"/>
      <c r="BS28" s="313"/>
      <c r="BT28" s="313"/>
      <c r="BU28" s="313"/>
      <c r="BV28" s="313"/>
      <c r="BW28" s="313">
        <v>1</v>
      </c>
      <c r="BX28" s="313">
        <v>0</v>
      </c>
      <c r="BY28" s="313"/>
      <c r="BZ28" s="313"/>
      <c r="CA28" s="313"/>
      <c r="CB28" s="313"/>
      <c r="CC28" s="313"/>
      <c r="CD28" s="313"/>
      <c r="CE28" s="155">
        <v>2</v>
      </c>
      <c r="CF28" s="313">
        <v>1</v>
      </c>
      <c r="CG28" s="313"/>
      <c r="CH28" s="313"/>
      <c r="CI28" s="313"/>
      <c r="CJ28" s="313"/>
      <c r="CK28" s="313"/>
      <c r="CL28" s="313"/>
      <c r="CM28" s="316">
        <v>1</v>
      </c>
      <c r="CN28" s="313">
        <v>0</v>
      </c>
      <c r="CO28" s="313"/>
      <c r="CP28" s="313"/>
      <c r="CQ28" s="313"/>
      <c r="CR28" s="313"/>
      <c r="CS28" s="313"/>
      <c r="CT28" s="313"/>
      <c r="CU28" s="316"/>
      <c r="CV28" s="313"/>
      <c r="CW28" s="313"/>
      <c r="CX28" s="313"/>
      <c r="CY28" s="313"/>
      <c r="CZ28" s="313"/>
      <c r="DA28" s="313"/>
      <c r="DB28" s="313"/>
      <c r="DC28" s="313"/>
      <c r="DD28" s="313"/>
      <c r="DE28" s="313"/>
      <c r="DF28" s="313"/>
      <c r="DG28" s="313"/>
      <c r="DH28" s="313"/>
      <c r="DI28" s="313"/>
      <c r="DJ28" s="313"/>
      <c r="DK28" s="155">
        <v>1</v>
      </c>
      <c r="DL28" s="313">
        <v>1</v>
      </c>
      <c r="DM28" s="313"/>
      <c r="DN28" s="313"/>
      <c r="DO28" s="313"/>
      <c r="DP28" s="313"/>
      <c r="DQ28" s="313"/>
      <c r="DR28" s="313"/>
      <c r="DS28" s="313">
        <v>2</v>
      </c>
      <c r="DT28" s="313">
        <v>0</v>
      </c>
      <c r="DU28" s="313"/>
      <c r="DV28" s="313"/>
      <c r="DW28" s="313"/>
      <c r="DX28" s="313"/>
      <c r="DY28" s="313"/>
      <c r="DZ28" s="313"/>
      <c r="EA28" s="155"/>
      <c r="EB28" s="313"/>
      <c r="EC28" s="313"/>
      <c r="ED28" s="313"/>
      <c r="EE28" s="313"/>
      <c r="EF28" s="313"/>
      <c r="EG28" s="313"/>
      <c r="EH28" s="313"/>
      <c r="EI28" s="313">
        <v>1</v>
      </c>
      <c r="EJ28" s="313">
        <v>0</v>
      </c>
      <c r="EK28" s="314"/>
      <c r="EL28" s="314"/>
      <c r="EM28" s="314"/>
      <c r="EN28" s="313"/>
      <c r="EO28" s="313"/>
      <c r="EP28" s="313"/>
      <c r="EQ28" s="155">
        <v>1</v>
      </c>
      <c r="ER28" s="313">
        <v>0</v>
      </c>
      <c r="ES28" s="313"/>
      <c r="ET28" s="313"/>
      <c r="EU28" s="313"/>
      <c r="EV28" s="313"/>
      <c r="EW28" s="313"/>
      <c r="EX28" s="313"/>
      <c r="EY28" s="313">
        <v>1</v>
      </c>
      <c r="EZ28" s="313">
        <v>0</v>
      </c>
      <c r="FA28" s="313"/>
      <c r="FB28" s="313"/>
      <c r="FC28" s="313"/>
      <c r="FD28" s="313"/>
      <c r="FE28" s="313"/>
      <c r="FF28" s="313"/>
      <c r="FG28" s="155"/>
      <c r="FH28" s="313"/>
      <c r="FI28" s="313"/>
      <c r="FJ28" s="313"/>
      <c r="FK28" s="313"/>
      <c r="FL28" s="313"/>
      <c r="FM28" s="313"/>
      <c r="FN28" s="313"/>
      <c r="FO28" s="313">
        <v>1</v>
      </c>
      <c r="FP28" s="313">
        <v>0</v>
      </c>
      <c r="FQ28" s="313"/>
      <c r="FR28" s="313"/>
      <c r="FS28" s="313"/>
      <c r="FT28" s="313"/>
      <c r="FU28" s="313"/>
      <c r="FV28" s="313"/>
      <c r="FW28" s="155">
        <v>2</v>
      </c>
      <c r="FX28" s="313">
        <v>1</v>
      </c>
      <c r="FY28" s="313"/>
      <c r="FZ28" s="313"/>
      <c r="GA28" s="313"/>
      <c r="GB28" s="313"/>
      <c r="GC28" s="313"/>
      <c r="GD28" s="313"/>
      <c r="GE28" s="313">
        <v>1</v>
      </c>
      <c r="GF28" s="313">
        <v>0</v>
      </c>
      <c r="GG28" s="313"/>
      <c r="GH28" s="313"/>
      <c r="GI28" s="313"/>
      <c r="GJ28" s="313"/>
      <c r="GK28" s="313"/>
      <c r="GL28" s="313"/>
      <c r="GM28" s="315">
        <f t="shared" si="0"/>
        <v>26</v>
      </c>
      <c r="GN28" s="315">
        <f t="shared" si="0"/>
        <v>5</v>
      </c>
      <c r="GO28" s="315">
        <f t="shared" si="1"/>
        <v>0.19230769230769232</v>
      </c>
      <c r="GP28" s="315">
        <f t="shared" si="2"/>
        <v>0</v>
      </c>
      <c r="GQ28" s="315">
        <f t="shared" si="3"/>
        <v>0</v>
      </c>
      <c r="GR28" s="315">
        <v>0</v>
      </c>
      <c r="GS28" s="315">
        <f t="shared" si="4"/>
        <v>0</v>
      </c>
      <c r="GT28" s="315">
        <f t="shared" si="5"/>
        <v>0</v>
      </c>
      <c r="GU28" s="315">
        <v>0</v>
      </c>
      <c r="GV28" s="315">
        <f t="shared" si="6"/>
        <v>0</v>
      </c>
      <c r="GW28" s="315">
        <f t="shared" si="7"/>
        <v>0</v>
      </c>
      <c r="GX28" s="315">
        <v>0</v>
      </c>
    </row>
    <row r="29" spans="1:206" ht="15.75" x14ac:dyDescent="0.25">
      <c r="A29" s="190">
        <v>25</v>
      </c>
      <c r="B29" s="102" t="s">
        <v>159</v>
      </c>
      <c r="C29" s="155">
        <v>3</v>
      </c>
      <c r="D29" s="313">
        <v>1</v>
      </c>
      <c r="E29" s="313"/>
      <c r="F29" s="313"/>
      <c r="G29" s="313"/>
      <c r="H29" s="313"/>
      <c r="I29" s="313"/>
      <c r="J29" s="313"/>
      <c r="K29" s="313">
        <v>1</v>
      </c>
      <c r="L29" s="313">
        <v>0</v>
      </c>
      <c r="M29" s="313"/>
      <c r="N29" s="313"/>
      <c r="O29" s="313"/>
      <c r="P29" s="313"/>
      <c r="Q29" s="313"/>
      <c r="R29" s="313"/>
      <c r="S29" s="155">
        <v>1</v>
      </c>
      <c r="T29" s="313">
        <v>0</v>
      </c>
      <c r="U29" s="313"/>
      <c r="V29" s="313"/>
      <c r="W29" s="313"/>
      <c r="X29" s="313"/>
      <c r="Y29" s="313"/>
      <c r="Z29" s="313"/>
      <c r="AA29" s="313">
        <v>2</v>
      </c>
      <c r="AB29" s="313">
        <v>2</v>
      </c>
      <c r="AC29" s="313"/>
      <c r="AD29" s="313"/>
      <c r="AE29" s="313"/>
      <c r="AF29" s="313"/>
      <c r="AG29" s="313"/>
      <c r="AH29" s="313"/>
      <c r="AI29" s="155">
        <v>1</v>
      </c>
      <c r="AJ29" s="313">
        <v>1</v>
      </c>
      <c r="AK29" s="314"/>
      <c r="AL29" s="313"/>
      <c r="AM29" s="313"/>
      <c r="AN29" s="313"/>
      <c r="AO29" s="313"/>
      <c r="AP29" s="313"/>
      <c r="AQ29" s="313">
        <v>1</v>
      </c>
      <c r="AR29" s="313">
        <v>1</v>
      </c>
      <c r="AS29" s="314"/>
      <c r="AT29" s="313"/>
      <c r="AU29" s="313"/>
      <c r="AV29" s="313"/>
      <c r="AW29" s="313"/>
      <c r="AX29" s="313"/>
      <c r="AY29" s="155"/>
      <c r="AZ29" s="313"/>
      <c r="BA29" s="313"/>
      <c r="BB29" s="313"/>
      <c r="BC29" s="313"/>
      <c r="BD29" s="313"/>
      <c r="BE29" s="313"/>
      <c r="BF29" s="313"/>
      <c r="BG29" s="313">
        <v>4</v>
      </c>
      <c r="BH29" s="313">
        <v>4</v>
      </c>
      <c r="BI29" s="313">
        <v>1</v>
      </c>
      <c r="BJ29" s="313">
        <v>0</v>
      </c>
      <c r="BK29" s="313"/>
      <c r="BL29" s="313"/>
      <c r="BM29" s="313"/>
      <c r="BN29" s="313"/>
      <c r="BO29" s="155"/>
      <c r="BP29" s="313"/>
      <c r="BQ29" s="313"/>
      <c r="BR29" s="313"/>
      <c r="BS29" s="313"/>
      <c r="BT29" s="313"/>
      <c r="BU29" s="313"/>
      <c r="BV29" s="313"/>
      <c r="BW29" s="313">
        <v>1</v>
      </c>
      <c r="BX29" s="313">
        <v>1</v>
      </c>
      <c r="BY29" s="313"/>
      <c r="BZ29" s="313"/>
      <c r="CA29" s="313"/>
      <c r="CB29" s="313"/>
      <c r="CC29" s="313"/>
      <c r="CD29" s="313"/>
      <c r="CE29" s="155">
        <v>2</v>
      </c>
      <c r="CF29" s="313">
        <v>1</v>
      </c>
      <c r="CG29" s="313"/>
      <c r="CH29" s="313"/>
      <c r="CI29" s="313"/>
      <c r="CJ29" s="313"/>
      <c r="CK29" s="313"/>
      <c r="CL29" s="313"/>
      <c r="CM29" s="313">
        <v>1</v>
      </c>
      <c r="CN29" s="313">
        <v>0</v>
      </c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>
        <v>4</v>
      </c>
      <c r="DD29" s="313">
        <v>4</v>
      </c>
      <c r="DE29" s="313">
        <v>3</v>
      </c>
      <c r="DF29" s="313">
        <v>2</v>
      </c>
      <c r="DG29" s="313"/>
      <c r="DH29" s="313"/>
      <c r="DI29" s="313"/>
      <c r="DJ29" s="313"/>
      <c r="DK29" s="155">
        <v>1</v>
      </c>
      <c r="DL29" s="313">
        <v>1</v>
      </c>
      <c r="DM29" s="313">
        <v>1</v>
      </c>
      <c r="DN29" s="313">
        <v>0</v>
      </c>
      <c r="DO29" s="313"/>
      <c r="DP29" s="313"/>
      <c r="DQ29" s="313"/>
      <c r="DR29" s="313"/>
      <c r="DS29" s="313">
        <v>1</v>
      </c>
      <c r="DT29" s="313">
        <v>0</v>
      </c>
      <c r="DU29" s="313"/>
      <c r="DV29" s="313"/>
      <c r="DW29" s="313"/>
      <c r="DX29" s="313"/>
      <c r="DY29" s="313"/>
      <c r="DZ29" s="313"/>
      <c r="EA29" s="155"/>
      <c r="EB29" s="313"/>
      <c r="EC29" s="313"/>
      <c r="ED29" s="313"/>
      <c r="EE29" s="313"/>
      <c r="EF29" s="313"/>
      <c r="EG29" s="313"/>
      <c r="EH29" s="313"/>
      <c r="EI29" s="313">
        <v>1</v>
      </c>
      <c r="EJ29" s="313">
        <v>1</v>
      </c>
      <c r="EK29" s="314"/>
      <c r="EL29" s="314"/>
      <c r="EM29" s="314"/>
      <c r="EN29" s="313"/>
      <c r="EO29" s="313"/>
      <c r="EP29" s="313"/>
      <c r="EQ29" s="155"/>
      <c r="ER29" s="313"/>
      <c r="ES29" s="313"/>
      <c r="ET29" s="313"/>
      <c r="EU29" s="313"/>
      <c r="EV29" s="313"/>
      <c r="EW29" s="313"/>
      <c r="EX29" s="313"/>
      <c r="EY29" s="313"/>
      <c r="EZ29" s="313"/>
      <c r="FA29" s="313"/>
      <c r="FB29" s="313"/>
      <c r="FC29" s="313"/>
      <c r="FD29" s="313"/>
      <c r="FE29" s="313"/>
      <c r="FF29" s="313"/>
      <c r="FG29" s="155"/>
      <c r="FH29" s="313"/>
      <c r="FI29" s="313"/>
      <c r="FJ29" s="313"/>
      <c r="FK29" s="313"/>
      <c r="FL29" s="313"/>
      <c r="FM29" s="313"/>
      <c r="FN29" s="313"/>
      <c r="FO29" s="313">
        <v>1</v>
      </c>
      <c r="FP29" s="313">
        <v>0</v>
      </c>
      <c r="FQ29" s="313"/>
      <c r="FR29" s="313"/>
      <c r="FS29" s="313"/>
      <c r="FT29" s="313"/>
      <c r="FU29" s="313"/>
      <c r="FV29" s="313"/>
      <c r="FW29" s="155">
        <v>1</v>
      </c>
      <c r="FX29" s="313">
        <v>0</v>
      </c>
      <c r="FY29" s="313"/>
      <c r="FZ29" s="313"/>
      <c r="GA29" s="313"/>
      <c r="GB29" s="313"/>
      <c r="GC29" s="313"/>
      <c r="GD29" s="313"/>
      <c r="GE29" s="313">
        <v>1</v>
      </c>
      <c r="GF29" s="313">
        <v>1</v>
      </c>
      <c r="GG29" s="313"/>
      <c r="GH29" s="313"/>
      <c r="GI29" s="313"/>
      <c r="GJ29" s="313"/>
      <c r="GK29" s="313"/>
      <c r="GL29" s="313"/>
      <c r="GM29" s="315">
        <f t="shared" si="0"/>
        <v>27</v>
      </c>
      <c r="GN29" s="315">
        <f t="shared" si="0"/>
        <v>18</v>
      </c>
      <c r="GO29" s="315">
        <f t="shared" si="1"/>
        <v>0.66666666666666663</v>
      </c>
      <c r="GP29" s="315">
        <f t="shared" si="2"/>
        <v>5</v>
      </c>
      <c r="GQ29" s="315">
        <f t="shared" si="3"/>
        <v>2</v>
      </c>
      <c r="GR29" s="315">
        <f t="shared" si="8"/>
        <v>0.4</v>
      </c>
      <c r="GS29" s="315">
        <f t="shared" si="4"/>
        <v>0</v>
      </c>
      <c r="GT29" s="315">
        <f t="shared" si="5"/>
        <v>0</v>
      </c>
      <c r="GU29" s="315">
        <v>0</v>
      </c>
      <c r="GV29" s="315">
        <f t="shared" si="6"/>
        <v>0</v>
      </c>
      <c r="GW29" s="315">
        <f t="shared" si="7"/>
        <v>0</v>
      </c>
      <c r="GX29" s="315">
        <v>0</v>
      </c>
    </row>
    <row r="30" spans="1:206" ht="15.75" x14ac:dyDescent="0.25">
      <c r="A30" s="190">
        <v>26</v>
      </c>
      <c r="B30" s="102" t="s">
        <v>160</v>
      </c>
      <c r="C30" s="95">
        <v>4</v>
      </c>
      <c r="D30" s="313">
        <v>1</v>
      </c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>
        <v>1</v>
      </c>
      <c r="T30" s="313">
        <v>0</v>
      </c>
      <c r="U30" s="313"/>
      <c r="V30" s="313"/>
      <c r="W30" s="313"/>
      <c r="X30" s="313"/>
      <c r="Y30" s="313"/>
      <c r="Z30" s="313"/>
      <c r="AA30" s="313">
        <v>1</v>
      </c>
      <c r="AB30" s="313">
        <v>1</v>
      </c>
      <c r="AC30" s="313"/>
      <c r="AD30" s="313"/>
      <c r="AE30" s="313"/>
      <c r="AF30" s="313"/>
      <c r="AG30" s="313"/>
      <c r="AH30" s="313"/>
      <c r="AI30" s="313">
        <v>2</v>
      </c>
      <c r="AJ30" s="313">
        <v>1</v>
      </c>
      <c r="AK30" s="314"/>
      <c r="AL30" s="313"/>
      <c r="AM30" s="313"/>
      <c r="AN30" s="313"/>
      <c r="AO30" s="313"/>
      <c r="AP30" s="313"/>
      <c r="AQ30" s="313">
        <v>2</v>
      </c>
      <c r="AR30" s="313">
        <v>0</v>
      </c>
      <c r="AS30" s="314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>
        <v>4</v>
      </c>
      <c r="BH30" s="313">
        <v>2</v>
      </c>
      <c r="BI30" s="313"/>
      <c r="BJ30" s="313"/>
      <c r="BK30" s="313"/>
      <c r="BL30" s="313"/>
      <c r="BM30" s="313"/>
      <c r="BN30" s="313"/>
      <c r="BO30" s="313"/>
      <c r="BP30" s="313"/>
      <c r="BQ30" s="313"/>
      <c r="BR30" s="313"/>
      <c r="BS30" s="313"/>
      <c r="BT30" s="313"/>
      <c r="BU30" s="313"/>
      <c r="BV30" s="313"/>
      <c r="BW30" s="313">
        <v>0</v>
      </c>
      <c r="BX30" s="313">
        <v>0</v>
      </c>
      <c r="BY30" s="313"/>
      <c r="BZ30" s="313"/>
      <c r="CA30" s="313"/>
      <c r="CB30" s="313"/>
      <c r="CC30" s="313"/>
      <c r="CD30" s="313"/>
      <c r="CE30" s="313">
        <v>1</v>
      </c>
      <c r="CF30" s="313">
        <v>0</v>
      </c>
      <c r="CG30" s="313"/>
      <c r="CH30" s="313"/>
      <c r="CI30" s="313"/>
      <c r="CJ30" s="313"/>
      <c r="CK30" s="313"/>
      <c r="CL30" s="313"/>
      <c r="CM30" s="313">
        <v>3</v>
      </c>
      <c r="CN30" s="313">
        <v>0</v>
      </c>
      <c r="CO30" s="313"/>
      <c r="CP30" s="313"/>
      <c r="CQ30" s="313"/>
      <c r="CR30" s="313"/>
      <c r="CS30" s="313"/>
      <c r="CT30" s="313"/>
      <c r="CU30" s="313"/>
      <c r="CV30" s="313"/>
      <c r="CW30" s="313"/>
      <c r="CX30" s="313"/>
      <c r="CY30" s="313"/>
      <c r="CZ30" s="313"/>
      <c r="DA30" s="313"/>
      <c r="DB30" s="313"/>
      <c r="DC30" s="313">
        <v>1</v>
      </c>
      <c r="DD30" s="313">
        <v>1</v>
      </c>
      <c r="DE30" s="313"/>
      <c r="DF30" s="313"/>
      <c r="DG30" s="313"/>
      <c r="DH30" s="313"/>
      <c r="DI30" s="313"/>
      <c r="DJ30" s="313"/>
      <c r="DK30" s="313"/>
      <c r="DL30" s="313"/>
      <c r="DM30" s="313"/>
      <c r="DN30" s="313"/>
      <c r="DO30" s="313"/>
      <c r="DP30" s="313"/>
      <c r="DQ30" s="313"/>
      <c r="DR30" s="313"/>
      <c r="DS30" s="313">
        <v>2</v>
      </c>
      <c r="DT30" s="313">
        <v>2</v>
      </c>
      <c r="DU30" s="313"/>
      <c r="DV30" s="313"/>
      <c r="DW30" s="313"/>
      <c r="DX30" s="313"/>
      <c r="DY30" s="313"/>
      <c r="DZ30" s="313"/>
      <c r="EA30" s="313"/>
      <c r="EB30" s="313"/>
      <c r="EC30" s="313"/>
      <c r="ED30" s="313"/>
      <c r="EE30" s="313"/>
      <c r="EF30" s="313"/>
      <c r="EG30" s="313"/>
      <c r="EH30" s="313"/>
      <c r="EI30" s="313">
        <v>1</v>
      </c>
      <c r="EJ30" s="313">
        <v>0</v>
      </c>
      <c r="EK30" s="314"/>
      <c r="EL30" s="314"/>
      <c r="EM30" s="314"/>
      <c r="EN30" s="313"/>
      <c r="EO30" s="313"/>
      <c r="EP30" s="313"/>
      <c r="EQ30" s="313"/>
      <c r="ER30" s="313"/>
      <c r="ES30" s="313"/>
      <c r="ET30" s="313"/>
      <c r="EU30" s="313"/>
      <c r="EV30" s="313"/>
      <c r="EW30" s="313"/>
      <c r="EX30" s="313"/>
      <c r="EY30" s="313">
        <v>1</v>
      </c>
      <c r="EZ30" s="313">
        <v>0</v>
      </c>
      <c r="FA30" s="313"/>
      <c r="FB30" s="313"/>
      <c r="FC30" s="313"/>
      <c r="FD30" s="313"/>
      <c r="FE30" s="313"/>
      <c r="FF30" s="313"/>
      <c r="FG30" s="313"/>
      <c r="FH30" s="313"/>
      <c r="FI30" s="313"/>
      <c r="FJ30" s="313"/>
      <c r="FK30" s="313"/>
      <c r="FL30" s="313"/>
      <c r="FM30" s="313"/>
      <c r="FN30" s="313"/>
      <c r="FO30" s="313">
        <v>1</v>
      </c>
      <c r="FP30" s="313">
        <v>1</v>
      </c>
      <c r="FQ30" s="313"/>
      <c r="FR30" s="313"/>
      <c r="FS30" s="313"/>
      <c r="FT30" s="313"/>
      <c r="FU30" s="313"/>
      <c r="FV30" s="313"/>
      <c r="FW30" s="313">
        <v>1</v>
      </c>
      <c r="FX30" s="313">
        <v>0</v>
      </c>
      <c r="FY30" s="313"/>
      <c r="FZ30" s="313"/>
      <c r="GA30" s="313"/>
      <c r="GB30" s="313"/>
      <c r="GC30" s="313"/>
      <c r="GD30" s="313"/>
      <c r="GE30" s="313">
        <v>1</v>
      </c>
      <c r="GF30" s="313">
        <v>0</v>
      </c>
      <c r="GG30" s="313"/>
      <c r="GH30" s="313"/>
      <c r="GI30" s="313"/>
      <c r="GJ30" s="313"/>
      <c r="GK30" s="313"/>
      <c r="GL30" s="313"/>
      <c r="GM30" s="315">
        <f t="shared" si="0"/>
        <v>26</v>
      </c>
      <c r="GN30" s="315">
        <f t="shared" si="0"/>
        <v>9</v>
      </c>
      <c r="GO30" s="315">
        <f t="shared" si="1"/>
        <v>0.34615384615384615</v>
      </c>
      <c r="GP30" s="315">
        <f t="shared" si="2"/>
        <v>0</v>
      </c>
      <c r="GQ30" s="315">
        <f t="shared" si="3"/>
        <v>0</v>
      </c>
      <c r="GR30" s="315">
        <v>0</v>
      </c>
      <c r="GS30" s="315">
        <f t="shared" si="4"/>
        <v>0</v>
      </c>
      <c r="GT30" s="315">
        <f t="shared" si="5"/>
        <v>0</v>
      </c>
      <c r="GU30" s="315">
        <v>0</v>
      </c>
      <c r="GV30" s="315">
        <f t="shared" si="6"/>
        <v>0</v>
      </c>
      <c r="GW30" s="315">
        <f t="shared" si="7"/>
        <v>0</v>
      </c>
      <c r="GX30" s="315">
        <v>0</v>
      </c>
    </row>
    <row r="31" spans="1:206" ht="15.75" x14ac:dyDescent="0.25">
      <c r="A31" s="190">
        <v>27</v>
      </c>
      <c r="B31" s="102" t="s">
        <v>158</v>
      </c>
      <c r="C31" s="95">
        <v>2</v>
      </c>
      <c r="D31" s="313">
        <v>0</v>
      </c>
      <c r="E31" s="313"/>
      <c r="F31" s="313"/>
      <c r="G31" s="313"/>
      <c r="H31" s="313"/>
      <c r="I31" s="313"/>
      <c r="J31" s="313"/>
      <c r="K31" s="313">
        <v>2</v>
      </c>
      <c r="L31" s="313">
        <v>0</v>
      </c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>
        <v>1</v>
      </c>
      <c r="AB31" s="313">
        <v>0</v>
      </c>
      <c r="AC31" s="313"/>
      <c r="AD31" s="313"/>
      <c r="AE31" s="313"/>
      <c r="AF31" s="313"/>
      <c r="AG31" s="313"/>
      <c r="AH31" s="313"/>
      <c r="AI31" s="313">
        <v>4</v>
      </c>
      <c r="AJ31" s="313">
        <v>4</v>
      </c>
      <c r="AK31" s="314">
        <v>1</v>
      </c>
      <c r="AL31" s="313">
        <v>0</v>
      </c>
      <c r="AM31" s="313"/>
      <c r="AN31" s="313"/>
      <c r="AO31" s="313"/>
      <c r="AP31" s="313"/>
      <c r="AQ31" s="313">
        <v>3</v>
      </c>
      <c r="AR31" s="313">
        <v>3</v>
      </c>
      <c r="AS31" s="314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>
        <v>2</v>
      </c>
      <c r="BH31" s="313">
        <v>0</v>
      </c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>
        <v>0</v>
      </c>
      <c r="BX31" s="313">
        <v>0</v>
      </c>
      <c r="BY31" s="313"/>
      <c r="BZ31" s="313"/>
      <c r="CA31" s="313"/>
      <c r="CB31" s="313"/>
      <c r="CC31" s="313"/>
      <c r="CD31" s="313"/>
      <c r="CE31" s="313">
        <v>2</v>
      </c>
      <c r="CF31" s="313">
        <v>0</v>
      </c>
      <c r="CG31" s="313"/>
      <c r="CH31" s="313"/>
      <c r="CI31" s="313"/>
      <c r="CJ31" s="313"/>
      <c r="CK31" s="313"/>
      <c r="CL31" s="313"/>
      <c r="CM31" s="313">
        <v>2</v>
      </c>
      <c r="CN31" s="313">
        <v>2</v>
      </c>
      <c r="CO31" s="313"/>
      <c r="CP31" s="313"/>
      <c r="CQ31" s="313"/>
      <c r="CR31" s="313"/>
      <c r="CS31" s="313"/>
      <c r="CT31" s="313"/>
      <c r="CU31" s="313">
        <v>1</v>
      </c>
      <c r="CV31" s="313">
        <v>0</v>
      </c>
      <c r="CW31" s="313"/>
      <c r="CX31" s="313"/>
      <c r="CY31" s="313"/>
      <c r="CZ31" s="313"/>
      <c r="DA31" s="313"/>
      <c r="DB31" s="313"/>
      <c r="DC31" s="313"/>
      <c r="DD31" s="313"/>
      <c r="DE31" s="313"/>
      <c r="DF31" s="313"/>
      <c r="DG31" s="313"/>
      <c r="DH31" s="313"/>
      <c r="DI31" s="313"/>
      <c r="DJ31" s="313"/>
      <c r="DK31" s="313">
        <v>1</v>
      </c>
      <c r="DL31" s="313">
        <v>1</v>
      </c>
      <c r="DM31" s="313"/>
      <c r="DN31" s="313"/>
      <c r="DO31" s="313"/>
      <c r="DP31" s="313"/>
      <c r="DQ31" s="313"/>
      <c r="DR31" s="313"/>
      <c r="DS31" s="313">
        <v>1</v>
      </c>
      <c r="DT31" s="313">
        <v>1</v>
      </c>
      <c r="DU31" s="313"/>
      <c r="DV31" s="313"/>
      <c r="DW31" s="313"/>
      <c r="DX31" s="313"/>
      <c r="DY31" s="313"/>
      <c r="DZ31" s="313"/>
      <c r="EA31" s="313"/>
      <c r="EB31" s="313"/>
      <c r="EC31" s="313"/>
      <c r="ED31" s="313"/>
      <c r="EE31" s="313"/>
      <c r="EF31" s="313"/>
      <c r="EG31" s="313"/>
      <c r="EH31" s="313"/>
      <c r="EI31" s="313"/>
      <c r="EJ31" s="313"/>
      <c r="EK31" s="314"/>
      <c r="EL31" s="314"/>
      <c r="EM31" s="314"/>
      <c r="EN31" s="313"/>
      <c r="EO31" s="313"/>
      <c r="EP31" s="313"/>
      <c r="EQ31" s="313">
        <v>2</v>
      </c>
      <c r="ER31" s="313">
        <v>0</v>
      </c>
      <c r="ES31" s="313"/>
      <c r="ET31" s="313"/>
      <c r="EU31" s="313"/>
      <c r="EV31" s="313"/>
      <c r="EW31" s="313"/>
      <c r="EX31" s="313"/>
      <c r="EY31" s="313"/>
      <c r="EZ31" s="313"/>
      <c r="FA31" s="313"/>
      <c r="FB31" s="313"/>
      <c r="FC31" s="313"/>
      <c r="FD31" s="313"/>
      <c r="FE31" s="313"/>
      <c r="FF31" s="313"/>
      <c r="FG31" s="313"/>
      <c r="FH31" s="313"/>
      <c r="FI31" s="313"/>
      <c r="FJ31" s="313"/>
      <c r="FK31" s="313"/>
      <c r="FL31" s="313"/>
      <c r="FM31" s="313"/>
      <c r="FN31" s="313"/>
      <c r="FO31" s="313">
        <v>1</v>
      </c>
      <c r="FP31" s="313">
        <v>1</v>
      </c>
      <c r="FQ31" s="313"/>
      <c r="FR31" s="313"/>
      <c r="FS31" s="313"/>
      <c r="FT31" s="313"/>
      <c r="FU31" s="313"/>
      <c r="FV31" s="313"/>
      <c r="FW31" s="313">
        <v>1</v>
      </c>
      <c r="FX31" s="313">
        <v>0</v>
      </c>
      <c r="FY31" s="313"/>
      <c r="FZ31" s="313"/>
      <c r="GA31" s="313"/>
      <c r="GB31" s="313"/>
      <c r="GC31" s="313"/>
      <c r="GD31" s="313"/>
      <c r="GE31" s="313"/>
      <c r="GF31" s="313"/>
      <c r="GG31" s="313"/>
      <c r="GH31" s="313"/>
      <c r="GI31" s="313"/>
      <c r="GJ31" s="313"/>
      <c r="GK31" s="313"/>
      <c r="GL31" s="313"/>
      <c r="GM31" s="315">
        <f t="shared" si="0"/>
        <v>25</v>
      </c>
      <c r="GN31" s="315">
        <f t="shared" si="0"/>
        <v>12</v>
      </c>
      <c r="GO31" s="315">
        <f t="shared" si="1"/>
        <v>0.48</v>
      </c>
      <c r="GP31" s="315">
        <f t="shared" si="2"/>
        <v>1</v>
      </c>
      <c r="GQ31" s="315">
        <f t="shared" si="3"/>
        <v>0</v>
      </c>
      <c r="GR31" s="315">
        <f t="shared" si="8"/>
        <v>0</v>
      </c>
      <c r="GS31" s="315">
        <f t="shared" si="4"/>
        <v>0</v>
      </c>
      <c r="GT31" s="315">
        <f t="shared" si="5"/>
        <v>0</v>
      </c>
      <c r="GU31" s="315">
        <v>0</v>
      </c>
      <c r="GV31" s="315">
        <f t="shared" si="6"/>
        <v>0</v>
      </c>
      <c r="GW31" s="315">
        <f t="shared" si="7"/>
        <v>0</v>
      </c>
      <c r="GX31" s="315">
        <v>0</v>
      </c>
    </row>
    <row r="32" spans="1:206" ht="15.75" x14ac:dyDescent="0.25">
      <c r="A32" s="190">
        <v>28</v>
      </c>
      <c r="B32" s="102" t="s">
        <v>161</v>
      </c>
      <c r="C32" s="155">
        <v>6</v>
      </c>
      <c r="D32" s="313">
        <v>2</v>
      </c>
      <c r="E32" s="313"/>
      <c r="F32" s="313"/>
      <c r="G32" s="313"/>
      <c r="H32" s="313"/>
      <c r="I32" s="313"/>
      <c r="J32" s="313"/>
      <c r="K32" s="313">
        <v>1</v>
      </c>
      <c r="L32" s="313">
        <v>0</v>
      </c>
      <c r="M32" s="313"/>
      <c r="N32" s="313"/>
      <c r="O32" s="313"/>
      <c r="P32" s="313"/>
      <c r="Q32" s="313"/>
      <c r="R32" s="313"/>
      <c r="S32" s="155">
        <v>2</v>
      </c>
      <c r="T32" s="313">
        <v>0</v>
      </c>
      <c r="U32" s="313"/>
      <c r="V32" s="313"/>
      <c r="W32" s="313"/>
      <c r="X32" s="313"/>
      <c r="Y32" s="313"/>
      <c r="Z32" s="313"/>
      <c r="AA32" s="313">
        <v>2</v>
      </c>
      <c r="AB32" s="313">
        <v>0</v>
      </c>
      <c r="AC32" s="313"/>
      <c r="AD32" s="313"/>
      <c r="AE32" s="313"/>
      <c r="AF32" s="313"/>
      <c r="AG32" s="313"/>
      <c r="AH32" s="313"/>
      <c r="AI32" s="155">
        <v>2</v>
      </c>
      <c r="AJ32" s="313">
        <v>0</v>
      </c>
      <c r="AK32" s="314"/>
      <c r="AL32" s="313"/>
      <c r="AM32" s="313"/>
      <c r="AN32" s="313"/>
      <c r="AO32" s="313"/>
      <c r="AP32" s="313"/>
      <c r="AQ32" s="313">
        <v>1</v>
      </c>
      <c r="AR32" s="313">
        <v>0</v>
      </c>
      <c r="AS32" s="314"/>
      <c r="AT32" s="313"/>
      <c r="AU32" s="313"/>
      <c r="AV32" s="313"/>
      <c r="AW32" s="313"/>
      <c r="AX32" s="313"/>
      <c r="AY32" s="155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155"/>
      <c r="BP32" s="313"/>
      <c r="BQ32" s="313"/>
      <c r="BR32" s="313"/>
      <c r="BS32" s="313"/>
      <c r="BT32" s="313"/>
      <c r="BU32" s="313"/>
      <c r="BV32" s="313"/>
      <c r="BW32" s="313">
        <v>2</v>
      </c>
      <c r="BX32" s="313">
        <v>0</v>
      </c>
      <c r="BY32" s="313"/>
      <c r="BZ32" s="313"/>
      <c r="CA32" s="313"/>
      <c r="CB32" s="313"/>
      <c r="CC32" s="313"/>
      <c r="CD32" s="313"/>
      <c r="CE32" s="155"/>
      <c r="CF32" s="313"/>
      <c r="CG32" s="313"/>
      <c r="CH32" s="313"/>
      <c r="CI32" s="313"/>
      <c r="CJ32" s="313"/>
      <c r="CK32" s="313"/>
      <c r="CL32" s="313"/>
      <c r="CM32" s="313"/>
      <c r="CN32" s="313"/>
      <c r="CO32" s="313"/>
      <c r="CP32" s="313"/>
      <c r="CQ32" s="313"/>
      <c r="CR32" s="313"/>
      <c r="CS32" s="313"/>
      <c r="CT32" s="313"/>
      <c r="CU32" s="313"/>
      <c r="CV32" s="313"/>
      <c r="CW32" s="313"/>
      <c r="CX32" s="313"/>
      <c r="CY32" s="313"/>
      <c r="CZ32" s="313"/>
      <c r="DA32" s="313"/>
      <c r="DB32" s="313"/>
      <c r="DC32" s="313"/>
      <c r="DD32" s="313"/>
      <c r="DE32" s="313"/>
      <c r="DF32" s="313"/>
      <c r="DG32" s="313"/>
      <c r="DH32" s="313"/>
      <c r="DI32" s="313"/>
      <c r="DJ32" s="313"/>
      <c r="DK32" s="155">
        <v>1</v>
      </c>
      <c r="DL32" s="313">
        <v>0</v>
      </c>
      <c r="DM32" s="313"/>
      <c r="DN32" s="313"/>
      <c r="DO32" s="313"/>
      <c r="DP32" s="313"/>
      <c r="DQ32" s="313"/>
      <c r="DR32" s="313"/>
      <c r="DS32" s="313">
        <v>0</v>
      </c>
      <c r="DT32" s="313">
        <v>0</v>
      </c>
      <c r="DU32" s="313"/>
      <c r="DV32" s="313"/>
      <c r="DW32" s="313"/>
      <c r="DX32" s="313"/>
      <c r="DY32" s="313"/>
      <c r="DZ32" s="313"/>
      <c r="EA32" s="155"/>
      <c r="EB32" s="313"/>
      <c r="EC32" s="313"/>
      <c r="ED32" s="313"/>
      <c r="EE32" s="313"/>
      <c r="EF32" s="313"/>
      <c r="EG32" s="313"/>
      <c r="EH32" s="313"/>
      <c r="EI32" s="313"/>
      <c r="EJ32" s="313"/>
      <c r="EK32" s="314"/>
      <c r="EL32" s="314"/>
      <c r="EM32" s="314"/>
      <c r="EN32" s="313"/>
      <c r="EO32" s="313"/>
      <c r="EP32" s="313"/>
      <c r="EQ32" s="155">
        <v>2</v>
      </c>
      <c r="ER32" s="313">
        <v>0</v>
      </c>
      <c r="ES32" s="313"/>
      <c r="ET32" s="313"/>
      <c r="EU32" s="313"/>
      <c r="EV32" s="313"/>
      <c r="EW32" s="313"/>
      <c r="EX32" s="313"/>
      <c r="EY32" s="313">
        <v>1</v>
      </c>
      <c r="EZ32" s="313">
        <v>0</v>
      </c>
      <c r="FA32" s="313"/>
      <c r="FB32" s="313"/>
      <c r="FC32" s="313"/>
      <c r="FD32" s="313"/>
      <c r="FE32" s="313"/>
      <c r="FF32" s="313"/>
      <c r="FG32" s="155"/>
      <c r="FH32" s="313"/>
      <c r="FI32" s="313"/>
      <c r="FJ32" s="313"/>
      <c r="FK32" s="313"/>
      <c r="FL32" s="313"/>
      <c r="FM32" s="313"/>
      <c r="FN32" s="313"/>
      <c r="FO32" s="313">
        <v>1</v>
      </c>
      <c r="FP32" s="313">
        <v>0</v>
      </c>
      <c r="FQ32" s="313"/>
      <c r="FR32" s="313"/>
      <c r="FS32" s="313"/>
      <c r="FT32" s="313"/>
      <c r="FU32" s="313"/>
      <c r="FV32" s="313"/>
      <c r="FW32" s="155">
        <v>2</v>
      </c>
      <c r="FX32" s="313">
        <v>0</v>
      </c>
      <c r="FY32" s="313"/>
      <c r="FZ32" s="313"/>
      <c r="GA32" s="313"/>
      <c r="GB32" s="313"/>
      <c r="GC32" s="313"/>
      <c r="GD32" s="313"/>
      <c r="GE32" s="313"/>
      <c r="GF32" s="313"/>
      <c r="GG32" s="313"/>
      <c r="GH32" s="313"/>
      <c r="GI32" s="313"/>
      <c r="GJ32" s="313"/>
      <c r="GK32" s="313"/>
      <c r="GL32" s="313"/>
      <c r="GM32" s="315">
        <f t="shared" si="0"/>
        <v>23</v>
      </c>
      <c r="GN32" s="315">
        <f t="shared" si="0"/>
        <v>2</v>
      </c>
      <c r="GO32" s="315">
        <f t="shared" si="1"/>
        <v>8.6956521739130432E-2</v>
      </c>
      <c r="GP32" s="315">
        <f t="shared" si="2"/>
        <v>0</v>
      </c>
      <c r="GQ32" s="315">
        <f t="shared" si="3"/>
        <v>0</v>
      </c>
      <c r="GR32" s="315">
        <v>0</v>
      </c>
      <c r="GS32" s="315">
        <f t="shared" si="4"/>
        <v>0</v>
      </c>
      <c r="GT32" s="315">
        <f t="shared" si="5"/>
        <v>0</v>
      </c>
      <c r="GU32" s="315">
        <v>0</v>
      </c>
      <c r="GV32" s="315">
        <f t="shared" si="6"/>
        <v>0</v>
      </c>
      <c r="GW32" s="315">
        <f t="shared" si="7"/>
        <v>0</v>
      </c>
      <c r="GX32" s="315">
        <v>0</v>
      </c>
    </row>
    <row r="33" spans="1:207" ht="15.75" x14ac:dyDescent="0.25">
      <c r="A33" s="190">
        <v>29</v>
      </c>
      <c r="B33" s="102" t="s">
        <v>162</v>
      </c>
      <c r="C33" s="95">
        <v>4</v>
      </c>
      <c r="D33" s="313">
        <v>0</v>
      </c>
      <c r="E33" s="313"/>
      <c r="F33" s="313"/>
      <c r="G33" s="313"/>
      <c r="H33" s="313"/>
      <c r="I33" s="313"/>
      <c r="J33" s="313"/>
      <c r="K33" s="313">
        <v>1</v>
      </c>
      <c r="L33" s="313">
        <v>0</v>
      </c>
      <c r="M33" s="313"/>
      <c r="N33" s="313"/>
      <c r="O33" s="313"/>
      <c r="P33" s="313"/>
      <c r="Q33" s="313"/>
      <c r="R33" s="313"/>
      <c r="S33" s="313">
        <v>2</v>
      </c>
      <c r="T33" s="313">
        <v>0</v>
      </c>
      <c r="U33" s="313"/>
      <c r="V33" s="313"/>
      <c r="W33" s="313"/>
      <c r="X33" s="313"/>
      <c r="Y33" s="313"/>
      <c r="Z33" s="313"/>
      <c r="AA33" s="313">
        <v>4</v>
      </c>
      <c r="AB33" s="313">
        <v>2</v>
      </c>
      <c r="AC33" s="313"/>
      <c r="AD33" s="313"/>
      <c r="AE33" s="313"/>
      <c r="AF33" s="313"/>
      <c r="AG33" s="313"/>
      <c r="AH33" s="313"/>
      <c r="AI33" s="313">
        <v>2</v>
      </c>
      <c r="AJ33" s="313">
        <v>1</v>
      </c>
      <c r="AK33" s="314">
        <v>1</v>
      </c>
      <c r="AL33" s="313">
        <v>0</v>
      </c>
      <c r="AM33" s="313"/>
      <c r="AN33" s="313"/>
      <c r="AO33" s="313"/>
      <c r="AP33" s="313"/>
      <c r="AQ33" s="313">
        <v>2</v>
      </c>
      <c r="AR33" s="313">
        <v>1</v>
      </c>
      <c r="AS33" s="314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>
        <v>2</v>
      </c>
      <c r="BH33" s="313">
        <v>1</v>
      </c>
      <c r="BI33" s="313"/>
      <c r="BJ33" s="313"/>
      <c r="BK33" s="313"/>
      <c r="BL33" s="313"/>
      <c r="BM33" s="313"/>
      <c r="BN33" s="313"/>
      <c r="BO33" s="313"/>
      <c r="BP33" s="313"/>
      <c r="BQ33" s="313"/>
      <c r="BR33" s="313"/>
      <c r="BS33" s="313"/>
      <c r="BT33" s="313"/>
      <c r="BU33" s="313"/>
      <c r="BV33" s="313"/>
      <c r="BW33" s="313">
        <v>1</v>
      </c>
      <c r="BX33" s="313">
        <v>0</v>
      </c>
      <c r="BY33" s="313"/>
      <c r="BZ33" s="313"/>
      <c r="CA33" s="313"/>
      <c r="CB33" s="313"/>
      <c r="CC33" s="313"/>
      <c r="CD33" s="313"/>
      <c r="CE33" s="313">
        <v>2</v>
      </c>
      <c r="CF33" s="313">
        <v>0</v>
      </c>
      <c r="CG33" s="313"/>
      <c r="CH33" s="313"/>
      <c r="CI33" s="313"/>
      <c r="CJ33" s="313"/>
      <c r="CK33" s="313"/>
      <c r="CL33" s="313"/>
      <c r="CM33" s="316">
        <v>2</v>
      </c>
      <c r="CN33" s="313">
        <v>0</v>
      </c>
      <c r="CO33" s="313"/>
      <c r="CP33" s="313"/>
      <c r="CQ33" s="313"/>
      <c r="CR33" s="313"/>
      <c r="CS33" s="313"/>
      <c r="CT33" s="313"/>
      <c r="CU33" s="316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>
        <v>1</v>
      </c>
      <c r="DL33" s="313">
        <v>0</v>
      </c>
      <c r="DM33" s="313"/>
      <c r="DN33" s="313"/>
      <c r="DO33" s="313"/>
      <c r="DP33" s="313"/>
      <c r="DQ33" s="313"/>
      <c r="DR33" s="313"/>
      <c r="DS33" s="313">
        <v>1</v>
      </c>
      <c r="DT33" s="313">
        <v>0</v>
      </c>
      <c r="DU33" s="313"/>
      <c r="DV33" s="313"/>
      <c r="DW33" s="313"/>
      <c r="DX33" s="313"/>
      <c r="DY33" s="313"/>
      <c r="DZ33" s="313"/>
      <c r="EA33" s="313"/>
      <c r="EB33" s="313"/>
      <c r="EC33" s="313"/>
      <c r="ED33" s="313"/>
      <c r="EE33" s="313"/>
      <c r="EF33" s="313"/>
      <c r="EG33" s="313"/>
      <c r="EH33" s="313"/>
      <c r="EI33" s="313">
        <v>4</v>
      </c>
      <c r="EJ33" s="313">
        <v>2</v>
      </c>
      <c r="EK33" s="314"/>
      <c r="EL33" s="314"/>
      <c r="EM33" s="314"/>
      <c r="EN33" s="313"/>
      <c r="EO33" s="313"/>
      <c r="EP33" s="313"/>
      <c r="EQ33" s="313">
        <v>1</v>
      </c>
      <c r="ER33" s="313">
        <v>0</v>
      </c>
      <c r="ES33" s="313"/>
      <c r="ET33" s="313"/>
      <c r="EU33" s="313"/>
      <c r="EV33" s="313"/>
      <c r="EW33" s="313"/>
      <c r="EX33" s="313"/>
      <c r="EY33" s="313">
        <v>1</v>
      </c>
      <c r="EZ33" s="313">
        <v>0</v>
      </c>
      <c r="FA33" s="313"/>
      <c r="FB33" s="313"/>
      <c r="FC33" s="313"/>
      <c r="FD33" s="313"/>
      <c r="FE33" s="313"/>
      <c r="FF33" s="313"/>
      <c r="FG33" s="313">
        <v>1</v>
      </c>
      <c r="FH33" s="313">
        <v>0</v>
      </c>
      <c r="FI33" s="313"/>
      <c r="FJ33" s="313"/>
      <c r="FK33" s="313"/>
      <c r="FL33" s="313"/>
      <c r="FM33" s="313"/>
      <c r="FN33" s="313"/>
      <c r="FO33" s="313">
        <v>2</v>
      </c>
      <c r="FP33" s="313">
        <v>0</v>
      </c>
      <c r="FQ33" s="313"/>
      <c r="FR33" s="313"/>
      <c r="FS33" s="313"/>
      <c r="FT33" s="313"/>
      <c r="FU33" s="313"/>
      <c r="FV33" s="313"/>
      <c r="FW33" s="313">
        <v>2</v>
      </c>
      <c r="FX33" s="313">
        <v>1</v>
      </c>
      <c r="FY33" s="313"/>
      <c r="FZ33" s="313"/>
      <c r="GA33" s="313"/>
      <c r="GB33" s="313"/>
      <c r="GC33" s="313"/>
      <c r="GD33" s="313"/>
      <c r="GE33" s="313">
        <v>1</v>
      </c>
      <c r="GF33" s="313">
        <v>0</v>
      </c>
      <c r="GG33" s="313"/>
      <c r="GH33" s="313"/>
      <c r="GI33" s="313"/>
      <c r="GJ33" s="313"/>
      <c r="GK33" s="313"/>
      <c r="GL33" s="313"/>
      <c r="GM33" s="315">
        <f t="shared" si="0"/>
        <v>36</v>
      </c>
      <c r="GN33" s="315">
        <f t="shared" si="0"/>
        <v>8</v>
      </c>
      <c r="GO33" s="315">
        <f t="shared" si="1"/>
        <v>0.22222222222222221</v>
      </c>
      <c r="GP33" s="315">
        <f t="shared" si="2"/>
        <v>1</v>
      </c>
      <c r="GQ33" s="315">
        <f t="shared" si="3"/>
        <v>0</v>
      </c>
      <c r="GR33" s="315">
        <f t="shared" si="8"/>
        <v>0</v>
      </c>
      <c r="GS33" s="315">
        <f t="shared" si="4"/>
        <v>0</v>
      </c>
      <c r="GT33" s="315">
        <f t="shared" si="5"/>
        <v>0</v>
      </c>
      <c r="GU33" s="315">
        <v>0</v>
      </c>
      <c r="GV33" s="315">
        <f t="shared" si="6"/>
        <v>0</v>
      </c>
      <c r="GW33" s="315">
        <f t="shared" si="7"/>
        <v>0</v>
      </c>
      <c r="GX33" s="315">
        <v>0</v>
      </c>
    </row>
    <row r="34" spans="1:207" ht="15.75" x14ac:dyDescent="0.25">
      <c r="A34" s="190">
        <v>30</v>
      </c>
      <c r="B34" s="102" t="s">
        <v>163</v>
      </c>
      <c r="C34" s="95">
        <v>4</v>
      </c>
      <c r="D34" s="313">
        <v>2</v>
      </c>
      <c r="E34" s="313"/>
      <c r="F34" s="313"/>
      <c r="G34" s="313"/>
      <c r="H34" s="313"/>
      <c r="I34" s="313"/>
      <c r="J34" s="313"/>
      <c r="K34" s="313">
        <v>2</v>
      </c>
      <c r="L34" s="313">
        <v>0</v>
      </c>
      <c r="M34" s="313"/>
      <c r="N34" s="313"/>
      <c r="O34" s="313"/>
      <c r="P34" s="313"/>
      <c r="Q34" s="313"/>
      <c r="R34" s="313"/>
      <c r="S34" s="313">
        <v>2</v>
      </c>
      <c r="T34" s="313">
        <v>2</v>
      </c>
      <c r="U34" s="313"/>
      <c r="V34" s="313"/>
      <c r="W34" s="313"/>
      <c r="X34" s="313"/>
      <c r="Y34" s="313"/>
      <c r="Z34" s="313"/>
      <c r="AA34" s="313">
        <v>1</v>
      </c>
      <c r="AB34" s="313">
        <v>0</v>
      </c>
      <c r="AC34" s="313"/>
      <c r="AD34" s="313"/>
      <c r="AE34" s="313"/>
      <c r="AF34" s="313"/>
      <c r="AG34" s="313"/>
      <c r="AH34" s="313"/>
      <c r="AI34" s="313">
        <v>3</v>
      </c>
      <c r="AJ34" s="313">
        <v>1</v>
      </c>
      <c r="AK34" s="314"/>
      <c r="AL34" s="313"/>
      <c r="AM34" s="313"/>
      <c r="AN34" s="313"/>
      <c r="AO34" s="313"/>
      <c r="AP34" s="313"/>
      <c r="AQ34" s="313">
        <v>1</v>
      </c>
      <c r="AR34" s="313">
        <v>0</v>
      </c>
      <c r="AS34" s="314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>
        <v>3</v>
      </c>
      <c r="BH34" s="313">
        <v>1</v>
      </c>
      <c r="BI34" s="313"/>
      <c r="BJ34" s="313"/>
      <c r="BK34" s="313"/>
      <c r="BL34" s="313"/>
      <c r="BM34" s="313"/>
      <c r="BN34" s="313"/>
      <c r="BO34" s="313"/>
      <c r="BP34" s="313"/>
      <c r="BQ34" s="313"/>
      <c r="BR34" s="313"/>
      <c r="BS34" s="313"/>
      <c r="BT34" s="313"/>
      <c r="BU34" s="313"/>
      <c r="BV34" s="313"/>
      <c r="BW34" s="313">
        <v>0</v>
      </c>
      <c r="BX34" s="313">
        <v>0</v>
      </c>
      <c r="BY34" s="313"/>
      <c r="BZ34" s="313"/>
      <c r="CA34" s="313"/>
      <c r="CB34" s="313"/>
      <c r="CC34" s="313"/>
      <c r="CD34" s="313"/>
      <c r="CE34" s="313">
        <v>2</v>
      </c>
      <c r="CF34" s="313">
        <v>0</v>
      </c>
      <c r="CG34" s="313"/>
      <c r="CH34" s="313"/>
      <c r="CI34" s="313"/>
      <c r="CJ34" s="313"/>
      <c r="CK34" s="313"/>
      <c r="CL34" s="313"/>
      <c r="CM34" s="313">
        <v>1</v>
      </c>
      <c r="CN34" s="313">
        <v>0</v>
      </c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313"/>
      <c r="DF34" s="313"/>
      <c r="DG34" s="313"/>
      <c r="DH34" s="313"/>
      <c r="DI34" s="313"/>
      <c r="DJ34" s="313"/>
      <c r="DK34" s="313">
        <v>1</v>
      </c>
      <c r="DL34" s="313">
        <v>0</v>
      </c>
      <c r="DM34" s="313"/>
      <c r="DN34" s="313"/>
      <c r="DO34" s="313"/>
      <c r="DP34" s="313"/>
      <c r="DQ34" s="313"/>
      <c r="DR34" s="313"/>
      <c r="DS34" s="313">
        <v>1</v>
      </c>
      <c r="DT34" s="313">
        <v>1</v>
      </c>
      <c r="DU34" s="313"/>
      <c r="DV34" s="313"/>
      <c r="DW34" s="313"/>
      <c r="DX34" s="313"/>
      <c r="DY34" s="313"/>
      <c r="DZ34" s="313"/>
      <c r="EA34" s="313"/>
      <c r="EB34" s="313"/>
      <c r="EC34" s="313"/>
      <c r="ED34" s="313"/>
      <c r="EE34" s="313"/>
      <c r="EF34" s="313"/>
      <c r="EG34" s="313"/>
      <c r="EH34" s="313"/>
      <c r="EI34" s="313"/>
      <c r="EJ34" s="313"/>
      <c r="EK34" s="314"/>
      <c r="EL34" s="314"/>
      <c r="EM34" s="314"/>
      <c r="EN34" s="313"/>
      <c r="EO34" s="313"/>
      <c r="EP34" s="313"/>
      <c r="EQ34" s="313">
        <v>1</v>
      </c>
      <c r="ER34" s="313">
        <v>0</v>
      </c>
      <c r="ES34" s="313"/>
      <c r="ET34" s="313"/>
      <c r="EU34" s="313"/>
      <c r="EV34" s="313"/>
      <c r="EW34" s="313"/>
      <c r="EX34" s="313"/>
      <c r="EY34" s="313">
        <v>1</v>
      </c>
      <c r="EZ34" s="313">
        <v>0</v>
      </c>
      <c r="FA34" s="313"/>
      <c r="FB34" s="313"/>
      <c r="FC34" s="313"/>
      <c r="FD34" s="313"/>
      <c r="FE34" s="313"/>
      <c r="FF34" s="313"/>
      <c r="FG34" s="313"/>
      <c r="FH34" s="313"/>
      <c r="FI34" s="313"/>
      <c r="FJ34" s="313"/>
      <c r="FK34" s="313"/>
      <c r="FL34" s="313"/>
      <c r="FM34" s="313"/>
      <c r="FN34" s="313"/>
      <c r="FO34" s="313">
        <v>2</v>
      </c>
      <c r="FP34" s="313">
        <v>0</v>
      </c>
      <c r="FQ34" s="313"/>
      <c r="FR34" s="313"/>
      <c r="FS34" s="313"/>
      <c r="FT34" s="313"/>
      <c r="FU34" s="313"/>
      <c r="FV34" s="313"/>
      <c r="FW34" s="313">
        <v>1</v>
      </c>
      <c r="FX34" s="313">
        <v>0</v>
      </c>
      <c r="FY34" s="313"/>
      <c r="FZ34" s="313"/>
      <c r="GA34" s="313"/>
      <c r="GB34" s="313"/>
      <c r="GC34" s="313"/>
      <c r="GD34" s="313"/>
      <c r="GE34" s="313"/>
      <c r="GF34" s="313"/>
      <c r="GG34" s="313"/>
      <c r="GH34" s="313"/>
      <c r="GI34" s="313"/>
      <c r="GJ34" s="313"/>
      <c r="GK34" s="313"/>
      <c r="GL34" s="313"/>
      <c r="GM34" s="315">
        <f t="shared" si="0"/>
        <v>26</v>
      </c>
      <c r="GN34" s="315">
        <f t="shared" si="0"/>
        <v>7</v>
      </c>
      <c r="GO34" s="315">
        <f t="shared" si="1"/>
        <v>0.26923076923076922</v>
      </c>
      <c r="GP34" s="315">
        <f t="shared" si="2"/>
        <v>0</v>
      </c>
      <c r="GQ34" s="315">
        <f t="shared" si="3"/>
        <v>0</v>
      </c>
      <c r="GR34" s="315">
        <v>0</v>
      </c>
      <c r="GS34" s="315">
        <f t="shared" si="4"/>
        <v>0</v>
      </c>
      <c r="GT34" s="315">
        <f t="shared" si="5"/>
        <v>0</v>
      </c>
      <c r="GU34" s="315">
        <v>0</v>
      </c>
      <c r="GV34" s="315">
        <f t="shared" si="6"/>
        <v>0</v>
      </c>
      <c r="GW34" s="315">
        <f t="shared" si="7"/>
        <v>0</v>
      </c>
      <c r="GX34" s="315">
        <v>0</v>
      </c>
    </row>
    <row r="35" spans="1:207" ht="15.75" x14ac:dyDescent="0.25">
      <c r="A35" s="190">
        <v>31</v>
      </c>
      <c r="B35" s="102" t="s">
        <v>164</v>
      </c>
      <c r="C35" s="95">
        <v>1</v>
      </c>
      <c r="D35" s="313">
        <v>0</v>
      </c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>
        <v>0</v>
      </c>
      <c r="AB35" s="313">
        <v>0</v>
      </c>
      <c r="AC35" s="313"/>
      <c r="AD35" s="313"/>
      <c r="AE35" s="313"/>
      <c r="AF35" s="313"/>
      <c r="AG35" s="313"/>
      <c r="AH35" s="313"/>
      <c r="AI35" s="313">
        <v>0</v>
      </c>
      <c r="AJ35" s="313">
        <v>0</v>
      </c>
      <c r="AK35" s="314"/>
      <c r="AL35" s="313"/>
      <c r="AM35" s="313"/>
      <c r="AN35" s="313"/>
      <c r="AO35" s="313"/>
      <c r="AP35" s="313"/>
      <c r="AQ35" s="313">
        <v>0</v>
      </c>
      <c r="AR35" s="313">
        <v>0</v>
      </c>
      <c r="AS35" s="314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>
        <v>2</v>
      </c>
      <c r="BH35" s="313">
        <v>0</v>
      </c>
      <c r="BI35" s="313"/>
      <c r="BJ35" s="313"/>
      <c r="BK35" s="313"/>
      <c r="BL35" s="313"/>
      <c r="BM35" s="313"/>
      <c r="BN35" s="313"/>
      <c r="BO35" s="313"/>
      <c r="BP35" s="313"/>
      <c r="BQ35" s="313"/>
      <c r="BR35" s="313"/>
      <c r="BS35" s="313"/>
      <c r="BT35" s="313"/>
      <c r="BU35" s="313"/>
      <c r="BV35" s="313"/>
      <c r="BW35" s="313">
        <v>0</v>
      </c>
      <c r="BX35" s="313">
        <v>0</v>
      </c>
      <c r="BY35" s="313"/>
      <c r="BZ35" s="313"/>
      <c r="CA35" s="313"/>
      <c r="CB35" s="313"/>
      <c r="CC35" s="313"/>
      <c r="CD35" s="313"/>
      <c r="CE35" s="313">
        <v>2</v>
      </c>
      <c r="CF35" s="313">
        <v>0</v>
      </c>
      <c r="CG35" s="313"/>
      <c r="CH35" s="313"/>
      <c r="CI35" s="313"/>
      <c r="CJ35" s="313"/>
      <c r="CK35" s="313"/>
      <c r="CL35" s="313"/>
      <c r="CM35" s="313">
        <v>2</v>
      </c>
      <c r="CN35" s="313">
        <v>0</v>
      </c>
      <c r="CO35" s="313"/>
      <c r="CP35" s="313"/>
      <c r="CQ35" s="313"/>
      <c r="CR35" s="313"/>
      <c r="CS35" s="313"/>
      <c r="CT35" s="313"/>
      <c r="CU35" s="313"/>
      <c r="CV35" s="313"/>
      <c r="CW35" s="313"/>
      <c r="CX35" s="313"/>
      <c r="CY35" s="313"/>
      <c r="CZ35" s="313"/>
      <c r="DA35" s="313"/>
      <c r="DB35" s="313"/>
      <c r="DC35" s="313"/>
      <c r="DD35" s="313"/>
      <c r="DE35" s="313"/>
      <c r="DF35" s="313"/>
      <c r="DG35" s="313"/>
      <c r="DH35" s="313"/>
      <c r="DI35" s="313"/>
      <c r="DJ35" s="313"/>
      <c r="DK35" s="313">
        <v>1</v>
      </c>
      <c r="DL35" s="313">
        <v>1</v>
      </c>
      <c r="DM35" s="313"/>
      <c r="DN35" s="313"/>
      <c r="DO35" s="313"/>
      <c r="DP35" s="313"/>
      <c r="DQ35" s="313"/>
      <c r="DR35" s="313"/>
      <c r="DS35" s="313">
        <v>3</v>
      </c>
      <c r="DT35" s="313">
        <v>0</v>
      </c>
      <c r="DU35" s="313"/>
      <c r="DV35" s="313"/>
      <c r="DW35" s="313"/>
      <c r="DX35" s="313"/>
      <c r="DY35" s="313"/>
      <c r="DZ35" s="313"/>
      <c r="EA35" s="313"/>
      <c r="EB35" s="313"/>
      <c r="EC35" s="313"/>
      <c r="ED35" s="313"/>
      <c r="EE35" s="313"/>
      <c r="EF35" s="313"/>
      <c r="EG35" s="313"/>
      <c r="EH35" s="313"/>
      <c r="EI35" s="313">
        <v>2</v>
      </c>
      <c r="EJ35" s="313">
        <v>2</v>
      </c>
      <c r="EK35" s="314"/>
      <c r="EL35" s="314"/>
      <c r="EM35" s="314"/>
      <c r="EN35" s="313"/>
      <c r="EO35" s="313"/>
      <c r="EP35" s="313"/>
      <c r="EQ35" s="313"/>
      <c r="ER35" s="313"/>
      <c r="ES35" s="313"/>
      <c r="ET35" s="313"/>
      <c r="EU35" s="313"/>
      <c r="EV35" s="313"/>
      <c r="EW35" s="313"/>
      <c r="EX35" s="313"/>
      <c r="EY35" s="313">
        <v>1</v>
      </c>
      <c r="EZ35" s="313">
        <v>0</v>
      </c>
      <c r="FA35" s="313"/>
      <c r="FB35" s="313"/>
      <c r="FC35" s="313"/>
      <c r="FD35" s="313"/>
      <c r="FE35" s="313"/>
      <c r="FF35" s="313"/>
      <c r="FG35" s="313">
        <v>2</v>
      </c>
      <c r="FH35" s="313">
        <v>1</v>
      </c>
      <c r="FI35" s="313">
        <v>1</v>
      </c>
      <c r="FJ35" s="313">
        <v>0</v>
      </c>
      <c r="FK35" s="313"/>
      <c r="FL35" s="313"/>
      <c r="FM35" s="313"/>
      <c r="FN35" s="313"/>
      <c r="FO35" s="313">
        <v>2</v>
      </c>
      <c r="FP35" s="313">
        <v>1</v>
      </c>
      <c r="FQ35" s="313"/>
      <c r="FR35" s="313"/>
      <c r="FS35" s="313"/>
      <c r="FT35" s="313"/>
      <c r="FU35" s="313"/>
      <c r="FV35" s="313"/>
      <c r="FW35" s="313">
        <v>0</v>
      </c>
      <c r="FX35" s="313">
        <v>0</v>
      </c>
      <c r="FY35" s="313"/>
      <c r="FZ35" s="313"/>
      <c r="GA35" s="313"/>
      <c r="GB35" s="313"/>
      <c r="GC35" s="313"/>
      <c r="GD35" s="313"/>
      <c r="GE35" s="313"/>
      <c r="GF35" s="313"/>
      <c r="GG35" s="313"/>
      <c r="GH35" s="313"/>
      <c r="GI35" s="313"/>
      <c r="GJ35" s="313"/>
      <c r="GK35" s="313"/>
      <c r="GL35" s="313"/>
      <c r="GM35" s="315">
        <f t="shared" si="0"/>
        <v>18</v>
      </c>
      <c r="GN35" s="315">
        <f t="shared" si="0"/>
        <v>5</v>
      </c>
      <c r="GO35" s="315">
        <f t="shared" si="1"/>
        <v>0.27777777777777779</v>
      </c>
      <c r="GP35" s="315">
        <f t="shared" si="2"/>
        <v>1</v>
      </c>
      <c r="GQ35" s="315">
        <f t="shared" si="3"/>
        <v>0</v>
      </c>
      <c r="GR35" s="315">
        <f t="shared" si="8"/>
        <v>0</v>
      </c>
      <c r="GS35" s="315">
        <f t="shared" si="4"/>
        <v>0</v>
      </c>
      <c r="GT35" s="315">
        <f t="shared" si="5"/>
        <v>0</v>
      </c>
      <c r="GU35" s="315">
        <v>0</v>
      </c>
      <c r="GV35" s="315">
        <f t="shared" si="6"/>
        <v>0</v>
      </c>
      <c r="GW35" s="315">
        <f t="shared" si="7"/>
        <v>0</v>
      </c>
      <c r="GX35" s="315">
        <v>0</v>
      </c>
    </row>
    <row r="36" spans="1:207" ht="15.75" x14ac:dyDescent="0.25">
      <c r="A36" s="190">
        <v>32</v>
      </c>
      <c r="B36" s="102" t="s">
        <v>165</v>
      </c>
      <c r="C36" s="95">
        <v>6</v>
      </c>
      <c r="D36" s="313">
        <v>1</v>
      </c>
      <c r="E36" s="313"/>
      <c r="F36" s="313"/>
      <c r="G36" s="313"/>
      <c r="H36" s="313"/>
      <c r="I36" s="313"/>
      <c r="J36" s="313"/>
      <c r="K36" s="313">
        <v>1</v>
      </c>
      <c r="L36" s="313">
        <v>0</v>
      </c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>
        <v>1</v>
      </c>
      <c r="AB36" s="313">
        <v>0</v>
      </c>
      <c r="AC36" s="313"/>
      <c r="AD36" s="313"/>
      <c r="AE36" s="313"/>
      <c r="AF36" s="313"/>
      <c r="AG36" s="313"/>
      <c r="AH36" s="313"/>
      <c r="AI36" s="313">
        <v>2</v>
      </c>
      <c r="AJ36" s="313">
        <v>0</v>
      </c>
      <c r="AK36" s="314"/>
      <c r="AL36" s="313"/>
      <c r="AM36" s="313"/>
      <c r="AN36" s="313"/>
      <c r="AO36" s="313"/>
      <c r="AP36" s="313"/>
      <c r="AQ36" s="313">
        <v>1</v>
      </c>
      <c r="AR36" s="313">
        <v>1</v>
      </c>
      <c r="AS36" s="314">
        <v>1</v>
      </c>
      <c r="AT36" s="313">
        <v>0</v>
      </c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>
        <v>3</v>
      </c>
      <c r="BH36" s="313">
        <v>0</v>
      </c>
      <c r="BI36" s="313"/>
      <c r="BJ36" s="313"/>
      <c r="BK36" s="313"/>
      <c r="BL36" s="313"/>
      <c r="BM36" s="313"/>
      <c r="BN36" s="313"/>
      <c r="BO36" s="313"/>
      <c r="BP36" s="313"/>
      <c r="BQ36" s="313"/>
      <c r="BR36" s="313"/>
      <c r="BS36" s="313"/>
      <c r="BT36" s="313"/>
      <c r="BU36" s="313"/>
      <c r="BV36" s="313"/>
      <c r="BW36" s="313">
        <v>2</v>
      </c>
      <c r="BX36" s="313">
        <v>0</v>
      </c>
      <c r="BY36" s="313"/>
      <c r="BZ36" s="313"/>
      <c r="CA36" s="313"/>
      <c r="CB36" s="313"/>
      <c r="CC36" s="313"/>
      <c r="CD36" s="313"/>
      <c r="CE36" s="313">
        <v>2</v>
      </c>
      <c r="CF36" s="313">
        <v>0</v>
      </c>
      <c r="CG36" s="313"/>
      <c r="CH36" s="313"/>
      <c r="CI36" s="313"/>
      <c r="CJ36" s="313"/>
      <c r="CK36" s="313"/>
      <c r="CL36" s="313"/>
      <c r="CM36" s="313">
        <v>2</v>
      </c>
      <c r="CN36" s="313">
        <v>0</v>
      </c>
      <c r="CO36" s="313"/>
      <c r="CP36" s="313"/>
      <c r="CQ36" s="313"/>
      <c r="CR36" s="313"/>
      <c r="CS36" s="313"/>
      <c r="CT36" s="313"/>
      <c r="CU36" s="313"/>
      <c r="CV36" s="313"/>
      <c r="CW36" s="313"/>
      <c r="CX36" s="313"/>
      <c r="CY36" s="313"/>
      <c r="CZ36" s="313"/>
      <c r="DA36" s="313"/>
      <c r="DB36" s="313"/>
      <c r="DC36" s="313"/>
      <c r="DD36" s="313"/>
      <c r="DE36" s="313"/>
      <c r="DF36" s="313"/>
      <c r="DG36" s="313"/>
      <c r="DH36" s="313"/>
      <c r="DI36" s="313"/>
      <c r="DJ36" s="313"/>
      <c r="DK36" s="313">
        <v>1</v>
      </c>
      <c r="DL36" s="313">
        <v>0</v>
      </c>
      <c r="DM36" s="313"/>
      <c r="DN36" s="313"/>
      <c r="DO36" s="313"/>
      <c r="DP36" s="313"/>
      <c r="DQ36" s="313"/>
      <c r="DR36" s="313"/>
      <c r="DS36" s="313">
        <v>2</v>
      </c>
      <c r="DT36" s="313">
        <v>1</v>
      </c>
      <c r="DU36" s="313">
        <v>1</v>
      </c>
      <c r="DV36" s="313">
        <v>1</v>
      </c>
      <c r="DW36" s="313"/>
      <c r="DX36" s="313"/>
      <c r="DY36" s="313"/>
      <c r="DZ36" s="313"/>
      <c r="EA36" s="313"/>
      <c r="EB36" s="313"/>
      <c r="EC36" s="313"/>
      <c r="ED36" s="313"/>
      <c r="EE36" s="313"/>
      <c r="EF36" s="313"/>
      <c r="EG36" s="313"/>
      <c r="EH36" s="313"/>
      <c r="EI36" s="313"/>
      <c r="EJ36" s="313"/>
      <c r="EK36" s="314"/>
      <c r="EL36" s="314"/>
      <c r="EM36" s="314"/>
      <c r="EN36" s="313"/>
      <c r="EO36" s="313"/>
      <c r="EP36" s="313"/>
      <c r="EQ36" s="313">
        <v>0</v>
      </c>
      <c r="ER36" s="313">
        <v>0</v>
      </c>
      <c r="ES36" s="313"/>
      <c r="ET36" s="313"/>
      <c r="EU36" s="313"/>
      <c r="EV36" s="313"/>
      <c r="EW36" s="313"/>
      <c r="EX36" s="313"/>
      <c r="EY36" s="313">
        <v>1</v>
      </c>
      <c r="EZ36" s="313">
        <v>1</v>
      </c>
      <c r="FA36" s="313"/>
      <c r="FB36" s="313"/>
      <c r="FC36" s="313"/>
      <c r="FD36" s="313"/>
      <c r="FE36" s="313"/>
      <c r="FF36" s="313"/>
      <c r="FG36" s="313"/>
      <c r="FH36" s="313"/>
      <c r="FI36" s="313"/>
      <c r="FJ36" s="313"/>
      <c r="FK36" s="313"/>
      <c r="FL36" s="313"/>
      <c r="FM36" s="313"/>
      <c r="FN36" s="313"/>
      <c r="FO36" s="313">
        <v>1</v>
      </c>
      <c r="FP36" s="313">
        <v>1</v>
      </c>
      <c r="FQ36" s="313"/>
      <c r="FR36" s="313"/>
      <c r="FS36" s="313"/>
      <c r="FT36" s="313"/>
      <c r="FU36" s="313"/>
      <c r="FV36" s="313"/>
      <c r="FW36" s="313">
        <v>1</v>
      </c>
      <c r="FX36" s="313">
        <v>0</v>
      </c>
      <c r="FY36" s="313"/>
      <c r="FZ36" s="313"/>
      <c r="GA36" s="313"/>
      <c r="GB36" s="313"/>
      <c r="GC36" s="313"/>
      <c r="GD36" s="313"/>
      <c r="GE36" s="313"/>
      <c r="GF36" s="313"/>
      <c r="GG36" s="313"/>
      <c r="GH36" s="313"/>
      <c r="GI36" s="313"/>
      <c r="GJ36" s="313"/>
      <c r="GK36" s="313"/>
      <c r="GL36" s="313"/>
      <c r="GM36" s="315">
        <f t="shared" si="0"/>
        <v>26</v>
      </c>
      <c r="GN36" s="315">
        <f t="shared" si="0"/>
        <v>5</v>
      </c>
      <c r="GO36" s="315">
        <f t="shared" si="1"/>
        <v>0.19230769230769232</v>
      </c>
      <c r="GP36" s="315">
        <f t="shared" si="2"/>
        <v>2</v>
      </c>
      <c r="GQ36" s="315">
        <f t="shared" si="3"/>
        <v>1</v>
      </c>
      <c r="GR36" s="315">
        <f t="shared" si="8"/>
        <v>0.5</v>
      </c>
      <c r="GS36" s="315">
        <f t="shared" si="4"/>
        <v>0</v>
      </c>
      <c r="GT36" s="315">
        <f t="shared" si="5"/>
        <v>0</v>
      </c>
      <c r="GU36" s="315">
        <v>0</v>
      </c>
      <c r="GV36" s="315">
        <f t="shared" si="6"/>
        <v>0</v>
      </c>
      <c r="GW36" s="315">
        <f t="shared" si="7"/>
        <v>0</v>
      </c>
      <c r="GX36" s="315">
        <v>0</v>
      </c>
    </row>
    <row r="37" spans="1:207" ht="15.75" x14ac:dyDescent="0.25">
      <c r="A37" s="190">
        <v>33</v>
      </c>
      <c r="B37" s="102" t="s">
        <v>166</v>
      </c>
      <c r="C37" s="155">
        <v>2</v>
      </c>
      <c r="D37" s="313">
        <v>0</v>
      </c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155"/>
      <c r="T37" s="313"/>
      <c r="U37" s="313"/>
      <c r="V37" s="313"/>
      <c r="W37" s="313"/>
      <c r="X37" s="313"/>
      <c r="Y37" s="313"/>
      <c r="Z37" s="313"/>
      <c r="AA37" s="313">
        <v>1</v>
      </c>
      <c r="AB37" s="313">
        <v>0</v>
      </c>
      <c r="AC37" s="313"/>
      <c r="AD37" s="313"/>
      <c r="AE37" s="313"/>
      <c r="AF37" s="313"/>
      <c r="AG37" s="313"/>
      <c r="AH37" s="313"/>
      <c r="AI37" s="155">
        <v>2</v>
      </c>
      <c r="AJ37" s="313">
        <v>0</v>
      </c>
      <c r="AK37" s="314"/>
      <c r="AL37" s="313"/>
      <c r="AM37" s="313"/>
      <c r="AN37" s="313"/>
      <c r="AO37" s="313"/>
      <c r="AP37" s="313"/>
      <c r="AQ37" s="313">
        <v>1</v>
      </c>
      <c r="AR37" s="313">
        <v>0</v>
      </c>
      <c r="AS37" s="314"/>
      <c r="AT37" s="313"/>
      <c r="AU37" s="313"/>
      <c r="AV37" s="313"/>
      <c r="AW37" s="313"/>
      <c r="AX37" s="313"/>
      <c r="AY37" s="155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155"/>
      <c r="BP37" s="313"/>
      <c r="BQ37" s="313"/>
      <c r="BR37" s="313"/>
      <c r="BS37" s="313"/>
      <c r="BT37" s="313"/>
      <c r="BU37" s="313"/>
      <c r="BV37" s="313"/>
      <c r="BW37" s="313">
        <v>0</v>
      </c>
      <c r="BX37" s="313">
        <v>0</v>
      </c>
      <c r="BY37" s="313"/>
      <c r="BZ37" s="313"/>
      <c r="CA37" s="313"/>
      <c r="CB37" s="313"/>
      <c r="CC37" s="313"/>
      <c r="CD37" s="313"/>
      <c r="CE37" s="155">
        <v>2</v>
      </c>
      <c r="CF37" s="313">
        <v>0</v>
      </c>
      <c r="CG37" s="313"/>
      <c r="CH37" s="313"/>
      <c r="CI37" s="313"/>
      <c r="CJ37" s="313"/>
      <c r="CK37" s="313"/>
      <c r="CL37" s="313"/>
      <c r="CM37" s="313">
        <v>1</v>
      </c>
      <c r="CN37" s="313">
        <v>0</v>
      </c>
      <c r="CO37" s="313"/>
      <c r="CP37" s="313"/>
      <c r="CQ37" s="313"/>
      <c r="CR37" s="313"/>
      <c r="CS37" s="313"/>
      <c r="CT37" s="313"/>
      <c r="CU37" s="313"/>
      <c r="CV37" s="313"/>
      <c r="CW37" s="313"/>
      <c r="CX37" s="313"/>
      <c r="CY37" s="313"/>
      <c r="CZ37" s="313"/>
      <c r="DA37" s="313"/>
      <c r="DB37" s="313"/>
      <c r="DC37" s="313"/>
      <c r="DD37" s="313"/>
      <c r="DE37" s="313"/>
      <c r="DF37" s="313"/>
      <c r="DG37" s="313"/>
      <c r="DH37" s="313"/>
      <c r="DI37" s="313"/>
      <c r="DJ37" s="313"/>
      <c r="DK37" s="155">
        <v>1</v>
      </c>
      <c r="DL37" s="313">
        <v>0</v>
      </c>
      <c r="DM37" s="313"/>
      <c r="DN37" s="313"/>
      <c r="DO37" s="313"/>
      <c r="DP37" s="313"/>
      <c r="DQ37" s="313"/>
      <c r="DR37" s="313"/>
      <c r="DS37" s="313">
        <v>1</v>
      </c>
      <c r="DT37" s="313">
        <v>0</v>
      </c>
      <c r="DU37" s="313"/>
      <c r="DV37" s="313"/>
      <c r="DW37" s="313"/>
      <c r="DX37" s="313"/>
      <c r="DY37" s="313"/>
      <c r="DZ37" s="313"/>
      <c r="EA37" s="155"/>
      <c r="EB37" s="313"/>
      <c r="EC37" s="313"/>
      <c r="ED37" s="313"/>
      <c r="EE37" s="313"/>
      <c r="EF37" s="313"/>
      <c r="EG37" s="313"/>
      <c r="EH37" s="313"/>
      <c r="EI37" s="313"/>
      <c r="EJ37" s="313"/>
      <c r="EK37" s="314"/>
      <c r="EL37" s="314"/>
      <c r="EM37" s="314"/>
      <c r="EN37" s="313"/>
      <c r="EO37" s="313"/>
      <c r="EP37" s="313"/>
      <c r="EQ37" s="155">
        <v>0</v>
      </c>
      <c r="ER37" s="313">
        <v>0</v>
      </c>
      <c r="ES37" s="313"/>
      <c r="ET37" s="313"/>
      <c r="EU37" s="313"/>
      <c r="EV37" s="313"/>
      <c r="EW37" s="313"/>
      <c r="EX37" s="313"/>
      <c r="EY37" s="313">
        <v>2</v>
      </c>
      <c r="EZ37" s="313">
        <v>1</v>
      </c>
      <c r="FA37" s="313">
        <v>1</v>
      </c>
      <c r="FB37" s="313">
        <v>0</v>
      </c>
      <c r="FC37" s="313"/>
      <c r="FD37" s="313"/>
      <c r="FE37" s="313"/>
      <c r="FF37" s="313"/>
      <c r="FG37" s="155"/>
      <c r="FH37" s="313"/>
      <c r="FI37" s="313"/>
      <c r="FJ37" s="313"/>
      <c r="FK37" s="313"/>
      <c r="FL37" s="313"/>
      <c r="FM37" s="313"/>
      <c r="FN37" s="313"/>
      <c r="FO37" s="313">
        <v>0</v>
      </c>
      <c r="FP37" s="313">
        <v>0</v>
      </c>
      <c r="FQ37" s="313"/>
      <c r="FR37" s="313"/>
      <c r="FS37" s="313"/>
      <c r="FT37" s="313"/>
      <c r="FU37" s="313"/>
      <c r="FV37" s="313"/>
      <c r="FW37" s="155">
        <v>2</v>
      </c>
      <c r="FX37" s="313">
        <v>1</v>
      </c>
      <c r="FY37" s="313"/>
      <c r="FZ37" s="313"/>
      <c r="GA37" s="313"/>
      <c r="GB37" s="313"/>
      <c r="GC37" s="313"/>
      <c r="GD37" s="313"/>
      <c r="GE37" s="313">
        <v>1</v>
      </c>
      <c r="GF37" s="313">
        <v>0</v>
      </c>
      <c r="GG37" s="313"/>
      <c r="GH37" s="313"/>
      <c r="GI37" s="313"/>
      <c r="GJ37" s="313"/>
      <c r="GK37" s="313"/>
      <c r="GL37" s="313"/>
      <c r="GM37" s="315">
        <f t="shared" si="0"/>
        <v>16</v>
      </c>
      <c r="GN37" s="315">
        <f t="shared" si="0"/>
        <v>2</v>
      </c>
      <c r="GO37" s="315">
        <f t="shared" si="1"/>
        <v>0.125</v>
      </c>
      <c r="GP37" s="315">
        <f t="shared" si="2"/>
        <v>1</v>
      </c>
      <c r="GQ37" s="315">
        <f t="shared" si="3"/>
        <v>0</v>
      </c>
      <c r="GR37" s="315">
        <f t="shared" si="8"/>
        <v>0</v>
      </c>
      <c r="GS37" s="315">
        <f t="shared" si="4"/>
        <v>0</v>
      </c>
      <c r="GT37" s="315">
        <f t="shared" si="5"/>
        <v>0</v>
      </c>
      <c r="GU37" s="315">
        <v>0</v>
      </c>
      <c r="GV37" s="315">
        <f t="shared" si="6"/>
        <v>0</v>
      </c>
      <c r="GW37" s="315">
        <f t="shared" si="7"/>
        <v>0</v>
      </c>
      <c r="GX37" s="315">
        <v>0</v>
      </c>
    </row>
    <row r="38" spans="1:207" ht="15.75" x14ac:dyDescent="0.25">
      <c r="A38" s="190">
        <v>34</v>
      </c>
      <c r="B38" s="102" t="s">
        <v>167</v>
      </c>
      <c r="C38" s="95">
        <v>3</v>
      </c>
      <c r="D38" s="313">
        <v>1</v>
      </c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>
        <v>1</v>
      </c>
      <c r="T38" s="313">
        <v>0</v>
      </c>
      <c r="U38" s="313"/>
      <c r="V38" s="313"/>
      <c r="W38" s="313"/>
      <c r="X38" s="313"/>
      <c r="Y38" s="313"/>
      <c r="Z38" s="313"/>
      <c r="AA38" s="313">
        <v>1</v>
      </c>
      <c r="AB38" s="313">
        <v>0</v>
      </c>
      <c r="AC38" s="313"/>
      <c r="AD38" s="313"/>
      <c r="AE38" s="313"/>
      <c r="AF38" s="313"/>
      <c r="AG38" s="313"/>
      <c r="AH38" s="313"/>
      <c r="AI38" s="313">
        <v>3</v>
      </c>
      <c r="AJ38" s="313">
        <v>0</v>
      </c>
      <c r="AK38" s="314"/>
      <c r="AL38" s="313"/>
      <c r="AM38" s="313"/>
      <c r="AN38" s="313"/>
      <c r="AO38" s="313"/>
      <c r="AP38" s="313"/>
      <c r="AQ38" s="313">
        <v>0</v>
      </c>
      <c r="AR38" s="313">
        <v>0</v>
      </c>
      <c r="AS38" s="314"/>
      <c r="AT38" s="313"/>
      <c r="AU38" s="313"/>
      <c r="AV38" s="313"/>
      <c r="AW38" s="313"/>
      <c r="AX38" s="313"/>
      <c r="AY38" s="313">
        <v>1</v>
      </c>
      <c r="AZ38" s="313">
        <v>1</v>
      </c>
      <c r="BA38" s="313"/>
      <c r="BB38" s="313"/>
      <c r="BC38" s="313"/>
      <c r="BD38" s="313"/>
      <c r="BE38" s="313"/>
      <c r="BF38" s="313"/>
      <c r="BG38" s="313">
        <v>1</v>
      </c>
      <c r="BH38" s="313">
        <v>1</v>
      </c>
      <c r="BI38" s="313"/>
      <c r="BJ38" s="313"/>
      <c r="BK38" s="313"/>
      <c r="BL38" s="313"/>
      <c r="BM38" s="313"/>
      <c r="BN38" s="313"/>
      <c r="BO38" s="313"/>
      <c r="BP38" s="313"/>
      <c r="BQ38" s="313"/>
      <c r="BR38" s="313"/>
      <c r="BS38" s="313"/>
      <c r="BT38" s="313"/>
      <c r="BU38" s="313"/>
      <c r="BV38" s="313"/>
      <c r="BW38" s="313">
        <v>1</v>
      </c>
      <c r="BX38" s="313">
        <v>1</v>
      </c>
      <c r="BY38" s="313"/>
      <c r="BZ38" s="313"/>
      <c r="CA38" s="313"/>
      <c r="CB38" s="313"/>
      <c r="CC38" s="313"/>
      <c r="CD38" s="313"/>
      <c r="CE38" s="313">
        <v>2</v>
      </c>
      <c r="CF38" s="313">
        <v>0</v>
      </c>
      <c r="CG38" s="313"/>
      <c r="CH38" s="313"/>
      <c r="CI38" s="313"/>
      <c r="CJ38" s="313"/>
      <c r="CK38" s="313"/>
      <c r="CL38" s="313"/>
      <c r="CM38" s="313"/>
      <c r="CN38" s="313"/>
      <c r="CO38" s="313"/>
      <c r="CP38" s="313"/>
      <c r="CQ38" s="313"/>
      <c r="CR38" s="313"/>
      <c r="CS38" s="313"/>
      <c r="CT38" s="313"/>
      <c r="CU38" s="313"/>
      <c r="CV38" s="313"/>
      <c r="CW38" s="313"/>
      <c r="CX38" s="313"/>
      <c r="CY38" s="313"/>
      <c r="CZ38" s="313"/>
      <c r="DA38" s="313"/>
      <c r="DB38" s="313"/>
      <c r="DC38" s="313"/>
      <c r="DD38" s="313"/>
      <c r="DE38" s="313"/>
      <c r="DF38" s="313"/>
      <c r="DG38" s="313"/>
      <c r="DH38" s="313"/>
      <c r="DI38" s="313"/>
      <c r="DJ38" s="313"/>
      <c r="DK38" s="313"/>
      <c r="DL38" s="313"/>
      <c r="DM38" s="313"/>
      <c r="DN38" s="313"/>
      <c r="DO38" s="313"/>
      <c r="DP38" s="313"/>
      <c r="DQ38" s="313"/>
      <c r="DR38" s="313"/>
      <c r="DS38" s="313">
        <v>0</v>
      </c>
      <c r="DT38" s="313">
        <v>0</v>
      </c>
      <c r="DU38" s="313"/>
      <c r="DV38" s="313"/>
      <c r="DW38" s="313"/>
      <c r="DX38" s="313"/>
      <c r="DY38" s="313"/>
      <c r="DZ38" s="313"/>
      <c r="EA38" s="313"/>
      <c r="EB38" s="313"/>
      <c r="EC38" s="313"/>
      <c r="ED38" s="313"/>
      <c r="EE38" s="313"/>
      <c r="EF38" s="313"/>
      <c r="EG38" s="313"/>
      <c r="EH38" s="313"/>
      <c r="EI38" s="313"/>
      <c r="EJ38" s="313"/>
      <c r="EK38" s="314"/>
      <c r="EL38" s="314"/>
      <c r="EM38" s="314"/>
      <c r="EN38" s="313"/>
      <c r="EO38" s="313"/>
      <c r="EP38" s="313"/>
      <c r="EQ38" s="313">
        <v>0</v>
      </c>
      <c r="ER38" s="313">
        <v>0</v>
      </c>
      <c r="ES38" s="313"/>
      <c r="ET38" s="313"/>
      <c r="EU38" s="313"/>
      <c r="EV38" s="313"/>
      <c r="EW38" s="313"/>
      <c r="EX38" s="313"/>
      <c r="EY38" s="313">
        <v>2</v>
      </c>
      <c r="EZ38" s="313">
        <v>0</v>
      </c>
      <c r="FA38" s="313"/>
      <c r="FB38" s="313"/>
      <c r="FC38" s="313"/>
      <c r="FD38" s="313"/>
      <c r="FE38" s="313"/>
      <c r="FF38" s="313"/>
      <c r="FG38" s="313"/>
      <c r="FH38" s="313"/>
      <c r="FI38" s="313"/>
      <c r="FJ38" s="313"/>
      <c r="FK38" s="313"/>
      <c r="FL38" s="313"/>
      <c r="FM38" s="313"/>
      <c r="FN38" s="313"/>
      <c r="FO38" s="313">
        <v>1</v>
      </c>
      <c r="FP38" s="313">
        <v>0</v>
      </c>
      <c r="FQ38" s="313"/>
      <c r="FR38" s="313"/>
      <c r="FS38" s="313"/>
      <c r="FT38" s="313"/>
      <c r="FU38" s="313"/>
      <c r="FV38" s="313"/>
      <c r="FW38" s="313">
        <v>1</v>
      </c>
      <c r="FX38" s="313">
        <v>0</v>
      </c>
      <c r="FY38" s="313"/>
      <c r="FZ38" s="313"/>
      <c r="GA38" s="313"/>
      <c r="GB38" s="313"/>
      <c r="GC38" s="313"/>
      <c r="GD38" s="313"/>
      <c r="GE38" s="313">
        <v>1</v>
      </c>
      <c r="GF38" s="313">
        <v>0</v>
      </c>
      <c r="GG38" s="313"/>
      <c r="GH38" s="313"/>
      <c r="GI38" s="313"/>
      <c r="GJ38" s="313"/>
      <c r="GK38" s="313"/>
      <c r="GL38" s="313"/>
      <c r="GM38" s="315">
        <f t="shared" si="0"/>
        <v>18</v>
      </c>
      <c r="GN38" s="315">
        <f t="shared" si="0"/>
        <v>4</v>
      </c>
      <c r="GO38" s="315">
        <f t="shared" si="1"/>
        <v>0.22222222222222221</v>
      </c>
      <c r="GP38" s="315">
        <f t="shared" si="2"/>
        <v>0</v>
      </c>
      <c r="GQ38" s="315">
        <f t="shared" si="3"/>
        <v>0</v>
      </c>
      <c r="GR38" s="315">
        <v>0</v>
      </c>
      <c r="GS38" s="315">
        <f t="shared" si="4"/>
        <v>0</v>
      </c>
      <c r="GT38" s="315">
        <f t="shared" si="5"/>
        <v>0</v>
      </c>
      <c r="GU38" s="315">
        <v>0</v>
      </c>
      <c r="GV38" s="315">
        <f t="shared" si="6"/>
        <v>0</v>
      </c>
      <c r="GW38" s="315">
        <f t="shared" si="7"/>
        <v>0</v>
      </c>
      <c r="GX38" s="315">
        <v>0</v>
      </c>
    </row>
    <row r="39" spans="1:207" s="140" customFormat="1" ht="15.75" x14ac:dyDescent="0.25">
      <c r="A39" s="190">
        <v>35</v>
      </c>
      <c r="B39" s="102" t="s">
        <v>168</v>
      </c>
      <c r="C39" s="95">
        <v>4</v>
      </c>
      <c r="D39" s="313">
        <v>2</v>
      </c>
      <c r="E39" s="313"/>
      <c r="F39" s="313"/>
      <c r="G39" s="313"/>
      <c r="H39" s="313"/>
      <c r="I39" s="313"/>
      <c r="J39" s="313"/>
      <c r="K39" s="313">
        <v>1</v>
      </c>
      <c r="L39" s="313">
        <v>0</v>
      </c>
      <c r="M39" s="313"/>
      <c r="N39" s="313"/>
      <c r="O39" s="313"/>
      <c r="P39" s="313"/>
      <c r="Q39" s="313"/>
      <c r="R39" s="313"/>
      <c r="S39" s="313">
        <v>1</v>
      </c>
      <c r="T39" s="313">
        <v>0</v>
      </c>
      <c r="U39" s="313"/>
      <c r="V39" s="313"/>
      <c r="W39" s="313"/>
      <c r="X39" s="313"/>
      <c r="Y39" s="313"/>
      <c r="Z39" s="313"/>
      <c r="AA39" s="313">
        <v>2</v>
      </c>
      <c r="AB39" s="313">
        <v>1</v>
      </c>
      <c r="AC39" s="313"/>
      <c r="AD39" s="313"/>
      <c r="AE39" s="313"/>
      <c r="AF39" s="313"/>
      <c r="AG39" s="313"/>
      <c r="AH39" s="313"/>
      <c r="AI39" s="313">
        <v>1</v>
      </c>
      <c r="AJ39" s="313">
        <v>0</v>
      </c>
      <c r="AK39" s="314"/>
      <c r="AL39" s="313"/>
      <c r="AM39" s="313"/>
      <c r="AN39" s="313"/>
      <c r="AO39" s="313"/>
      <c r="AP39" s="313"/>
      <c r="AQ39" s="313">
        <v>4</v>
      </c>
      <c r="AR39" s="313">
        <v>0</v>
      </c>
      <c r="AS39" s="314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  <c r="BP39" s="313"/>
      <c r="BQ39" s="313"/>
      <c r="BR39" s="313"/>
      <c r="BS39" s="313"/>
      <c r="BT39" s="313"/>
      <c r="BU39" s="313"/>
      <c r="BV39" s="313"/>
      <c r="BW39" s="313">
        <v>1</v>
      </c>
      <c r="BX39" s="313">
        <v>0</v>
      </c>
      <c r="BY39" s="313"/>
      <c r="BZ39" s="313"/>
      <c r="CA39" s="313"/>
      <c r="CB39" s="313"/>
      <c r="CC39" s="313"/>
      <c r="CD39" s="313"/>
      <c r="CE39" s="313">
        <v>2</v>
      </c>
      <c r="CF39" s="313">
        <v>0</v>
      </c>
      <c r="CG39" s="313"/>
      <c r="CH39" s="313"/>
      <c r="CI39" s="313"/>
      <c r="CJ39" s="313"/>
      <c r="CK39" s="313"/>
      <c r="CL39" s="313"/>
      <c r="CM39" s="313">
        <v>2</v>
      </c>
      <c r="CN39" s="313">
        <v>0</v>
      </c>
      <c r="CO39" s="313"/>
      <c r="CP39" s="313"/>
      <c r="CQ39" s="313"/>
      <c r="CR39" s="313"/>
      <c r="CS39" s="313"/>
      <c r="CT39" s="313"/>
      <c r="CU39" s="313"/>
      <c r="CV39" s="313"/>
      <c r="CW39" s="313"/>
      <c r="CX39" s="313"/>
      <c r="CY39" s="313"/>
      <c r="CZ39" s="313"/>
      <c r="DA39" s="313"/>
      <c r="DB39" s="313"/>
      <c r="DC39" s="313"/>
      <c r="DD39" s="313"/>
      <c r="DE39" s="313"/>
      <c r="DF39" s="313"/>
      <c r="DG39" s="313"/>
      <c r="DH39" s="313"/>
      <c r="DI39" s="313"/>
      <c r="DJ39" s="313"/>
      <c r="DK39" s="313"/>
      <c r="DL39" s="313"/>
      <c r="DM39" s="313"/>
      <c r="DN39" s="313"/>
      <c r="DO39" s="313"/>
      <c r="DP39" s="313"/>
      <c r="DQ39" s="313"/>
      <c r="DR39" s="313"/>
      <c r="DS39" s="313">
        <v>1</v>
      </c>
      <c r="DT39" s="313">
        <v>0</v>
      </c>
      <c r="DU39" s="313"/>
      <c r="DV39" s="313"/>
      <c r="DW39" s="313"/>
      <c r="DX39" s="313"/>
      <c r="DY39" s="313"/>
      <c r="DZ39" s="313"/>
      <c r="EA39" s="313"/>
      <c r="EB39" s="313"/>
      <c r="EC39" s="313"/>
      <c r="ED39" s="313"/>
      <c r="EE39" s="313"/>
      <c r="EF39" s="313"/>
      <c r="EG39" s="313"/>
      <c r="EH39" s="313"/>
      <c r="EI39" s="313">
        <v>5</v>
      </c>
      <c r="EJ39" s="313">
        <v>3</v>
      </c>
      <c r="EK39" s="314">
        <v>2</v>
      </c>
      <c r="EL39" s="314">
        <v>1</v>
      </c>
      <c r="EM39" s="314"/>
      <c r="EN39" s="313"/>
      <c r="EO39" s="313"/>
      <c r="EP39" s="313"/>
      <c r="EQ39" s="313">
        <v>1</v>
      </c>
      <c r="ER39" s="313">
        <v>0</v>
      </c>
      <c r="ES39" s="313"/>
      <c r="ET39" s="313"/>
      <c r="EU39" s="313"/>
      <c r="EV39" s="313"/>
      <c r="EW39" s="313"/>
      <c r="EX39" s="313"/>
      <c r="EY39" s="313"/>
      <c r="EZ39" s="313"/>
      <c r="FA39" s="313"/>
      <c r="FB39" s="313"/>
      <c r="FC39" s="313"/>
      <c r="FD39" s="313"/>
      <c r="FE39" s="313"/>
      <c r="FF39" s="313"/>
      <c r="FG39" s="313"/>
      <c r="FH39" s="313"/>
      <c r="FI39" s="313"/>
      <c r="FJ39" s="313"/>
      <c r="FK39" s="313"/>
      <c r="FL39" s="313"/>
      <c r="FM39" s="313"/>
      <c r="FN39" s="313"/>
      <c r="FO39" s="313">
        <v>3</v>
      </c>
      <c r="FP39" s="313">
        <v>0</v>
      </c>
      <c r="FQ39" s="313"/>
      <c r="FR39" s="313"/>
      <c r="FS39" s="313"/>
      <c r="FT39" s="313"/>
      <c r="FU39" s="313"/>
      <c r="FV39" s="313"/>
      <c r="FW39" s="313">
        <v>2</v>
      </c>
      <c r="FX39" s="313">
        <v>0</v>
      </c>
      <c r="FY39" s="313"/>
      <c r="FZ39" s="313"/>
      <c r="GA39" s="313"/>
      <c r="GB39" s="313"/>
      <c r="GC39" s="313"/>
      <c r="GD39" s="313"/>
      <c r="GE39" s="313">
        <v>1</v>
      </c>
      <c r="GF39" s="313">
        <v>0</v>
      </c>
      <c r="GG39" s="313"/>
      <c r="GH39" s="313"/>
      <c r="GI39" s="313"/>
      <c r="GJ39" s="313"/>
      <c r="GK39" s="313"/>
      <c r="GL39" s="313"/>
      <c r="GM39" s="315">
        <f t="shared" si="0"/>
        <v>31</v>
      </c>
      <c r="GN39" s="315">
        <f t="shared" si="0"/>
        <v>6</v>
      </c>
      <c r="GO39" s="315">
        <f t="shared" si="1"/>
        <v>0.19354838709677419</v>
      </c>
      <c r="GP39" s="315">
        <f t="shared" si="2"/>
        <v>2</v>
      </c>
      <c r="GQ39" s="315">
        <f t="shared" si="3"/>
        <v>1</v>
      </c>
      <c r="GR39" s="315">
        <f t="shared" si="8"/>
        <v>0.5</v>
      </c>
      <c r="GS39" s="315">
        <f t="shared" si="4"/>
        <v>0</v>
      </c>
      <c r="GT39" s="315">
        <f t="shared" si="5"/>
        <v>0</v>
      </c>
      <c r="GU39" s="315">
        <v>0</v>
      </c>
      <c r="GV39" s="315">
        <f t="shared" si="6"/>
        <v>0</v>
      </c>
      <c r="GW39" s="315">
        <f t="shared" si="7"/>
        <v>0</v>
      </c>
      <c r="GX39" s="315">
        <v>0</v>
      </c>
      <c r="GY39" s="139"/>
    </row>
    <row r="40" spans="1:207" s="30" customFormat="1" ht="15.75" x14ac:dyDescent="0.25">
      <c r="A40" s="190">
        <v>36</v>
      </c>
      <c r="B40" s="102" t="s">
        <v>169</v>
      </c>
      <c r="C40" s="95">
        <v>3</v>
      </c>
      <c r="D40" s="313">
        <v>1</v>
      </c>
      <c r="E40" s="313"/>
      <c r="F40" s="313"/>
      <c r="G40" s="313"/>
      <c r="H40" s="313"/>
      <c r="I40" s="313"/>
      <c r="J40" s="313"/>
      <c r="K40" s="313">
        <v>1</v>
      </c>
      <c r="L40" s="313">
        <v>0</v>
      </c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>
        <v>1</v>
      </c>
      <c r="AB40" s="313">
        <v>1</v>
      </c>
      <c r="AC40" s="313"/>
      <c r="AD40" s="313"/>
      <c r="AE40" s="313"/>
      <c r="AF40" s="313"/>
      <c r="AG40" s="313"/>
      <c r="AH40" s="313"/>
      <c r="AI40" s="313">
        <v>5</v>
      </c>
      <c r="AJ40" s="313">
        <v>2</v>
      </c>
      <c r="AK40" s="314"/>
      <c r="AL40" s="313"/>
      <c r="AM40" s="313"/>
      <c r="AN40" s="313"/>
      <c r="AO40" s="313"/>
      <c r="AP40" s="313"/>
      <c r="AQ40" s="313">
        <v>2</v>
      </c>
      <c r="AR40" s="313">
        <v>0</v>
      </c>
      <c r="AS40" s="314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>
        <v>1</v>
      </c>
      <c r="BH40" s="313">
        <v>0</v>
      </c>
      <c r="BI40" s="313"/>
      <c r="BJ40" s="313"/>
      <c r="BK40" s="313"/>
      <c r="BL40" s="313"/>
      <c r="BM40" s="313"/>
      <c r="BN40" s="313"/>
      <c r="BO40" s="313"/>
      <c r="BP40" s="313"/>
      <c r="BQ40" s="313"/>
      <c r="BR40" s="313"/>
      <c r="BS40" s="313"/>
      <c r="BT40" s="313"/>
      <c r="BU40" s="313"/>
      <c r="BV40" s="313"/>
      <c r="BW40" s="313">
        <v>0</v>
      </c>
      <c r="BX40" s="313">
        <v>0</v>
      </c>
      <c r="BY40" s="313"/>
      <c r="BZ40" s="313"/>
      <c r="CA40" s="313"/>
      <c r="CB40" s="313"/>
      <c r="CC40" s="313"/>
      <c r="CD40" s="313"/>
      <c r="CE40" s="313">
        <v>2</v>
      </c>
      <c r="CF40" s="313">
        <v>0</v>
      </c>
      <c r="CG40" s="313"/>
      <c r="CH40" s="313"/>
      <c r="CI40" s="313"/>
      <c r="CJ40" s="313"/>
      <c r="CK40" s="313"/>
      <c r="CL40" s="313"/>
      <c r="CM40" s="313">
        <v>2</v>
      </c>
      <c r="CN40" s="316">
        <v>0</v>
      </c>
      <c r="CO40" s="313"/>
      <c r="CP40" s="313"/>
      <c r="CQ40" s="313"/>
      <c r="CR40" s="313"/>
      <c r="CS40" s="313"/>
      <c r="CT40" s="313"/>
      <c r="CU40" s="313"/>
      <c r="CV40" s="316"/>
      <c r="CW40" s="313"/>
      <c r="CX40" s="313"/>
      <c r="CY40" s="313"/>
      <c r="CZ40" s="313"/>
      <c r="DA40" s="313"/>
      <c r="DB40" s="313"/>
      <c r="DC40" s="313"/>
      <c r="DD40" s="313"/>
      <c r="DE40" s="313"/>
      <c r="DF40" s="313"/>
      <c r="DG40" s="313"/>
      <c r="DH40" s="313"/>
      <c r="DI40" s="313"/>
      <c r="DJ40" s="313"/>
      <c r="DK40" s="313"/>
      <c r="DL40" s="313"/>
      <c r="DM40" s="313"/>
      <c r="DN40" s="313"/>
      <c r="DO40" s="313"/>
      <c r="DP40" s="313"/>
      <c r="DQ40" s="313"/>
      <c r="DR40" s="313"/>
      <c r="DS40" s="313">
        <v>1</v>
      </c>
      <c r="DT40" s="313">
        <v>1</v>
      </c>
      <c r="DU40" s="313"/>
      <c r="DV40" s="313"/>
      <c r="DW40" s="313"/>
      <c r="DX40" s="313"/>
      <c r="DY40" s="313"/>
      <c r="DZ40" s="313"/>
      <c r="EA40" s="313"/>
      <c r="EB40" s="313"/>
      <c r="EC40" s="313"/>
      <c r="ED40" s="313"/>
      <c r="EE40" s="313"/>
      <c r="EF40" s="313"/>
      <c r="EG40" s="313"/>
      <c r="EH40" s="313"/>
      <c r="EI40" s="313"/>
      <c r="EJ40" s="313"/>
      <c r="EK40" s="314"/>
      <c r="EL40" s="314"/>
      <c r="EM40" s="314"/>
      <c r="EN40" s="313"/>
      <c r="EO40" s="313"/>
      <c r="EP40" s="313"/>
      <c r="EQ40" s="313">
        <v>1</v>
      </c>
      <c r="ER40" s="313">
        <v>0</v>
      </c>
      <c r="ES40" s="313"/>
      <c r="ET40" s="313"/>
      <c r="EU40" s="313"/>
      <c r="EV40" s="313"/>
      <c r="EW40" s="313"/>
      <c r="EX40" s="313"/>
      <c r="EY40" s="313">
        <v>1</v>
      </c>
      <c r="EZ40" s="313">
        <v>0</v>
      </c>
      <c r="FA40" s="313"/>
      <c r="FB40" s="313"/>
      <c r="FC40" s="313"/>
      <c r="FD40" s="313"/>
      <c r="FE40" s="313"/>
      <c r="FF40" s="313"/>
      <c r="FG40" s="313"/>
      <c r="FH40" s="313"/>
      <c r="FI40" s="313"/>
      <c r="FJ40" s="313"/>
      <c r="FK40" s="313"/>
      <c r="FL40" s="313"/>
      <c r="FM40" s="313"/>
      <c r="FN40" s="313"/>
      <c r="FO40" s="313">
        <v>1</v>
      </c>
      <c r="FP40" s="313">
        <v>1</v>
      </c>
      <c r="FQ40" s="313"/>
      <c r="FR40" s="313"/>
      <c r="FS40" s="313"/>
      <c r="FT40" s="313"/>
      <c r="FU40" s="313"/>
      <c r="FV40" s="313"/>
      <c r="FW40" s="313">
        <v>1</v>
      </c>
      <c r="FX40" s="313">
        <v>0</v>
      </c>
      <c r="FY40" s="313"/>
      <c r="FZ40" s="313"/>
      <c r="GA40" s="313"/>
      <c r="GB40" s="313"/>
      <c r="GC40" s="313"/>
      <c r="GD40" s="313"/>
      <c r="GE40" s="313"/>
      <c r="GF40" s="313"/>
      <c r="GG40" s="313"/>
      <c r="GH40" s="313"/>
      <c r="GI40" s="313"/>
      <c r="GJ40" s="313"/>
      <c r="GK40" s="313"/>
      <c r="GL40" s="313"/>
      <c r="GM40" s="315">
        <f t="shared" si="0"/>
        <v>22</v>
      </c>
      <c r="GN40" s="315">
        <f t="shared" si="0"/>
        <v>6</v>
      </c>
      <c r="GO40" s="315">
        <f t="shared" si="1"/>
        <v>0.27272727272727271</v>
      </c>
      <c r="GP40" s="315">
        <f t="shared" si="2"/>
        <v>0</v>
      </c>
      <c r="GQ40" s="315">
        <f t="shared" si="3"/>
        <v>0</v>
      </c>
      <c r="GR40" s="315">
        <v>0</v>
      </c>
      <c r="GS40" s="315">
        <f t="shared" si="4"/>
        <v>0</v>
      </c>
      <c r="GT40" s="315">
        <f t="shared" si="5"/>
        <v>0</v>
      </c>
      <c r="GU40" s="315">
        <v>0</v>
      </c>
      <c r="GV40" s="315">
        <f t="shared" si="6"/>
        <v>0</v>
      </c>
      <c r="GW40" s="315">
        <f t="shared" si="7"/>
        <v>0</v>
      </c>
      <c r="GX40" s="315">
        <v>0</v>
      </c>
    </row>
    <row r="41" spans="1:207" ht="15.75" x14ac:dyDescent="0.25">
      <c r="A41" s="190">
        <v>37</v>
      </c>
      <c r="B41" s="102" t="s">
        <v>170</v>
      </c>
      <c r="C41" s="313">
        <v>1</v>
      </c>
      <c r="D41" s="313">
        <v>1</v>
      </c>
      <c r="E41" s="313"/>
      <c r="F41" s="313"/>
      <c r="G41" s="313"/>
      <c r="H41" s="313"/>
      <c r="I41" s="313"/>
      <c r="J41" s="313"/>
      <c r="K41" s="313">
        <v>1</v>
      </c>
      <c r="L41" s="313">
        <v>1</v>
      </c>
      <c r="M41" s="313">
        <v>1</v>
      </c>
      <c r="N41" s="313">
        <v>0</v>
      </c>
      <c r="O41" s="313"/>
      <c r="P41" s="313"/>
      <c r="Q41" s="313"/>
      <c r="R41" s="313"/>
      <c r="S41" s="313">
        <v>1</v>
      </c>
      <c r="T41" s="313">
        <v>1</v>
      </c>
      <c r="U41" s="313"/>
      <c r="V41" s="313"/>
      <c r="W41" s="313"/>
      <c r="X41" s="313"/>
      <c r="Y41" s="313"/>
      <c r="Z41" s="313"/>
      <c r="AA41" s="313">
        <v>1</v>
      </c>
      <c r="AB41" s="313">
        <v>0</v>
      </c>
      <c r="AC41" s="313"/>
      <c r="AD41" s="313"/>
      <c r="AE41" s="313"/>
      <c r="AF41" s="313"/>
      <c r="AG41" s="313"/>
      <c r="AH41" s="313"/>
      <c r="AI41" s="313">
        <v>2</v>
      </c>
      <c r="AJ41" s="313">
        <v>2</v>
      </c>
      <c r="AK41" s="314"/>
      <c r="AL41" s="313"/>
      <c r="AM41" s="313"/>
      <c r="AN41" s="313"/>
      <c r="AO41" s="313"/>
      <c r="AP41" s="313"/>
      <c r="AQ41" s="313">
        <v>2</v>
      </c>
      <c r="AR41" s="313">
        <v>0</v>
      </c>
      <c r="AS41" s="314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>
        <v>2</v>
      </c>
      <c r="BH41" s="313">
        <v>1</v>
      </c>
      <c r="BI41" s="313"/>
      <c r="BJ41" s="313"/>
      <c r="BK41" s="313"/>
      <c r="BL41" s="313"/>
      <c r="BM41" s="313"/>
      <c r="BN41" s="313"/>
      <c r="BO41" s="313"/>
      <c r="BP41" s="313"/>
      <c r="BQ41" s="313"/>
      <c r="BR41" s="313"/>
      <c r="BS41" s="313"/>
      <c r="BT41" s="313"/>
      <c r="BU41" s="313"/>
      <c r="BV41" s="313"/>
      <c r="BW41" s="313">
        <v>1</v>
      </c>
      <c r="BX41" s="313">
        <v>0</v>
      </c>
      <c r="BY41" s="313"/>
      <c r="BZ41" s="313"/>
      <c r="CA41" s="313"/>
      <c r="CB41" s="313"/>
      <c r="CC41" s="313"/>
      <c r="CD41" s="313"/>
      <c r="CE41" s="313">
        <v>2</v>
      </c>
      <c r="CF41" s="313">
        <v>0</v>
      </c>
      <c r="CG41" s="313"/>
      <c r="CH41" s="313"/>
      <c r="CI41" s="313"/>
      <c r="CJ41" s="313"/>
      <c r="CK41" s="313"/>
      <c r="CL41" s="313"/>
      <c r="CM41" s="313">
        <v>2</v>
      </c>
      <c r="CN41" s="313">
        <v>2</v>
      </c>
      <c r="CO41" s="313"/>
      <c r="CP41" s="313"/>
      <c r="CQ41" s="313"/>
      <c r="CR41" s="313"/>
      <c r="CS41" s="313"/>
      <c r="CT41" s="313"/>
      <c r="CU41" s="313"/>
      <c r="CV41" s="313"/>
      <c r="CW41" s="313"/>
      <c r="CX41" s="313"/>
      <c r="CY41" s="313"/>
      <c r="CZ41" s="313"/>
      <c r="DA41" s="313"/>
      <c r="DB41" s="313"/>
      <c r="DC41" s="313">
        <v>2</v>
      </c>
      <c r="DD41" s="313">
        <v>2</v>
      </c>
      <c r="DE41" s="313"/>
      <c r="DF41" s="313"/>
      <c r="DG41" s="313"/>
      <c r="DH41" s="313"/>
      <c r="DI41" s="313"/>
      <c r="DJ41" s="313"/>
      <c r="DK41" s="313">
        <v>1</v>
      </c>
      <c r="DL41" s="313">
        <v>1</v>
      </c>
      <c r="DM41" s="313">
        <v>1</v>
      </c>
      <c r="DN41" s="313">
        <v>1</v>
      </c>
      <c r="DO41" s="313"/>
      <c r="DP41" s="313"/>
      <c r="DQ41" s="313"/>
      <c r="DR41" s="313"/>
      <c r="DS41" s="313">
        <v>4</v>
      </c>
      <c r="DT41" s="313">
        <v>1</v>
      </c>
      <c r="DU41" s="313"/>
      <c r="DV41" s="313"/>
      <c r="DW41" s="313"/>
      <c r="DX41" s="313"/>
      <c r="DY41" s="313"/>
      <c r="DZ41" s="313"/>
      <c r="EA41" s="313"/>
      <c r="EB41" s="313"/>
      <c r="EC41" s="313"/>
      <c r="ED41" s="313"/>
      <c r="EE41" s="313"/>
      <c r="EF41" s="313"/>
      <c r="EG41" s="313"/>
      <c r="EH41" s="313"/>
      <c r="EI41" s="313"/>
      <c r="EJ41" s="313"/>
      <c r="EK41" s="314"/>
      <c r="EL41" s="314"/>
      <c r="EM41" s="314"/>
      <c r="EN41" s="313"/>
      <c r="EO41" s="313"/>
      <c r="EP41" s="313"/>
      <c r="EQ41" s="313">
        <v>1</v>
      </c>
      <c r="ER41" s="313">
        <v>0</v>
      </c>
      <c r="ES41" s="313"/>
      <c r="ET41" s="313"/>
      <c r="EU41" s="313"/>
      <c r="EV41" s="313"/>
      <c r="EW41" s="313"/>
      <c r="EX41" s="313"/>
      <c r="EY41" s="313">
        <v>1</v>
      </c>
      <c r="EZ41" s="313">
        <v>1</v>
      </c>
      <c r="FA41" s="313">
        <v>1</v>
      </c>
      <c r="FB41" s="313">
        <v>0</v>
      </c>
      <c r="FC41" s="313"/>
      <c r="FD41" s="313"/>
      <c r="FE41" s="313"/>
      <c r="FF41" s="313"/>
      <c r="FG41" s="313"/>
      <c r="FH41" s="313"/>
      <c r="FI41" s="313"/>
      <c r="FJ41" s="313"/>
      <c r="FK41" s="313"/>
      <c r="FL41" s="313"/>
      <c r="FM41" s="313"/>
      <c r="FN41" s="313"/>
      <c r="FO41" s="313">
        <v>2</v>
      </c>
      <c r="FP41" s="313">
        <v>0</v>
      </c>
      <c r="FQ41" s="313"/>
      <c r="FR41" s="313"/>
      <c r="FS41" s="313"/>
      <c r="FT41" s="313"/>
      <c r="FU41" s="313"/>
      <c r="FV41" s="313"/>
      <c r="FW41" s="313">
        <v>4</v>
      </c>
      <c r="FX41" s="313">
        <v>4</v>
      </c>
      <c r="FY41" s="313">
        <v>2</v>
      </c>
      <c r="FZ41" s="313">
        <v>2</v>
      </c>
      <c r="GA41" s="313"/>
      <c r="GB41" s="313"/>
      <c r="GC41" s="313"/>
      <c r="GD41" s="313"/>
      <c r="GE41" s="313">
        <v>1</v>
      </c>
      <c r="GF41" s="313">
        <v>0</v>
      </c>
      <c r="GG41" s="313"/>
      <c r="GH41" s="313"/>
      <c r="GI41" s="313"/>
      <c r="GJ41" s="313"/>
      <c r="GK41" s="313"/>
      <c r="GL41" s="313"/>
      <c r="GM41" s="315">
        <f t="shared" si="0"/>
        <v>31</v>
      </c>
      <c r="GN41" s="315">
        <f t="shared" si="0"/>
        <v>17</v>
      </c>
      <c r="GO41" s="315">
        <f t="shared" si="1"/>
        <v>0.54838709677419351</v>
      </c>
      <c r="GP41" s="315">
        <f t="shared" si="2"/>
        <v>5</v>
      </c>
      <c r="GQ41" s="315">
        <f t="shared" si="3"/>
        <v>3</v>
      </c>
      <c r="GR41" s="315">
        <f t="shared" si="8"/>
        <v>0.6</v>
      </c>
      <c r="GS41" s="315">
        <f t="shared" si="4"/>
        <v>0</v>
      </c>
      <c r="GT41" s="315">
        <f t="shared" si="5"/>
        <v>0</v>
      </c>
      <c r="GU41" s="315">
        <v>0</v>
      </c>
      <c r="GV41" s="315">
        <f t="shared" si="6"/>
        <v>0</v>
      </c>
      <c r="GW41" s="315">
        <f t="shared" si="7"/>
        <v>0</v>
      </c>
      <c r="GX41" s="315">
        <v>0</v>
      </c>
    </row>
    <row r="42" spans="1:207" ht="15.75" x14ac:dyDescent="0.25">
      <c r="A42" s="190">
        <v>38</v>
      </c>
      <c r="B42" s="102" t="s">
        <v>171</v>
      </c>
      <c r="C42" s="95">
        <v>5</v>
      </c>
      <c r="D42" s="313">
        <v>0</v>
      </c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>
        <v>1</v>
      </c>
      <c r="T42" s="313">
        <v>0</v>
      </c>
      <c r="U42" s="313"/>
      <c r="V42" s="313"/>
      <c r="W42" s="313"/>
      <c r="X42" s="313"/>
      <c r="Y42" s="313"/>
      <c r="Z42" s="313"/>
      <c r="AA42" s="313">
        <v>2</v>
      </c>
      <c r="AB42" s="313">
        <v>0</v>
      </c>
      <c r="AC42" s="313"/>
      <c r="AD42" s="313"/>
      <c r="AE42" s="313"/>
      <c r="AF42" s="313"/>
      <c r="AG42" s="313"/>
      <c r="AH42" s="313"/>
      <c r="AI42" s="313">
        <v>1</v>
      </c>
      <c r="AJ42" s="313">
        <v>1</v>
      </c>
      <c r="AK42" s="314"/>
      <c r="AL42" s="313"/>
      <c r="AM42" s="313"/>
      <c r="AN42" s="313"/>
      <c r="AO42" s="313"/>
      <c r="AP42" s="313"/>
      <c r="AQ42" s="313">
        <v>1</v>
      </c>
      <c r="AR42" s="313">
        <v>0</v>
      </c>
      <c r="AS42" s="314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>
        <v>1</v>
      </c>
      <c r="BH42" s="313">
        <v>0</v>
      </c>
      <c r="BI42" s="313"/>
      <c r="BJ42" s="313"/>
      <c r="BK42" s="313"/>
      <c r="BL42" s="313"/>
      <c r="BM42" s="313"/>
      <c r="BN42" s="313"/>
      <c r="BO42" s="313">
        <v>2</v>
      </c>
      <c r="BP42" s="313">
        <v>1</v>
      </c>
      <c r="BQ42" s="313"/>
      <c r="BR42" s="313"/>
      <c r="BS42" s="313"/>
      <c r="BT42" s="313"/>
      <c r="BU42" s="313"/>
      <c r="BV42" s="313"/>
      <c r="BW42" s="313">
        <v>1</v>
      </c>
      <c r="BX42" s="313">
        <v>0</v>
      </c>
      <c r="BY42" s="313"/>
      <c r="BZ42" s="313"/>
      <c r="CA42" s="313"/>
      <c r="CB42" s="313"/>
      <c r="CC42" s="313"/>
      <c r="CD42" s="313"/>
      <c r="CE42" s="313">
        <v>3</v>
      </c>
      <c r="CF42" s="313">
        <v>2</v>
      </c>
      <c r="CG42" s="313"/>
      <c r="CH42" s="313"/>
      <c r="CI42" s="313"/>
      <c r="CJ42" s="313"/>
      <c r="CK42" s="313"/>
      <c r="CL42" s="313"/>
      <c r="CM42" s="316">
        <v>1</v>
      </c>
      <c r="CN42" s="313">
        <v>0</v>
      </c>
      <c r="CO42" s="313"/>
      <c r="CP42" s="313"/>
      <c r="CQ42" s="313"/>
      <c r="CR42" s="313"/>
      <c r="CS42" s="313"/>
      <c r="CT42" s="313"/>
      <c r="CU42" s="316"/>
      <c r="CV42" s="313"/>
      <c r="CW42" s="313"/>
      <c r="CX42" s="313"/>
      <c r="CY42" s="313"/>
      <c r="CZ42" s="313"/>
      <c r="DA42" s="313"/>
      <c r="DB42" s="313"/>
      <c r="DC42" s="313">
        <v>1</v>
      </c>
      <c r="DD42" s="313">
        <v>1</v>
      </c>
      <c r="DE42" s="313"/>
      <c r="DF42" s="313"/>
      <c r="DG42" s="313"/>
      <c r="DH42" s="313"/>
      <c r="DI42" s="313"/>
      <c r="DJ42" s="313"/>
      <c r="DK42" s="313"/>
      <c r="DL42" s="313"/>
      <c r="DM42" s="313"/>
      <c r="DN42" s="313"/>
      <c r="DO42" s="313"/>
      <c r="DP42" s="313"/>
      <c r="DQ42" s="313"/>
      <c r="DR42" s="313"/>
      <c r="DS42" s="313">
        <v>1</v>
      </c>
      <c r="DT42" s="313">
        <v>1</v>
      </c>
      <c r="DU42" s="313"/>
      <c r="DV42" s="313"/>
      <c r="DW42" s="313"/>
      <c r="DX42" s="313"/>
      <c r="DY42" s="313"/>
      <c r="DZ42" s="313"/>
      <c r="EA42" s="313"/>
      <c r="EB42" s="313"/>
      <c r="EC42" s="313"/>
      <c r="ED42" s="313"/>
      <c r="EE42" s="313"/>
      <c r="EF42" s="313"/>
      <c r="EG42" s="313"/>
      <c r="EH42" s="313"/>
      <c r="EI42" s="313"/>
      <c r="EJ42" s="313"/>
      <c r="EK42" s="314"/>
      <c r="EL42" s="314"/>
      <c r="EM42" s="314"/>
      <c r="EN42" s="313"/>
      <c r="EO42" s="313"/>
      <c r="EP42" s="313"/>
      <c r="EQ42" s="313"/>
      <c r="ER42" s="313"/>
      <c r="ES42" s="313"/>
      <c r="ET42" s="313"/>
      <c r="EU42" s="313"/>
      <c r="EV42" s="313"/>
      <c r="EW42" s="313"/>
      <c r="EX42" s="313"/>
      <c r="EY42" s="313">
        <v>1</v>
      </c>
      <c r="EZ42" s="313">
        <v>1</v>
      </c>
      <c r="FA42" s="313">
        <v>1</v>
      </c>
      <c r="FB42" s="313">
        <v>0</v>
      </c>
      <c r="FC42" s="313"/>
      <c r="FD42" s="313"/>
      <c r="FE42" s="313"/>
      <c r="FF42" s="313"/>
      <c r="FG42" s="313">
        <v>2</v>
      </c>
      <c r="FH42" s="313">
        <v>0</v>
      </c>
      <c r="FI42" s="313"/>
      <c r="FJ42" s="313"/>
      <c r="FK42" s="313"/>
      <c r="FL42" s="313"/>
      <c r="FM42" s="313"/>
      <c r="FN42" s="313"/>
      <c r="FO42" s="313">
        <v>3</v>
      </c>
      <c r="FP42" s="313">
        <v>0</v>
      </c>
      <c r="FQ42" s="313"/>
      <c r="FR42" s="313"/>
      <c r="FS42" s="313"/>
      <c r="FT42" s="313"/>
      <c r="FU42" s="313"/>
      <c r="FV42" s="313"/>
      <c r="FW42" s="313">
        <v>2</v>
      </c>
      <c r="FX42" s="313">
        <v>1</v>
      </c>
      <c r="FY42" s="313"/>
      <c r="FZ42" s="313"/>
      <c r="GA42" s="313"/>
      <c r="GB42" s="313"/>
      <c r="GC42" s="313"/>
      <c r="GD42" s="313"/>
      <c r="GE42" s="313">
        <v>1</v>
      </c>
      <c r="GF42" s="313">
        <v>0</v>
      </c>
      <c r="GG42" s="313"/>
      <c r="GH42" s="313"/>
      <c r="GI42" s="313"/>
      <c r="GJ42" s="313"/>
      <c r="GK42" s="313"/>
      <c r="GL42" s="313"/>
      <c r="GM42" s="315">
        <f t="shared" si="0"/>
        <v>29</v>
      </c>
      <c r="GN42" s="315">
        <f t="shared" si="0"/>
        <v>8</v>
      </c>
      <c r="GO42" s="315">
        <f t="shared" si="1"/>
        <v>0.27586206896551724</v>
      </c>
      <c r="GP42" s="315">
        <f t="shared" si="2"/>
        <v>1</v>
      </c>
      <c r="GQ42" s="315">
        <f t="shared" si="3"/>
        <v>0</v>
      </c>
      <c r="GR42" s="315">
        <f t="shared" si="8"/>
        <v>0</v>
      </c>
      <c r="GS42" s="315">
        <f t="shared" si="4"/>
        <v>0</v>
      </c>
      <c r="GT42" s="315">
        <f t="shared" si="5"/>
        <v>0</v>
      </c>
      <c r="GU42" s="315">
        <v>0</v>
      </c>
      <c r="GV42" s="315">
        <f t="shared" si="6"/>
        <v>0</v>
      </c>
      <c r="GW42" s="315">
        <f t="shared" si="7"/>
        <v>0</v>
      </c>
      <c r="GX42" s="315">
        <v>0</v>
      </c>
    </row>
    <row r="43" spans="1:207" ht="15.75" customHeight="1" x14ac:dyDescent="0.25">
      <c r="A43" s="654" t="s">
        <v>118</v>
      </c>
      <c r="B43" s="655"/>
      <c r="C43" s="454">
        <f>SUM(C5:C42)</f>
        <v>130</v>
      </c>
      <c r="D43" s="454">
        <f t="shared" ref="D43:BO43" si="14">SUM(D5:D42)</f>
        <v>28</v>
      </c>
      <c r="E43" s="454">
        <f t="shared" si="14"/>
        <v>1</v>
      </c>
      <c r="F43" s="454">
        <f t="shared" si="14"/>
        <v>0</v>
      </c>
      <c r="G43" s="454">
        <f t="shared" si="14"/>
        <v>0</v>
      </c>
      <c r="H43" s="454">
        <f t="shared" si="14"/>
        <v>0</v>
      </c>
      <c r="I43" s="454">
        <f t="shared" si="14"/>
        <v>0</v>
      </c>
      <c r="J43" s="454">
        <f t="shared" si="14"/>
        <v>0</v>
      </c>
      <c r="K43" s="454">
        <f t="shared" si="14"/>
        <v>35</v>
      </c>
      <c r="L43" s="454">
        <f t="shared" si="14"/>
        <v>3</v>
      </c>
      <c r="M43" s="454">
        <f t="shared" si="14"/>
        <v>1</v>
      </c>
      <c r="N43" s="454">
        <f t="shared" si="14"/>
        <v>0</v>
      </c>
      <c r="O43" s="454">
        <f t="shared" si="14"/>
        <v>0</v>
      </c>
      <c r="P43" s="454">
        <f t="shared" si="14"/>
        <v>0</v>
      </c>
      <c r="Q43" s="454">
        <f t="shared" si="14"/>
        <v>0</v>
      </c>
      <c r="R43" s="454">
        <f t="shared" si="14"/>
        <v>0</v>
      </c>
      <c r="S43" s="454">
        <f t="shared" si="14"/>
        <v>34</v>
      </c>
      <c r="T43" s="454">
        <f t="shared" si="14"/>
        <v>4</v>
      </c>
      <c r="U43" s="454">
        <f t="shared" si="14"/>
        <v>1</v>
      </c>
      <c r="V43" s="454">
        <f t="shared" si="14"/>
        <v>1</v>
      </c>
      <c r="W43" s="454">
        <f t="shared" si="14"/>
        <v>0</v>
      </c>
      <c r="X43" s="454">
        <f t="shared" si="14"/>
        <v>0</v>
      </c>
      <c r="Y43" s="454">
        <f t="shared" si="14"/>
        <v>0</v>
      </c>
      <c r="Z43" s="454">
        <f t="shared" si="14"/>
        <v>0</v>
      </c>
      <c r="AA43" s="454">
        <f t="shared" si="14"/>
        <v>63</v>
      </c>
      <c r="AB43" s="454">
        <f t="shared" si="14"/>
        <v>20</v>
      </c>
      <c r="AC43" s="454">
        <f t="shared" si="14"/>
        <v>1</v>
      </c>
      <c r="AD43" s="454">
        <f t="shared" si="14"/>
        <v>0</v>
      </c>
      <c r="AE43" s="454">
        <f t="shared" si="14"/>
        <v>0</v>
      </c>
      <c r="AF43" s="454">
        <f t="shared" si="14"/>
        <v>0</v>
      </c>
      <c r="AG43" s="454">
        <f t="shared" si="14"/>
        <v>0</v>
      </c>
      <c r="AH43" s="454">
        <f t="shared" si="14"/>
        <v>0</v>
      </c>
      <c r="AI43" s="454">
        <f t="shared" si="14"/>
        <v>67</v>
      </c>
      <c r="AJ43" s="454">
        <f t="shared" si="14"/>
        <v>24</v>
      </c>
      <c r="AK43" s="454">
        <f t="shared" si="14"/>
        <v>4</v>
      </c>
      <c r="AL43" s="454">
        <f t="shared" si="14"/>
        <v>0</v>
      </c>
      <c r="AM43" s="454">
        <f t="shared" si="14"/>
        <v>0</v>
      </c>
      <c r="AN43" s="454">
        <f t="shared" si="14"/>
        <v>0</v>
      </c>
      <c r="AO43" s="454">
        <f t="shared" si="14"/>
        <v>0</v>
      </c>
      <c r="AP43" s="454">
        <f t="shared" si="14"/>
        <v>0</v>
      </c>
      <c r="AQ43" s="454">
        <f t="shared" si="14"/>
        <v>59</v>
      </c>
      <c r="AR43" s="454">
        <f t="shared" si="14"/>
        <v>24</v>
      </c>
      <c r="AS43" s="454">
        <f t="shared" si="14"/>
        <v>1</v>
      </c>
      <c r="AT43" s="454">
        <f t="shared" si="14"/>
        <v>0</v>
      </c>
      <c r="AU43" s="454">
        <f t="shared" si="14"/>
        <v>0</v>
      </c>
      <c r="AV43" s="454">
        <f t="shared" si="14"/>
        <v>0</v>
      </c>
      <c r="AW43" s="454">
        <f t="shared" si="14"/>
        <v>0</v>
      </c>
      <c r="AX43" s="454">
        <f t="shared" si="14"/>
        <v>0</v>
      </c>
      <c r="AY43" s="454">
        <f t="shared" si="14"/>
        <v>6</v>
      </c>
      <c r="AZ43" s="454">
        <f t="shared" si="14"/>
        <v>3</v>
      </c>
      <c r="BA43" s="454">
        <f t="shared" si="14"/>
        <v>0</v>
      </c>
      <c r="BB43" s="454">
        <f t="shared" si="14"/>
        <v>0</v>
      </c>
      <c r="BC43" s="454">
        <f t="shared" si="14"/>
        <v>0</v>
      </c>
      <c r="BD43" s="454">
        <f t="shared" si="14"/>
        <v>0</v>
      </c>
      <c r="BE43" s="454">
        <f t="shared" si="14"/>
        <v>0</v>
      </c>
      <c r="BF43" s="454">
        <f t="shared" si="14"/>
        <v>0</v>
      </c>
      <c r="BG43" s="454">
        <f t="shared" si="14"/>
        <v>71</v>
      </c>
      <c r="BH43" s="454">
        <f t="shared" si="14"/>
        <v>24</v>
      </c>
      <c r="BI43" s="454">
        <f t="shared" si="14"/>
        <v>5</v>
      </c>
      <c r="BJ43" s="454">
        <f t="shared" si="14"/>
        <v>0</v>
      </c>
      <c r="BK43" s="454">
        <f t="shared" si="14"/>
        <v>0</v>
      </c>
      <c r="BL43" s="454">
        <f t="shared" si="14"/>
        <v>0</v>
      </c>
      <c r="BM43" s="454">
        <f t="shared" si="14"/>
        <v>0</v>
      </c>
      <c r="BN43" s="454">
        <f t="shared" si="14"/>
        <v>0</v>
      </c>
      <c r="BO43" s="454">
        <f t="shared" si="14"/>
        <v>12</v>
      </c>
      <c r="BP43" s="454">
        <f t="shared" ref="BP43:EA43" si="15">SUM(BP5:BP42)</f>
        <v>3</v>
      </c>
      <c r="BQ43" s="454">
        <f t="shared" si="15"/>
        <v>0</v>
      </c>
      <c r="BR43" s="454">
        <f t="shared" si="15"/>
        <v>0</v>
      </c>
      <c r="BS43" s="454">
        <f t="shared" si="15"/>
        <v>0</v>
      </c>
      <c r="BT43" s="454">
        <f t="shared" si="15"/>
        <v>0</v>
      </c>
      <c r="BU43" s="454">
        <f t="shared" si="15"/>
        <v>0</v>
      </c>
      <c r="BV43" s="454">
        <f t="shared" si="15"/>
        <v>0</v>
      </c>
      <c r="BW43" s="454">
        <f t="shared" si="15"/>
        <v>26</v>
      </c>
      <c r="BX43" s="454">
        <f t="shared" si="15"/>
        <v>6</v>
      </c>
      <c r="BY43" s="454">
        <f t="shared" si="15"/>
        <v>1</v>
      </c>
      <c r="BZ43" s="454">
        <f t="shared" si="15"/>
        <v>0</v>
      </c>
      <c r="CA43" s="454">
        <f t="shared" si="15"/>
        <v>0</v>
      </c>
      <c r="CB43" s="454">
        <f t="shared" si="15"/>
        <v>0</v>
      </c>
      <c r="CC43" s="454">
        <f t="shared" si="15"/>
        <v>0</v>
      </c>
      <c r="CD43" s="454">
        <f t="shared" si="15"/>
        <v>0</v>
      </c>
      <c r="CE43" s="454">
        <f t="shared" si="15"/>
        <v>63</v>
      </c>
      <c r="CF43" s="454">
        <f t="shared" si="15"/>
        <v>10</v>
      </c>
      <c r="CG43" s="454">
        <f t="shared" si="15"/>
        <v>3</v>
      </c>
      <c r="CH43" s="454">
        <f t="shared" si="15"/>
        <v>1</v>
      </c>
      <c r="CI43" s="454">
        <f t="shared" si="15"/>
        <v>0</v>
      </c>
      <c r="CJ43" s="454">
        <f t="shared" si="15"/>
        <v>0</v>
      </c>
      <c r="CK43" s="454">
        <f t="shared" si="15"/>
        <v>0</v>
      </c>
      <c r="CL43" s="454">
        <f t="shared" si="15"/>
        <v>0</v>
      </c>
      <c r="CM43" s="454">
        <f t="shared" si="15"/>
        <v>41</v>
      </c>
      <c r="CN43" s="454">
        <f t="shared" si="15"/>
        <v>5</v>
      </c>
      <c r="CO43" s="454">
        <f t="shared" si="15"/>
        <v>0</v>
      </c>
      <c r="CP43" s="454">
        <f t="shared" si="15"/>
        <v>0</v>
      </c>
      <c r="CQ43" s="454">
        <f t="shared" si="15"/>
        <v>0</v>
      </c>
      <c r="CR43" s="454">
        <f t="shared" si="15"/>
        <v>0</v>
      </c>
      <c r="CS43" s="454">
        <f t="shared" si="15"/>
        <v>0</v>
      </c>
      <c r="CT43" s="454">
        <f t="shared" si="15"/>
        <v>0</v>
      </c>
      <c r="CU43" s="454">
        <f t="shared" si="15"/>
        <v>2</v>
      </c>
      <c r="CV43" s="454">
        <f t="shared" si="15"/>
        <v>0</v>
      </c>
      <c r="CW43" s="454">
        <f t="shared" si="15"/>
        <v>0</v>
      </c>
      <c r="CX43" s="454">
        <f t="shared" si="15"/>
        <v>0</v>
      </c>
      <c r="CY43" s="454">
        <f t="shared" si="15"/>
        <v>0</v>
      </c>
      <c r="CZ43" s="454">
        <f t="shared" si="15"/>
        <v>0</v>
      </c>
      <c r="DA43" s="454">
        <f t="shared" si="15"/>
        <v>0</v>
      </c>
      <c r="DB43" s="454">
        <f t="shared" si="15"/>
        <v>0</v>
      </c>
      <c r="DC43" s="454">
        <f t="shared" si="15"/>
        <v>15</v>
      </c>
      <c r="DD43" s="454">
        <f t="shared" si="15"/>
        <v>14</v>
      </c>
      <c r="DE43" s="454">
        <f t="shared" si="15"/>
        <v>6</v>
      </c>
      <c r="DF43" s="454">
        <f t="shared" si="15"/>
        <v>3</v>
      </c>
      <c r="DG43" s="454">
        <f t="shared" si="15"/>
        <v>0</v>
      </c>
      <c r="DH43" s="454">
        <f t="shared" si="15"/>
        <v>0</v>
      </c>
      <c r="DI43" s="454">
        <f t="shared" si="15"/>
        <v>0</v>
      </c>
      <c r="DJ43" s="454">
        <f t="shared" si="15"/>
        <v>0</v>
      </c>
      <c r="DK43" s="454">
        <f t="shared" si="15"/>
        <v>28</v>
      </c>
      <c r="DL43" s="454">
        <f t="shared" si="15"/>
        <v>13</v>
      </c>
      <c r="DM43" s="454">
        <f t="shared" si="15"/>
        <v>3</v>
      </c>
      <c r="DN43" s="454">
        <f t="shared" si="15"/>
        <v>2</v>
      </c>
      <c r="DO43" s="454">
        <f t="shared" si="15"/>
        <v>0</v>
      </c>
      <c r="DP43" s="454">
        <f t="shared" si="15"/>
        <v>0</v>
      </c>
      <c r="DQ43" s="454">
        <f t="shared" si="15"/>
        <v>0</v>
      </c>
      <c r="DR43" s="454">
        <f t="shared" si="15"/>
        <v>0</v>
      </c>
      <c r="DS43" s="454">
        <f t="shared" si="15"/>
        <v>54</v>
      </c>
      <c r="DT43" s="454">
        <f t="shared" si="15"/>
        <v>17</v>
      </c>
      <c r="DU43" s="454">
        <f t="shared" si="15"/>
        <v>5</v>
      </c>
      <c r="DV43" s="454">
        <f t="shared" si="15"/>
        <v>4</v>
      </c>
      <c r="DW43" s="454">
        <f t="shared" si="15"/>
        <v>2</v>
      </c>
      <c r="DX43" s="454">
        <f t="shared" si="15"/>
        <v>2</v>
      </c>
      <c r="DY43" s="454">
        <f t="shared" si="15"/>
        <v>0</v>
      </c>
      <c r="DZ43" s="454">
        <f t="shared" si="15"/>
        <v>0</v>
      </c>
      <c r="EA43" s="454">
        <f t="shared" si="15"/>
        <v>5</v>
      </c>
      <c r="EB43" s="454">
        <f t="shared" ref="EB43:GM43" si="16">SUM(EB5:EB42)</f>
        <v>5</v>
      </c>
      <c r="EC43" s="454">
        <f t="shared" si="16"/>
        <v>5</v>
      </c>
      <c r="ED43" s="454">
        <f t="shared" si="16"/>
        <v>3</v>
      </c>
      <c r="EE43" s="454">
        <f t="shared" si="16"/>
        <v>0</v>
      </c>
      <c r="EF43" s="454">
        <f t="shared" si="16"/>
        <v>0</v>
      </c>
      <c r="EG43" s="454">
        <f t="shared" si="16"/>
        <v>0</v>
      </c>
      <c r="EH43" s="454">
        <f t="shared" si="16"/>
        <v>0</v>
      </c>
      <c r="EI43" s="454">
        <f t="shared" si="16"/>
        <v>32</v>
      </c>
      <c r="EJ43" s="454">
        <f t="shared" si="16"/>
        <v>16</v>
      </c>
      <c r="EK43" s="454">
        <f t="shared" si="16"/>
        <v>5</v>
      </c>
      <c r="EL43" s="454">
        <f t="shared" si="16"/>
        <v>3</v>
      </c>
      <c r="EM43" s="454">
        <f t="shared" si="16"/>
        <v>0</v>
      </c>
      <c r="EN43" s="454">
        <f t="shared" si="16"/>
        <v>0</v>
      </c>
      <c r="EO43" s="454">
        <f t="shared" si="16"/>
        <v>0</v>
      </c>
      <c r="EP43" s="454">
        <f t="shared" si="16"/>
        <v>0</v>
      </c>
      <c r="EQ43" s="454">
        <f t="shared" si="16"/>
        <v>22</v>
      </c>
      <c r="ER43" s="454">
        <f t="shared" si="16"/>
        <v>1</v>
      </c>
      <c r="ES43" s="454">
        <f t="shared" si="16"/>
        <v>0</v>
      </c>
      <c r="ET43" s="454">
        <f t="shared" si="16"/>
        <v>0</v>
      </c>
      <c r="EU43" s="454">
        <f t="shared" si="16"/>
        <v>0</v>
      </c>
      <c r="EV43" s="454">
        <f t="shared" si="16"/>
        <v>0</v>
      </c>
      <c r="EW43" s="454">
        <f t="shared" si="16"/>
        <v>0</v>
      </c>
      <c r="EX43" s="454">
        <f t="shared" si="16"/>
        <v>0</v>
      </c>
      <c r="EY43" s="454">
        <f t="shared" si="16"/>
        <v>44</v>
      </c>
      <c r="EZ43" s="454">
        <f t="shared" si="16"/>
        <v>6</v>
      </c>
      <c r="FA43" s="454">
        <f t="shared" si="16"/>
        <v>4</v>
      </c>
      <c r="FB43" s="454">
        <f t="shared" si="16"/>
        <v>1</v>
      </c>
      <c r="FC43" s="454">
        <f t="shared" si="16"/>
        <v>0</v>
      </c>
      <c r="FD43" s="454">
        <f t="shared" si="16"/>
        <v>0</v>
      </c>
      <c r="FE43" s="454">
        <f t="shared" si="16"/>
        <v>0</v>
      </c>
      <c r="FF43" s="454">
        <f t="shared" si="16"/>
        <v>0</v>
      </c>
      <c r="FG43" s="454">
        <f t="shared" si="16"/>
        <v>7</v>
      </c>
      <c r="FH43" s="454">
        <f t="shared" si="16"/>
        <v>2</v>
      </c>
      <c r="FI43" s="454">
        <f t="shared" si="16"/>
        <v>2</v>
      </c>
      <c r="FJ43" s="454">
        <f t="shared" si="16"/>
        <v>0</v>
      </c>
      <c r="FK43" s="454">
        <f t="shared" si="16"/>
        <v>0</v>
      </c>
      <c r="FL43" s="454">
        <f t="shared" si="16"/>
        <v>0</v>
      </c>
      <c r="FM43" s="454">
        <f t="shared" si="16"/>
        <v>0</v>
      </c>
      <c r="FN43" s="454">
        <f t="shared" si="16"/>
        <v>0</v>
      </c>
      <c r="FO43" s="454">
        <f t="shared" si="16"/>
        <v>66</v>
      </c>
      <c r="FP43" s="454">
        <f t="shared" si="16"/>
        <v>21</v>
      </c>
      <c r="FQ43" s="454">
        <f t="shared" si="16"/>
        <v>0</v>
      </c>
      <c r="FR43" s="454">
        <f t="shared" si="16"/>
        <v>0</v>
      </c>
      <c r="FS43" s="454">
        <f t="shared" si="16"/>
        <v>0</v>
      </c>
      <c r="FT43" s="454">
        <f t="shared" si="16"/>
        <v>0</v>
      </c>
      <c r="FU43" s="454">
        <f t="shared" si="16"/>
        <v>0</v>
      </c>
      <c r="FV43" s="454">
        <f t="shared" si="16"/>
        <v>0</v>
      </c>
      <c r="FW43" s="454">
        <f t="shared" si="16"/>
        <v>77</v>
      </c>
      <c r="FX43" s="454">
        <f t="shared" si="16"/>
        <v>24</v>
      </c>
      <c r="FY43" s="454">
        <f t="shared" si="16"/>
        <v>7</v>
      </c>
      <c r="FZ43" s="454">
        <f t="shared" si="16"/>
        <v>6</v>
      </c>
      <c r="GA43" s="454">
        <f t="shared" si="16"/>
        <v>0</v>
      </c>
      <c r="GB43" s="454">
        <f t="shared" si="16"/>
        <v>0</v>
      </c>
      <c r="GC43" s="454">
        <f t="shared" si="16"/>
        <v>0</v>
      </c>
      <c r="GD43" s="454">
        <f t="shared" si="16"/>
        <v>0</v>
      </c>
      <c r="GE43" s="454">
        <f t="shared" si="16"/>
        <v>26</v>
      </c>
      <c r="GF43" s="454">
        <f t="shared" si="16"/>
        <v>5</v>
      </c>
      <c r="GG43" s="454">
        <f t="shared" si="16"/>
        <v>0</v>
      </c>
      <c r="GH43" s="454">
        <f t="shared" si="16"/>
        <v>0</v>
      </c>
      <c r="GI43" s="454">
        <f t="shared" si="16"/>
        <v>0</v>
      </c>
      <c r="GJ43" s="454">
        <f t="shared" si="16"/>
        <v>0</v>
      </c>
      <c r="GK43" s="454">
        <f t="shared" si="16"/>
        <v>0</v>
      </c>
      <c r="GL43" s="454">
        <f t="shared" si="16"/>
        <v>0</v>
      </c>
      <c r="GM43" s="454">
        <f t="shared" si="16"/>
        <v>985</v>
      </c>
      <c r="GN43" s="454">
        <f t="shared" ref="GN43:GW43" si="17">SUM(GN5:GN42)</f>
        <v>278</v>
      </c>
      <c r="GO43" s="70">
        <f>AVERAGE(GO5:GO42)</f>
        <v>0.26222074058218747</v>
      </c>
      <c r="GP43" s="454">
        <f t="shared" si="17"/>
        <v>55</v>
      </c>
      <c r="GQ43" s="454">
        <f t="shared" si="17"/>
        <v>24</v>
      </c>
      <c r="GR43" s="70">
        <f>AVERAGE(GR5:GR42)</f>
        <v>0.20146198830409356</v>
      </c>
      <c r="GS43" s="454">
        <f t="shared" si="17"/>
        <v>2</v>
      </c>
      <c r="GT43" s="454">
        <f t="shared" si="17"/>
        <v>2</v>
      </c>
      <c r="GU43" s="70">
        <f>AVERAGE(GU5:GU42)</f>
        <v>5.2631578947368418E-2</v>
      </c>
      <c r="GV43" s="454">
        <f t="shared" si="17"/>
        <v>0</v>
      </c>
      <c r="GW43" s="454">
        <f t="shared" si="17"/>
        <v>0</v>
      </c>
      <c r="GX43" s="70">
        <f>AVERAGE(GX5:GX42)</f>
        <v>0</v>
      </c>
    </row>
    <row r="46" spans="1:207" ht="21" customHeight="1" x14ac:dyDescent="0.25">
      <c r="A46" s="190">
        <v>1</v>
      </c>
      <c r="B46" s="102" t="s">
        <v>174</v>
      </c>
      <c r="C46" s="95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  <c r="BP46" s="313"/>
      <c r="BQ46" s="313"/>
      <c r="BR46" s="313"/>
      <c r="BS46" s="313"/>
      <c r="BT46" s="313"/>
      <c r="BU46" s="313"/>
      <c r="BV46" s="313"/>
      <c r="BW46" s="313"/>
      <c r="BX46" s="313"/>
      <c r="BY46" s="313"/>
      <c r="BZ46" s="313"/>
      <c r="CA46" s="313"/>
      <c r="CB46" s="313"/>
      <c r="CC46" s="313"/>
      <c r="CD46" s="313"/>
      <c r="CE46" s="313"/>
      <c r="CF46" s="313"/>
      <c r="CG46" s="313"/>
      <c r="CH46" s="313"/>
      <c r="CI46" s="313"/>
      <c r="CJ46" s="313"/>
      <c r="CK46" s="313"/>
      <c r="CL46" s="313"/>
      <c r="CM46" s="313">
        <v>0</v>
      </c>
      <c r="CN46" s="313">
        <v>0</v>
      </c>
      <c r="CO46" s="313"/>
      <c r="CP46" s="313"/>
      <c r="CQ46" s="313"/>
      <c r="CR46" s="313"/>
      <c r="CS46" s="313"/>
      <c r="CT46" s="313"/>
      <c r="CU46" s="313">
        <v>0</v>
      </c>
      <c r="CV46" s="313">
        <v>0</v>
      </c>
      <c r="CW46" s="313"/>
      <c r="CX46" s="313"/>
      <c r="CY46" s="313"/>
      <c r="CZ46" s="313"/>
      <c r="DA46" s="313"/>
      <c r="DB46" s="313"/>
      <c r="DC46" s="313"/>
      <c r="DD46" s="313"/>
      <c r="DE46" s="313"/>
      <c r="DF46" s="313"/>
      <c r="DG46" s="313"/>
      <c r="DH46" s="313"/>
      <c r="DI46" s="313"/>
      <c r="DJ46" s="313"/>
      <c r="DK46" s="313"/>
      <c r="DL46" s="313"/>
      <c r="DM46" s="313"/>
      <c r="DN46" s="313"/>
      <c r="DO46" s="313"/>
      <c r="DP46" s="313"/>
      <c r="DQ46" s="313"/>
      <c r="DR46" s="313"/>
      <c r="DS46" s="313"/>
      <c r="DT46" s="313"/>
      <c r="DU46" s="313"/>
      <c r="DV46" s="313"/>
      <c r="DW46" s="313"/>
      <c r="DX46" s="313"/>
      <c r="DY46" s="313"/>
      <c r="DZ46" s="313"/>
      <c r="EA46" s="313"/>
      <c r="EB46" s="313"/>
      <c r="EC46" s="313"/>
      <c r="ED46" s="313"/>
      <c r="EE46" s="313"/>
      <c r="EF46" s="313"/>
      <c r="EG46" s="313"/>
      <c r="EH46" s="313"/>
      <c r="EI46" s="313"/>
      <c r="EJ46" s="313"/>
      <c r="EK46" s="313"/>
      <c r="EL46" s="313"/>
      <c r="EM46" s="313"/>
      <c r="EN46" s="313"/>
      <c r="EO46" s="313"/>
      <c r="EP46" s="313"/>
      <c r="EQ46" s="313"/>
      <c r="ER46" s="313"/>
      <c r="ES46" s="313"/>
      <c r="ET46" s="313"/>
      <c r="EU46" s="313"/>
      <c r="EV46" s="313"/>
      <c r="EW46" s="313"/>
      <c r="EX46" s="313"/>
      <c r="EY46" s="313"/>
      <c r="EZ46" s="313"/>
      <c r="FA46" s="313"/>
      <c r="FB46" s="313"/>
      <c r="FC46" s="313"/>
      <c r="FD46" s="313"/>
      <c r="FE46" s="313"/>
      <c r="FF46" s="313"/>
      <c r="FG46" s="313"/>
      <c r="FH46" s="313"/>
      <c r="FI46" s="313"/>
      <c r="FJ46" s="313"/>
      <c r="FK46" s="313"/>
      <c r="FL46" s="313"/>
      <c r="FM46" s="313"/>
      <c r="FN46" s="313"/>
      <c r="FO46" s="313"/>
      <c r="FP46" s="313"/>
      <c r="FQ46" s="313"/>
      <c r="FR46" s="313"/>
      <c r="FS46" s="313"/>
      <c r="FT46" s="313"/>
      <c r="FU46" s="313"/>
      <c r="FV46" s="313"/>
      <c r="FW46" s="313"/>
      <c r="FX46" s="313"/>
      <c r="FY46" s="313"/>
      <c r="FZ46" s="313"/>
      <c r="GA46" s="313"/>
      <c r="GB46" s="313"/>
      <c r="GC46" s="313"/>
      <c r="GD46" s="313"/>
      <c r="GE46" s="313"/>
      <c r="GF46" s="313"/>
      <c r="GG46" s="313"/>
      <c r="GH46" s="313"/>
      <c r="GI46" s="313"/>
      <c r="GJ46" s="313"/>
      <c r="GK46" s="313"/>
      <c r="GL46" s="313"/>
      <c r="GM46" s="319">
        <f t="shared" ref="GM46:GN48" si="18">C46+K46+S46+AA46+AI46+AQ46+AY46+BG46+BO46+BW46+CE46+CM46+CU46+DC46+DK46+DS46+EA46+EI46+EQ46+EY46+FG46+FO46+FW46+GE46</f>
        <v>0</v>
      </c>
      <c r="GN46" s="319">
        <f t="shared" si="18"/>
        <v>0</v>
      </c>
      <c r="GO46" s="319">
        <v>0</v>
      </c>
      <c r="GP46" s="319">
        <f t="shared" ref="GP46:GQ48" si="19">GG46+FY46+E46+M46+U46+AC46+AK46+AS46+BA46+BI46+BQ46+BY46+CG46+CO46+CW46+DE46+DM46+DU46+EC46+EK46+ES46+FA46+FI46+FQ46</f>
        <v>0</v>
      </c>
      <c r="GQ46" s="319">
        <f t="shared" si="19"/>
        <v>0</v>
      </c>
      <c r="GR46" s="319">
        <v>0</v>
      </c>
      <c r="GS46" s="319">
        <f t="shared" ref="GS46:GT48" si="20">G46+O46+W46+AE46+AM46+AU46+BC46+BK46+BS46+CA46+CI46+CQ46+CY46+DG46+DO46+DW46+EE46+EM46+EU46+FC46+FK46+FS46+GA46+GI46</f>
        <v>0</v>
      </c>
      <c r="GT46" s="319">
        <f t="shared" si="20"/>
        <v>0</v>
      </c>
      <c r="GU46" s="319">
        <v>0</v>
      </c>
      <c r="GV46" s="319">
        <f t="shared" ref="GV46:GW48" si="21">I46+Q46+Y46+AG46+AO46+AW46+BE46+BM46+BU46+CC46+CK46+CS46+DA46+DI46+DQ46+DY46+EG46+EO46+EW46+FE46+FM46+FU46+GC46+GK46</f>
        <v>0</v>
      </c>
      <c r="GW46" s="319">
        <f t="shared" si="21"/>
        <v>0</v>
      </c>
      <c r="GX46" s="319">
        <v>0</v>
      </c>
    </row>
    <row r="47" spans="1:207" ht="15.75" x14ac:dyDescent="0.25">
      <c r="A47" s="190">
        <v>2</v>
      </c>
      <c r="B47" s="102" t="s">
        <v>175</v>
      </c>
      <c r="C47" s="95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  <c r="BP47" s="313"/>
      <c r="BQ47" s="313"/>
      <c r="BR47" s="313"/>
      <c r="BS47" s="313"/>
      <c r="BT47" s="313"/>
      <c r="BU47" s="313"/>
      <c r="BV47" s="313"/>
      <c r="BW47" s="313"/>
      <c r="BX47" s="313"/>
      <c r="BY47" s="313"/>
      <c r="BZ47" s="313"/>
      <c r="CA47" s="313"/>
      <c r="CB47" s="313"/>
      <c r="CC47" s="313"/>
      <c r="CD47" s="313"/>
      <c r="CE47" s="313"/>
      <c r="CF47" s="313"/>
      <c r="CG47" s="313"/>
      <c r="CH47" s="313"/>
      <c r="CI47" s="313"/>
      <c r="CJ47" s="313"/>
      <c r="CK47" s="313"/>
      <c r="CL47" s="313"/>
      <c r="CM47" s="313">
        <v>0</v>
      </c>
      <c r="CN47" s="313">
        <v>0</v>
      </c>
      <c r="CO47" s="313"/>
      <c r="CP47" s="313"/>
      <c r="CQ47" s="313"/>
      <c r="CR47" s="313"/>
      <c r="CS47" s="313"/>
      <c r="CT47" s="313"/>
      <c r="CU47" s="313">
        <v>0</v>
      </c>
      <c r="CV47" s="313">
        <v>0</v>
      </c>
      <c r="CW47" s="313"/>
      <c r="CX47" s="313"/>
      <c r="CY47" s="313"/>
      <c r="CZ47" s="313"/>
      <c r="DA47" s="313"/>
      <c r="DB47" s="313"/>
      <c r="DC47" s="313"/>
      <c r="DD47" s="313"/>
      <c r="DE47" s="313"/>
      <c r="DF47" s="313"/>
      <c r="DG47" s="313"/>
      <c r="DH47" s="313"/>
      <c r="DI47" s="313"/>
      <c r="DJ47" s="313"/>
      <c r="DK47" s="313"/>
      <c r="DL47" s="313"/>
      <c r="DM47" s="313"/>
      <c r="DN47" s="313"/>
      <c r="DO47" s="313"/>
      <c r="DP47" s="313"/>
      <c r="DQ47" s="313"/>
      <c r="DR47" s="313"/>
      <c r="DS47" s="313"/>
      <c r="DT47" s="313"/>
      <c r="DU47" s="313"/>
      <c r="DV47" s="313"/>
      <c r="DW47" s="313"/>
      <c r="DX47" s="313"/>
      <c r="DY47" s="313"/>
      <c r="DZ47" s="313"/>
      <c r="EA47" s="313"/>
      <c r="EB47" s="313"/>
      <c r="EC47" s="313"/>
      <c r="ED47" s="313"/>
      <c r="EE47" s="313"/>
      <c r="EF47" s="313"/>
      <c r="EG47" s="313"/>
      <c r="EH47" s="313"/>
      <c r="EI47" s="313"/>
      <c r="EJ47" s="313"/>
      <c r="EK47" s="313"/>
      <c r="EL47" s="313"/>
      <c r="EM47" s="313"/>
      <c r="EN47" s="313"/>
      <c r="EO47" s="313"/>
      <c r="EP47" s="313"/>
      <c r="EQ47" s="313"/>
      <c r="ER47" s="313"/>
      <c r="ES47" s="313"/>
      <c r="ET47" s="313"/>
      <c r="EU47" s="313"/>
      <c r="EV47" s="313"/>
      <c r="EW47" s="313"/>
      <c r="EX47" s="313"/>
      <c r="EY47" s="313"/>
      <c r="EZ47" s="313"/>
      <c r="FA47" s="313"/>
      <c r="FB47" s="313"/>
      <c r="FC47" s="313"/>
      <c r="FD47" s="313"/>
      <c r="FE47" s="313"/>
      <c r="FF47" s="313"/>
      <c r="FG47" s="313"/>
      <c r="FH47" s="313"/>
      <c r="FI47" s="313"/>
      <c r="FJ47" s="313"/>
      <c r="FK47" s="313"/>
      <c r="FL47" s="313"/>
      <c r="FM47" s="313"/>
      <c r="FN47" s="313"/>
      <c r="FO47" s="313"/>
      <c r="FP47" s="313"/>
      <c r="FQ47" s="313"/>
      <c r="FR47" s="313"/>
      <c r="FS47" s="313"/>
      <c r="FT47" s="313"/>
      <c r="FU47" s="313"/>
      <c r="FV47" s="313"/>
      <c r="FW47" s="313"/>
      <c r="FX47" s="313"/>
      <c r="FY47" s="313"/>
      <c r="FZ47" s="313"/>
      <c r="GA47" s="313"/>
      <c r="GB47" s="313"/>
      <c r="GC47" s="313"/>
      <c r="GD47" s="313"/>
      <c r="GE47" s="313"/>
      <c r="GF47" s="313"/>
      <c r="GG47" s="313"/>
      <c r="GH47" s="313"/>
      <c r="GI47" s="313"/>
      <c r="GJ47" s="313"/>
      <c r="GK47" s="313"/>
      <c r="GL47" s="313"/>
      <c r="GM47" s="319">
        <f t="shared" si="18"/>
        <v>0</v>
      </c>
      <c r="GN47" s="319">
        <f t="shared" si="18"/>
        <v>0</v>
      </c>
      <c r="GO47" s="319">
        <v>0</v>
      </c>
      <c r="GP47" s="319">
        <f t="shared" si="19"/>
        <v>0</v>
      </c>
      <c r="GQ47" s="319">
        <f t="shared" si="19"/>
        <v>0</v>
      </c>
      <c r="GR47" s="319">
        <v>0</v>
      </c>
      <c r="GS47" s="319">
        <f t="shared" si="20"/>
        <v>0</v>
      </c>
      <c r="GT47" s="319">
        <f t="shared" si="20"/>
        <v>0</v>
      </c>
      <c r="GU47" s="319">
        <v>0</v>
      </c>
      <c r="GV47" s="319">
        <f t="shared" si="21"/>
        <v>0</v>
      </c>
      <c r="GW47" s="319">
        <f t="shared" si="21"/>
        <v>0</v>
      </c>
      <c r="GX47" s="319">
        <v>0</v>
      </c>
    </row>
    <row r="48" spans="1:207" ht="25.5" x14ac:dyDescent="0.25">
      <c r="A48" s="190">
        <v>3</v>
      </c>
      <c r="B48" s="102" t="s">
        <v>176</v>
      </c>
      <c r="C48" s="95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20"/>
      <c r="AJ48" s="320"/>
      <c r="AK48" s="320"/>
      <c r="AL48" s="320"/>
      <c r="AM48" s="320"/>
      <c r="AN48" s="320"/>
      <c r="AO48" s="320"/>
      <c r="AP48" s="320"/>
      <c r="AQ48" s="320"/>
      <c r="AR48" s="320"/>
      <c r="AS48" s="320"/>
      <c r="AT48" s="320"/>
      <c r="AU48" s="320"/>
      <c r="AV48" s="320"/>
      <c r="AW48" s="320"/>
      <c r="AX48" s="320"/>
      <c r="AY48" s="320"/>
      <c r="AZ48" s="320"/>
      <c r="BA48" s="320"/>
      <c r="BB48" s="320"/>
      <c r="BC48" s="320"/>
      <c r="BD48" s="320"/>
      <c r="BE48" s="320"/>
      <c r="BF48" s="320"/>
      <c r="BG48" s="320"/>
      <c r="BH48" s="320"/>
      <c r="BI48" s="320"/>
      <c r="BJ48" s="320"/>
      <c r="BK48" s="320"/>
      <c r="BL48" s="320"/>
      <c r="BM48" s="320"/>
      <c r="BN48" s="320"/>
      <c r="BO48" s="320"/>
      <c r="BP48" s="320"/>
      <c r="BQ48" s="320"/>
      <c r="BR48" s="320"/>
      <c r="BS48" s="320"/>
      <c r="BT48" s="320"/>
      <c r="BU48" s="320"/>
      <c r="BV48" s="320"/>
      <c r="BW48" s="320"/>
      <c r="BX48" s="320"/>
      <c r="BY48" s="320"/>
      <c r="BZ48" s="320"/>
      <c r="CA48" s="320"/>
      <c r="CB48" s="320"/>
      <c r="CC48" s="320"/>
      <c r="CD48" s="320"/>
      <c r="CE48" s="320"/>
      <c r="CF48" s="320"/>
      <c r="CG48" s="320"/>
      <c r="CH48" s="320"/>
      <c r="CI48" s="320"/>
      <c r="CJ48" s="320"/>
      <c r="CK48" s="320"/>
      <c r="CL48" s="320"/>
      <c r="CM48" s="320">
        <v>0</v>
      </c>
      <c r="CN48" s="320">
        <v>0</v>
      </c>
      <c r="CO48" s="320"/>
      <c r="CP48" s="320"/>
      <c r="CQ48" s="320"/>
      <c r="CR48" s="320"/>
      <c r="CS48" s="320"/>
      <c r="CT48" s="320"/>
      <c r="CU48" s="320">
        <v>0</v>
      </c>
      <c r="CV48" s="320">
        <v>0</v>
      </c>
      <c r="CW48" s="320"/>
      <c r="CX48" s="320"/>
      <c r="CY48" s="320"/>
      <c r="CZ48" s="320"/>
      <c r="DA48" s="320"/>
      <c r="DB48" s="320"/>
      <c r="DC48" s="320"/>
      <c r="DD48" s="320"/>
      <c r="DE48" s="320"/>
      <c r="DF48" s="320"/>
      <c r="DG48" s="320"/>
      <c r="DH48" s="320"/>
      <c r="DI48" s="320"/>
      <c r="DJ48" s="320"/>
      <c r="DK48" s="320"/>
      <c r="DL48" s="320"/>
      <c r="DM48" s="320"/>
      <c r="DN48" s="320"/>
      <c r="DO48" s="320"/>
      <c r="DP48" s="320"/>
      <c r="DQ48" s="320"/>
      <c r="DR48" s="320"/>
      <c r="DS48" s="320"/>
      <c r="DT48" s="320"/>
      <c r="DU48" s="320"/>
      <c r="DV48" s="320"/>
      <c r="DW48" s="320"/>
      <c r="DX48" s="320"/>
      <c r="DY48" s="320"/>
      <c r="DZ48" s="320"/>
      <c r="EA48" s="320"/>
      <c r="EB48" s="320"/>
      <c r="EC48" s="320"/>
      <c r="ED48" s="320"/>
      <c r="EE48" s="320"/>
      <c r="EF48" s="320"/>
      <c r="EG48" s="320"/>
      <c r="EH48" s="320"/>
      <c r="EI48" s="320"/>
      <c r="EJ48" s="320"/>
      <c r="EK48" s="320"/>
      <c r="EL48" s="320"/>
      <c r="EM48" s="320"/>
      <c r="EN48" s="320"/>
      <c r="EO48" s="320"/>
      <c r="EP48" s="320"/>
      <c r="EQ48" s="320"/>
      <c r="ER48" s="320"/>
      <c r="ES48" s="320"/>
      <c r="ET48" s="320"/>
      <c r="EU48" s="320"/>
      <c r="EV48" s="320"/>
      <c r="EW48" s="320"/>
      <c r="EX48" s="320"/>
      <c r="EY48" s="320"/>
      <c r="EZ48" s="320"/>
      <c r="FA48" s="320"/>
      <c r="FB48" s="320"/>
      <c r="FC48" s="320"/>
      <c r="FD48" s="320"/>
      <c r="FE48" s="320"/>
      <c r="FF48" s="320"/>
      <c r="FG48" s="320"/>
      <c r="FH48" s="320"/>
      <c r="FI48" s="320"/>
      <c r="FJ48" s="320"/>
      <c r="FK48" s="320"/>
      <c r="FL48" s="320"/>
      <c r="FM48" s="320"/>
      <c r="FN48" s="320"/>
      <c r="FO48" s="320"/>
      <c r="FP48" s="320"/>
      <c r="FQ48" s="320"/>
      <c r="FR48" s="320"/>
      <c r="FS48" s="320"/>
      <c r="FT48" s="320"/>
      <c r="FU48" s="320"/>
      <c r="FV48" s="320"/>
      <c r="FW48" s="320"/>
      <c r="FX48" s="320"/>
      <c r="FY48" s="320"/>
      <c r="FZ48" s="320"/>
      <c r="GA48" s="320"/>
      <c r="GB48" s="320"/>
      <c r="GC48" s="320"/>
      <c r="GD48" s="320"/>
      <c r="GE48" s="320"/>
      <c r="GF48" s="320"/>
      <c r="GG48" s="320"/>
      <c r="GH48" s="320"/>
      <c r="GI48" s="320"/>
      <c r="GJ48" s="320"/>
      <c r="GK48" s="320"/>
      <c r="GL48" s="320"/>
      <c r="GM48" s="319">
        <f t="shared" si="18"/>
        <v>0</v>
      </c>
      <c r="GN48" s="319">
        <f t="shared" si="18"/>
        <v>0</v>
      </c>
      <c r="GO48" s="319">
        <v>0</v>
      </c>
      <c r="GP48" s="319">
        <f t="shared" si="19"/>
        <v>0</v>
      </c>
      <c r="GQ48" s="319">
        <f t="shared" si="19"/>
        <v>0</v>
      </c>
      <c r="GR48" s="319">
        <v>0</v>
      </c>
      <c r="GS48" s="319">
        <f t="shared" si="20"/>
        <v>0</v>
      </c>
      <c r="GT48" s="319">
        <f t="shared" si="20"/>
        <v>0</v>
      </c>
      <c r="GU48" s="319">
        <v>0</v>
      </c>
      <c r="GV48" s="319">
        <f t="shared" si="21"/>
        <v>0</v>
      </c>
      <c r="GW48" s="319">
        <f t="shared" si="21"/>
        <v>0</v>
      </c>
      <c r="GX48" s="319">
        <v>0</v>
      </c>
    </row>
    <row r="49" spans="1:206" ht="15.75" customHeight="1" x14ac:dyDescent="0.25">
      <c r="A49" s="654" t="s">
        <v>118</v>
      </c>
      <c r="B49" s="655"/>
      <c r="C49" s="454">
        <f t="shared" ref="C49:BN49" si="22">SUM(C46:C48)</f>
        <v>0</v>
      </c>
      <c r="D49" s="454">
        <f t="shared" si="22"/>
        <v>0</v>
      </c>
      <c r="E49" s="454">
        <f t="shared" si="22"/>
        <v>0</v>
      </c>
      <c r="F49" s="454">
        <f t="shared" si="22"/>
        <v>0</v>
      </c>
      <c r="G49" s="454">
        <f t="shared" si="22"/>
        <v>0</v>
      </c>
      <c r="H49" s="454">
        <f t="shared" si="22"/>
        <v>0</v>
      </c>
      <c r="I49" s="454">
        <f t="shared" si="22"/>
        <v>0</v>
      </c>
      <c r="J49" s="454">
        <f t="shared" si="22"/>
        <v>0</v>
      </c>
      <c r="K49" s="454">
        <f t="shared" si="22"/>
        <v>0</v>
      </c>
      <c r="L49" s="454">
        <f t="shared" si="22"/>
        <v>0</v>
      </c>
      <c r="M49" s="454">
        <f t="shared" si="22"/>
        <v>0</v>
      </c>
      <c r="N49" s="454">
        <f t="shared" si="22"/>
        <v>0</v>
      </c>
      <c r="O49" s="454">
        <f t="shared" si="22"/>
        <v>0</v>
      </c>
      <c r="P49" s="454">
        <f t="shared" si="22"/>
        <v>0</v>
      </c>
      <c r="Q49" s="454">
        <f t="shared" si="22"/>
        <v>0</v>
      </c>
      <c r="R49" s="454">
        <f t="shared" si="22"/>
        <v>0</v>
      </c>
      <c r="S49" s="454">
        <f t="shared" si="22"/>
        <v>0</v>
      </c>
      <c r="T49" s="454">
        <f t="shared" si="22"/>
        <v>0</v>
      </c>
      <c r="U49" s="454">
        <f t="shared" si="22"/>
        <v>0</v>
      </c>
      <c r="V49" s="454">
        <f t="shared" si="22"/>
        <v>0</v>
      </c>
      <c r="W49" s="454">
        <f t="shared" si="22"/>
        <v>0</v>
      </c>
      <c r="X49" s="454">
        <f t="shared" si="22"/>
        <v>0</v>
      </c>
      <c r="Y49" s="454">
        <f t="shared" si="22"/>
        <v>0</v>
      </c>
      <c r="Z49" s="454">
        <f t="shared" si="22"/>
        <v>0</v>
      </c>
      <c r="AA49" s="454">
        <f t="shared" si="22"/>
        <v>0</v>
      </c>
      <c r="AB49" s="454">
        <f t="shared" si="22"/>
        <v>0</v>
      </c>
      <c r="AC49" s="454">
        <f t="shared" si="22"/>
        <v>0</v>
      </c>
      <c r="AD49" s="454">
        <f t="shared" si="22"/>
        <v>0</v>
      </c>
      <c r="AE49" s="454">
        <f t="shared" si="22"/>
        <v>0</v>
      </c>
      <c r="AF49" s="454">
        <f t="shared" si="22"/>
        <v>0</v>
      </c>
      <c r="AG49" s="454">
        <f t="shared" si="22"/>
        <v>0</v>
      </c>
      <c r="AH49" s="454">
        <f t="shared" si="22"/>
        <v>0</v>
      </c>
      <c r="AI49" s="454">
        <f t="shared" si="22"/>
        <v>0</v>
      </c>
      <c r="AJ49" s="454">
        <f t="shared" si="22"/>
        <v>0</v>
      </c>
      <c r="AK49" s="454">
        <f t="shared" si="22"/>
        <v>0</v>
      </c>
      <c r="AL49" s="454">
        <f t="shared" si="22"/>
        <v>0</v>
      </c>
      <c r="AM49" s="454">
        <f t="shared" si="22"/>
        <v>0</v>
      </c>
      <c r="AN49" s="454">
        <f t="shared" si="22"/>
        <v>0</v>
      </c>
      <c r="AO49" s="454">
        <f t="shared" si="22"/>
        <v>0</v>
      </c>
      <c r="AP49" s="454">
        <f t="shared" si="22"/>
        <v>0</v>
      </c>
      <c r="AQ49" s="454">
        <f t="shared" si="22"/>
        <v>0</v>
      </c>
      <c r="AR49" s="454">
        <f t="shared" si="22"/>
        <v>0</v>
      </c>
      <c r="AS49" s="454">
        <f t="shared" si="22"/>
        <v>0</v>
      </c>
      <c r="AT49" s="454">
        <f t="shared" si="22"/>
        <v>0</v>
      </c>
      <c r="AU49" s="454">
        <f t="shared" si="22"/>
        <v>0</v>
      </c>
      <c r="AV49" s="454">
        <f t="shared" si="22"/>
        <v>0</v>
      </c>
      <c r="AW49" s="454">
        <f t="shared" si="22"/>
        <v>0</v>
      </c>
      <c r="AX49" s="454">
        <f t="shared" si="22"/>
        <v>0</v>
      </c>
      <c r="AY49" s="454">
        <f t="shared" si="22"/>
        <v>0</v>
      </c>
      <c r="AZ49" s="454">
        <f t="shared" si="22"/>
        <v>0</v>
      </c>
      <c r="BA49" s="454">
        <f t="shared" si="22"/>
        <v>0</v>
      </c>
      <c r="BB49" s="454">
        <f t="shared" si="22"/>
        <v>0</v>
      </c>
      <c r="BC49" s="454">
        <f t="shared" si="22"/>
        <v>0</v>
      </c>
      <c r="BD49" s="454">
        <f t="shared" si="22"/>
        <v>0</v>
      </c>
      <c r="BE49" s="454">
        <f t="shared" si="22"/>
        <v>0</v>
      </c>
      <c r="BF49" s="454">
        <f t="shared" si="22"/>
        <v>0</v>
      </c>
      <c r="BG49" s="454">
        <f t="shared" si="22"/>
        <v>0</v>
      </c>
      <c r="BH49" s="454">
        <f t="shared" si="22"/>
        <v>0</v>
      </c>
      <c r="BI49" s="454">
        <f t="shared" si="22"/>
        <v>0</v>
      </c>
      <c r="BJ49" s="454">
        <f t="shared" si="22"/>
        <v>0</v>
      </c>
      <c r="BK49" s="454">
        <f t="shared" si="22"/>
        <v>0</v>
      </c>
      <c r="BL49" s="454">
        <f t="shared" si="22"/>
        <v>0</v>
      </c>
      <c r="BM49" s="454">
        <f t="shared" si="22"/>
        <v>0</v>
      </c>
      <c r="BN49" s="454">
        <f t="shared" si="22"/>
        <v>0</v>
      </c>
      <c r="BO49" s="454">
        <f t="shared" ref="BO49:DZ49" si="23">SUM(BO46:BO48)</f>
        <v>0</v>
      </c>
      <c r="BP49" s="454">
        <f t="shared" si="23"/>
        <v>0</v>
      </c>
      <c r="BQ49" s="454">
        <f t="shared" si="23"/>
        <v>0</v>
      </c>
      <c r="BR49" s="454">
        <f t="shared" si="23"/>
        <v>0</v>
      </c>
      <c r="BS49" s="454">
        <f t="shared" si="23"/>
        <v>0</v>
      </c>
      <c r="BT49" s="454">
        <f t="shared" si="23"/>
        <v>0</v>
      </c>
      <c r="BU49" s="454">
        <f t="shared" si="23"/>
        <v>0</v>
      </c>
      <c r="BV49" s="454">
        <f t="shared" si="23"/>
        <v>0</v>
      </c>
      <c r="BW49" s="454">
        <f t="shared" si="23"/>
        <v>0</v>
      </c>
      <c r="BX49" s="454">
        <f t="shared" si="23"/>
        <v>0</v>
      </c>
      <c r="BY49" s="454">
        <f t="shared" si="23"/>
        <v>0</v>
      </c>
      <c r="BZ49" s="454">
        <f t="shared" si="23"/>
        <v>0</v>
      </c>
      <c r="CA49" s="454">
        <f t="shared" si="23"/>
        <v>0</v>
      </c>
      <c r="CB49" s="454">
        <f t="shared" si="23"/>
        <v>0</v>
      </c>
      <c r="CC49" s="454">
        <f t="shared" si="23"/>
        <v>0</v>
      </c>
      <c r="CD49" s="454">
        <f t="shared" si="23"/>
        <v>0</v>
      </c>
      <c r="CE49" s="454">
        <f t="shared" si="23"/>
        <v>0</v>
      </c>
      <c r="CF49" s="454">
        <f t="shared" si="23"/>
        <v>0</v>
      </c>
      <c r="CG49" s="454">
        <f t="shared" si="23"/>
        <v>0</v>
      </c>
      <c r="CH49" s="454">
        <f t="shared" si="23"/>
        <v>0</v>
      </c>
      <c r="CI49" s="454">
        <f t="shared" si="23"/>
        <v>0</v>
      </c>
      <c r="CJ49" s="454">
        <f t="shared" si="23"/>
        <v>0</v>
      </c>
      <c r="CK49" s="454">
        <f t="shared" si="23"/>
        <v>0</v>
      </c>
      <c r="CL49" s="454">
        <f t="shared" si="23"/>
        <v>0</v>
      </c>
      <c r="CM49" s="454">
        <f t="shared" si="23"/>
        <v>0</v>
      </c>
      <c r="CN49" s="454">
        <f t="shared" si="23"/>
        <v>0</v>
      </c>
      <c r="CO49" s="454">
        <f t="shared" si="23"/>
        <v>0</v>
      </c>
      <c r="CP49" s="454">
        <f t="shared" si="23"/>
        <v>0</v>
      </c>
      <c r="CQ49" s="454">
        <f t="shared" si="23"/>
        <v>0</v>
      </c>
      <c r="CR49" s="454">
        <f t="shared" si="23"/>
        <v>0</v>
      </c>
      <c r="CS49" s="454">
        <f t="shared" si="23"/>
        <v>0</v>
      </c>
      <c r="CT49" s="454">
        <f t="shared" si="23"/>
        <v>0</v>
      </c>
      <c r="CU49" s="454">
        <f t="shared" si="23"/>
        <v>0</v>
      </c>
      <c r="CV49" s="454">
        <f t="shared" si="23"/>
        <v>0</v>
      </c>
      <c r="CW49" s="454">
        <f t="shared" si="23"/>
        <v>0</v>
      </c>
      <c r="CX49" s="454">
        <f t="shared" si="23"/>
        <v>0</v>
      </c>
      <c r="CY49" s="454">
        <f t="shared" si="23"/>
        <v>0</v>
      </c>
      <c r="CZ49" s="454">
        <f t="shared" si="23"/>
        <v>0</v>
      </c>
      <c r="DA49" s="454">
        <f t="shared" si="23"/>
        <v>0</v>
      </c>
      <c r="DB49" s="454">
        <f t="shared" si="23"/>
        <v>0</v>
      </c>
      <c r="DC49" s="454">
        <f t="shared" si="23"/>
        <v>0</v>
      </c>
      <c r="DD49" s="454">
        <f t="shared" si="23"/>
        <v>0</v>
      </c>
      <c r="DE49" s="454">
        <f t="shared" si="23"/>
        <v>0</v>
      </c>
      <c r="DF49" s="454">
        <f t="shared" si="23"/>
        <v>0</v>
      </c>
      <c r="DG49" s="454">
        <f t="shared" si="23"/>
        <v>0</v>
      </c>
      <c r="DH49" s="454">
        <f t="shared" si="23"/>
        <v>0</v>
      </c>
      <c r="DI49" s="454">
        <f t="shared" si="23"/>
        <v>0</v>
      </c>
      <c r="DJ49" s="454">
        <f t="shared" si="23"/>
        <v>0</v>
      </c>
      <c r="DK49" s="454">
        <f t="shared" si="23"/>
        <v>0</v>
      </c>
      <c r="DL49" s="454">
        <f t="shared" si="23"/>
        <v>0</v>
      </c>
      <c r="DM49" s="454">
        <f t="shared" si="23"/>
        <v>0</v>
      </c>
      <c r="DN49" s="454">
        <f t="shared" si="23"/>
        <v>0</v>
      </c>
      <c r="DO49" s="454">
        <f t="shared" si="23"/>
        <v>0</v>
      </c>
      <c r="DP49" s="454">
        <f t="shared" si="23"/>
        <v>0</v>
      </c>
      <c r="DQ49" s="454">
        <f t="shared" si="23"/>
        <v>0</v>
      </c>
      <c r="DR49" s="454">
        <f t="shared" si="23"/>
        <v>0</v>
      </c>
      <c r="DS49" s="454">
        <f t="shared" si="23"/>
        <v>0</v>
      </c>
      <c r="DT49" s="454">
        <f t="shared" si="23"/>
        <v>0</v>
      </c>
      <c r="DU49" s="454">
        <f t="shared" si="23"/>
        <v>0</v>
      </c>
      <c r="DV49" s="454">
        <f t="shared" si="23"/>
        <v>0</v>
      </c>
      <c r="DW49" s="454">
        <f t="shared" si="23"/>
        <v>0</v>
      </c>
      <c r="DX49" s="454">
        <f t="shared" si="23"/>
        <v>0</v>
      </c>
      <c r="DY49" s="454">
        <f t="shared" si="23"/>
        <v>0</v>
      </c>
      <c r="DZ49" s="454">
        <f t="shared" si="23"/>
        <v>0</v>
      </c>
      <c r="EA49" s="454">
        <f t="shared" ref="EA49:GK49" si="24">SUM(EA46:EA48)</f>
        <v>0</v>
      </c>
      <c r="EB49" s="454">
        <f t="shared" si="24"/>
        <v>0</v>
      </c>
      <c r="EC49" s="454">
        <f t="shared" si="24"/>
        <v>0</v>
      </c>
      <c r="ED49" s="454">
        <f t="shared" si="24"/>
        <v>0</v>
      </c>
      <c r="EE49" s="454">
        <f t="shared" si="24"/>
        <v>0</v>
      </c>
      <c r="EF49" s="454">
        <f t="shared" si="24"/>
        <v>0</v>
      </c>
      <c r="EG49" s="454">
        <f t="shared" si="24"/>
        <v>0</v>
      </c>
      <c r="EH49" s="454">
        <f t="shared" si="24"/>
        <v>0</v>
      </c>
      <c r="EI49" s="454">
        <f t="shared" si="24"/>
        <v>0</v>
      </c>
      <c r="EJ49" s="454">
        <f t="shared" si="24"/>
        <v>0</v>
      </c>
      <c r="EK49" s="454">
        <f t="shared" si="24"/>
        <v>0</v>
      </c>
      <c r="EL49" s="454">
        <f t="shared" si="24"/>
        <v>0</v>
      </c>
      <c r="EM49" s="454">
        <f t="shared" si="24"/>
        <v>0</v>
      </c>
      <c r="EN49" s="454">
        <f t="shared" si="24"/>
        <v>0</v>
      </c>
      <c r="EO49" s="454">
        <f t="shared" si="24"/>
        <v>0</v>
      </c>
      <c r="EP49" s="454">
        <f t="shared" si="24"/>
        <v>0</v>
      </c>
      <c r="EQ49" s="454">
        <f t="shared" si="24"/>
        <v>0</v>
      </c>
      <c r="ER49" s="454">
        <f t="shared" si="24"/>
        <v>0</v>
      </c>
      <c r="ES49" s="454">
        <f t="shared" si="24"/>
        <v>0</v>
      </c>
      <c r="ET49" s="454">
        <f t="shared" si="24"/>
        <v>0</v>
      </c>
      <c r="EU49" s="454">
        <f t="shared" si="24"/>
        <v>0</v>
      </c>
      <c r="EV49" s="454">
        <f t="shared" si="24"/>
        <v>0</v>
      </c>
      <c r="EW49" s="454">
        <f t="shared" si="24"/>
        <v>0</v>
      </c>
      <c r="EX49" s="454">
        <f t="shared" si="24"/>
        <v>0</v>
      </c>
      <c r="EY49" s="454">
        <f t="shared" si="24"/>
        <v>0</v>
      </c>
      <c r="EZ49" s="454">
        <f t="shared" si="24"/>
        <v>0</v>
      </c>
      <c r="FA49" s="454">
        <f t="shared" si="24"/>
        <v>0</v>
      </c>
      <c r="FB49" s="454">
        <f t="shared" si="24"/>
        <v>0</v>
      </c>
      <c r="FC49" s="454">
        <f t="shared" si="24"/>
        <v>0</v>
      </c>
      <c r="FD49" s="454">
        <f t="shared" si="24"/>
        <v>0</v>
      </c>
      <c r="FE49" s="454">
        <f t="shared" si="24"/>
        <v>0</v>
      </c>
      <c r="FF49" s="454">
        <f t="shared" si="24"/>
        <v>0</v>
      </c>
      <c r="FG49" s="454">
        <f t="shared" si="24"/>
        <v>0</v>
      </c>
      <c r="FH49" s="454">
        <f t="shared" si="24"/>
        <v>0</v>
      </c>
      <c r="FI49" s="454">
        <f t="shared" si="24"/>
        <v>0</v>
      </c>
      <c r="FJ49" s="454">
        <f t="shared" si="24"/>
        <v>0</v>
      </c>
      <c r="FK49" s="454">
        <f t="shared" si="24"/>
        <v>0</v>
      </c>
      <c r="FL49" s="454">
        <f t="shared" si="24"/>
        <v>0</v>
      </c>
      <c r="FM49" s="454">
        <f t="shared" si="24"/>
        <v>0</v>
      </c>
      <c r="FN49" s="454">
        <f t="shared" si="24"/>
        <v>0</v>
      </c>
      <c r="FO49" s="454">
        <f t="shared" si="24"/>
        <v>0</v>
      </c>
      <c r="FP49" s="454">
        <f t="shared" si="24"/>
        <v>0</v>
      </c>
      <c r="FQ49" s="454">
        <f t="shared" si="24"/>
        <v>0</v>
      </c>
      <c r="FR49" s="454">
        <f t="shared" si="24"/>
        <v>0</v>
      </c>
      <c r="FS49" s="454">
        <f t="shared" si="24"/>
        <v>0</v>
      </c>
      <c r="FT49" s="454">
        <f t="shared" si="24"/>
        <v>0</v>
      </c>
      <c r="FU49" s="454">
        <f t="shared" si="24"/>
        <v>0</v>
      </c>
      <c r="FV49" s="454">
        <f t="shared" si="24"/>
        <v>0</v>
      </c>
      <c r="FW49" s="454">
        <f t="shared" si="24"/>
        <v>0</v>
      </c>
      <c r="FX49" s="454">
        <f t="shared" si="24"/>
        <v>0</v>
      </c>
      <c r="FY49" s="454">
        <f t="shared" si="24"/>
        <v>0</v>
      </c>
      <c r="FZ49" s="454">
        <f t="shared" si="24"/>
        <v>0</v>
      </c>
      <c r="GA49" s="454">
        <f t="shared" si="24"/>
        <v>0</v>
      </c>
      <c r="GB49" s="454">
        <f t="shared" si="24"/>
        <v>0</v>
      </c>
      <c r="GC49" s="454">
        <f t="shared" si="24"/>
        <v>0</v>
      </c>
      <c r="GD49" s="454">
        <f t="shared" si="24"/>
        <v>0</v>
      </c>
      <c r="GE49" s="454">
        <f t="shared" si="24"/>
        <v>0</v>
      </c>
      <c r="GF49" s="454">
        <f t="shared" si="24"/>
        <v>0</v>
      </c>
      <c r="GG49" s="454">
        <f t="shared" si="24"/>
        <v>0</v>
      </c>
      <c r="GH49" s="454">
        <f t="shared" si="24"/>
        <v>0</v>
      </c>
      <c r="GI49" s="454">
        <f t="shared" si="24"/>
        <v>0</v>
      </c>
      <c r="GJ49" s="454">
        <f t="shared" si="24"/>
        <v>0</v>
      </c>
      <c r="GK49" s="454">
        <f t="shared" si="24"/>
        <v>0</v>
      </c>
      <c r="GL49" s="454">
        <f>SUM(GL46:GL48)</f>
        <v>0</v>
      </c>
      <c r="GM49" s="454">
        <f>SUM(GM46:GM48)</f>
        <v>0</v>
      </c>
      <c r="GN49" s="454">
        <f t="shared" ref="GN49:GW49" si="25">SUM(GN46:GN48)</f>
        <v>0</v>
      </c>
      <c r="GO49" s="70">
        <f>AVERAGE(GO46:GO48)</f>
        <v>0</v>
      </c>
      <c r="GP49" s="454">
        <f t="shared" si="25"/>
        <v>0</v>
      </c>
      <c r="GQ49" s="454">
        <f t="shared" si="25"/>
        <v>0</v>
      </c>
      <c r="GR49" s="70">
        <f>AVERAGE(GR46:GR48)</f>
        <v>0</v>
      </c>
      <c r="GS49" s="454">
        <f t="shared" si="25"/>
        <v>0</v>
      </c>
      <c r="GT49" s="454">
        <f t="shared" si="25"/>
        <v>0</v>
      </c>
      <c r="GU49" s="70">
        <f>AVERAGE(GU46:GU48)</f>
        <v>0</v>
      </c>
      <c r="GV49" s="454">
        <f t="shared" si="25"/>
        <v>0</v>
      </c>
      <c r="GW49" s="454">
        <f t="shared" si="25"/>
        <v>0</v>
      </c>
      <c r="GX49" s="70">
        <f>AVERAGE(GX46:GX48)</f>
        <v>0</v>
      </c>
    </row>
  </sheetData>
  <sheetProtection algorithmName="SHA-512" hashValue="IZp3bwEkbSYZv2bTuNxtSbr61n1QWEOak2ifTHJaxsY3RVTFvmFg+WkYxgDQIpl0KRLj6p4HWrkOydQAZpK1Xw==" saltValue="pWqZ49C+GTJC84zApNdFTw==" spinCount="100000" sheet="1" objects="1" selectLockedCells="1" selectUnlockedCells="1"/>
  <sortState ref="B3:AE40">
    <sortCondition ref="B3"/>
  </sortState>
  <mergeCells count="130">
    <mergeCell ref="AQ2:AX2"/>
    <mergeCell ref="BW2:CD2"/>
    <mergeCell ref="CE2:CL2"/>
    <mergeCell ref="CM2:CT2"/>
    <mergeCell ref="CU2:DB2"/>
    <mergeCell ref="DC2:DJ2"/>
    <mergeCell ref="S2:Z2"/>
    <mergeCell ref="K2:R2"/>
    <mergeCell ref="GM3:GO3"/>
    <mergeCell ref="FC3:FD3"/>
    <mergeCell ref="FE3:FF3"/>
    <mergeCell ref="FG3:FH3"/>
    <mergeCell ref="FI3:FJ3"/>
    <mergeCell ref="FK3:FL3"/>
    <mergeCell ref="FM3:FN3"/>
    <mergeCell ref="EQ3:ER3"/>
    <mergeCell ref="ES3:ET3"/>
    <mergeCell ref="EU3:EV3"/>
    <mergeCell ref="EW3:EX3"/>
    <mergeCell ref="EY3:EZ3"/>
    <mergeCell ref="FA3:FB3"/>
    <mergeCell ref="EE3:EF3"/>
    <mergeCell ref="EG3:EH3"/>
    <mergeCell ref="EI3:EJ3"/>
    <mergeCell ref="EK3:EL3"/>
    <mergeCell ref="EM3:EN3"/>
    <mergeCell ref="EO3:EP3"/>
    <mergeCell ref="DS3:DT3"/>
    <mergeCell ref="DU3:DV3"/>
    <mergeCell ref="DW3:DX3"/>
    <mergeCell ref="GA3:GB3"/>
    <mergeCell ref="GC3:GD3"/>
    <mergeCell ref="FO2:FV2"/>
    <mergeCell ref="FW3:FX3"/>
    <mergeCell ref="FW2:GD2"/>
    <mergeCell ref="DY3:DZ3"/>
    <mergeCell ref="EA3:EB3"/>
    <mergeCell ref="EC3:ED3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DG3:DH3"/>
    <mergeCell ref="DI3:DJ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Q3:R3"/>
    <mergeCell ref="S3:T3"/>
    <mergeCell ref="U3:V3"/>
    <mergeCell ref="W3:X3"/>
    <mergeCell ref="Y3:Z3"/>
    <mergeCell ref="CU3:CV3"/>
    <mergeCell ref="CW3:CX3"/>
    <mergeCell ref="CY3:CZ3"/>
    <mergeCell ref="FY3:FZ3"/>
    <mergeCell ref="AM3:AN3"/>
    <mergeCell ref="AO3:AP3"/>
    <mergeCell ref="AQ3:AR3"/>
    <mergeCell ref="AS3:AT3"/>
    <mergeCell ref="AU3:AV3"/>
    <mergeCell ref="AW3:AX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GE2:GL2"/>
    <mergeCell ref="E3:F3"/>
    <mergeCell ref="G3:H3"/>
    <mergeCell ref="I3:J3"/>
    <mergeCell ref="GE3:GF3"/>
    <mergeCell ref="GG3:GH3"/>
    <mergeCell ref="GI3:GJ3"/>
    <mergeCell ref="FO3:FP3"/>
    <mergeCell ref="FQ3:FR3"/>
    <mergeCell ref="FS3:FT3"/>
    <mergeCell ref="FU3:FV3"/>
    <mergeCell ref="AA3:AB3"/>
    <mergeCell ref="AC3:AD3"/>
    <mergeCell ref="AE3:AF3"/>
    <mergeCell ref="AG3:AH3"/>
    <mergeCell ref="AI3:AJ3"/>
    <mergeCell ref="AK3:AL3"/>
    <mergeCell ref="FG2:FN2"/>
    <mergeCell ref="DK3:DL3"/>
    <mergeCell ref="DM3:DN3"/>
    <mergeCell ref="DO3:DP3"/>
    <mergeCell ref="K3:L3"/>
    <mergeCell ref="M3:N3"/>
    <mergeCell ref="O3:P3"/>
    <mergeCell ref="A49:B49"/>
    <mergeCell ref="A1:GX1"/>
    <mergeCell ref="AB2:AH2"/>
    <mergeCell ref="AJ2:AP2"/>
    <mergeCell ref="AZ2:BF2"/>
    <mergeCell ref="BH2:BN2"/>
    <mergeCell ref="BP2:BV2"/>
    <mergeCell ref="A43:B43"/>
    <mergeCell ref="B2:B4"/>
    <mergeCell ref="A2:A4"/>
    <mergeCell ref="C3:D3"/>
    <mergeCell ref="C2:J2"/>
    <mergeCell ref="EZ2:FF2"/>
    <mergeCell ref="EI2:EP2"/>
    <mergeCell ref="EQ2:EX2"/>
    <mergeCell ref="EA2:EH2"/>
    <mergeCell ref="DS2:DZ2"/>
    <mergeCell ref="DL2:DR2"/>
    <mergeCell ref="DQ3:DR3"/>
    <mergeCell ref="GK3:GL3"/>
    <mergeCell ref="GP3:GR3"/>
    <mergeCell ref="GS3:GU3"/>
    <mergeCell ref="GV3:GX3"/>
    <mergeCell ref="GM2:GX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K49"/>
  <sheetViews>
    <sheetView zoomScale="68" zoomScaleNormal="68" workbookViewId="0">
      <pane xSplit="2" ySplit="2" topLeftCell="BY15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RowHeight="15" x14ac:dyDescent="0.25"/>
  <cols>
    <col min="1" max="1" width="4.7109375" style="317" bestFit="1" customWidth="1"/>
    <col min="2" max="2" width="38.85546875" style="317" customWidth="1"/>
    <col min="3" max="3" width="9.5703125" style="318" customWidth="1"/>
    <col min="4" max="24" width="9.140625" style="317"/>
    <col min="25" max="74" width="9.140625" style="317" customWidth="1"/>
    <col min="75" max="76" width="9.140625" style="317"/>
    <col min="77" max="77" width="9.140625" style="317" customWidth="1"/>
    <col min="78" max="85" width="9.140625" style="317"/>
    <col min="86" max="86" width="10.140625" customWidth="1"/>
  </cols>
  <sheetData>
    <row r="1" spans="1:115" s="511" customFormat="1" ht="38.25" customHeight="1" x14ac:dyDescent="0.25">
      <c r="A1" s="509"/>
      <c r="B1" s="510" t="s">
        <v>295</v>
      </c>
      <c r="C1" s="682" t="s">
        <v>320</v>
      </c>
      <c r="D1" s="682"/>
      <c r="E1" s="682"/>
      <c r="F1" s="682"/>
      <c r="G1" s="682" t="s">
        <v>321</v>
      </c>
      <c r="H1" s="682"/>
      <c r="I1" s="682"/>
      <c r="J1" s="682"/>
      <c r="K1" s="683" t="s">
        <v>322</v>
      </c>
      <c r="L1" s="683"/>
      <c r="M1" s="683"/>
      <c r="N1" s="683"/>
      <c r="O1" s="687" t="s">
        <v>323</v>
      </c>
      <c r="P1" s="687"/>
      <c r="Q1" s="687"/>
      <c r="R1" s="687"/>
      <c r="S1" s="687" t="s">
        <v>324</v>
      </c>
      <c r="T1" s="687"/>
      <c r="U1" s="682" t="s">
        <v>325</v>
      </c>
      <c r="V1" s="682"/>
      <c r="W1" s="682"/>
      <c r="X1" s="682"/>
      <c r="Y1" s="682" t="s">
        <v>326</v>
      </c>
      <c r="Z1" s="682"/>
      <c r="AA1" s="682"/>
      <c r="AB1" s="682"/>
      <c r="AC1" s="682" t="s">
        <v>327</v>
      </c>
      <c r="AD1" s="682"/>
      <c r="AE1" s="682"/>
      <c r="AF1" s="682"/>
      <c r="AG1" s="682" t="s">
        <v>328</v>
      </c>
      <c r="AH1" s="682"/>
      <c r="AI1" s="682"/>
      <c r="AJ1" s="682"/>
      <c r="AK1" s="682" t="s">
        <v>329</v>
      </c>
      <c r="AL1" s="682"/>
      <c r="AM1" s="682"/>
      <c r="AN1" s="682"/>
      <c r="AO1" s="682" t="s">
        <v>330</v>
      </c>
      <c r="AP1" s="682"/>
      <c r="AQ1" s="682"/>
      <c r="AR1" s="682"/>
      <c r="AS1" s="682" t="s">
        <v>331</v>
      </c>
      <c r="AT1" s="682"/>
      <c r="AU1" s="682"/>
      <c r="AV1" s="682"/>
      <c r="AW1" s="682" t="s">
        <v>332</v>
      </c>
      <c r="AX1" s="682"/>
      <c r="AY1" s="682" t="s">
        <v>333</v>
      </c>
      <c r="AZ1" s="682"/>
      <c r="BA1" s="682" t="s">
        <v>334</v>
      </c>
      <c r="BB1" s="682"/>
      <c r="BC1" s="682"/>
      <c r="BD1" s="682"/>
      <c r="BE1" s="682" t="s">
        <v>335</v>
      </c>
      <c r="BF1" s="682"/>
      <c r="BG1" s="682"/>
      <c r="BH1" s="682"/>
      <c r="BI1" s="682" t="s">
        <v>336</v>
      </c>
      <c r="BJ1" s="682"/>
      <c r="BK1" s="682"/>
      <c r="BL1" s="682"/>
      <c r="BM1" s="682" t="s">
        <v>337</v>
      </c>
      <c r="BN1" s="682"/>
      <c r="BO1" s="682" t="s">
        <v>338</v>
      </c>
      <c r="BP1" s="682"/>
      <c r="BQ1" s="682"/>
      <c r="BR1" s="682"/>
      <c r="BS1" s="682" t="s">
        <v>339</v>
      </c>
      <c r="BT1" s="682"/>
      <c r="BU1" s="682"/>
      <c r="BV1" s="682"/>
      <c r="BW1" s="688" t="s">
        <v>340</v>
      </c>
      <c r="BX1" s="689"/>
      <c r="BY1" s="683" t="s">
        <v>341</v>
      </c>
      <c r="BZ1" s="683"/>
      <c r="CA1" s="683"/>
      <c r="CB1" s="683"/>
      <c r="CC1" s="683"/>
      <c r="CD1" s="683"/>
      <c r="CE1" s="683"/>
      <c r="CF1" s="683"/>
      <c r="CG1" s="683"/>
      <c r="CH1" s="690" t="s">
        <v>355</v>
      </c>
      <c r="CI1" s="690"/>
      <c r="CJ1" s="690"/>
      <c r="CK1" s="690"/>
      <c r="CL1" s="690" t="s">
        <v>356</v>
      </c>
      <c r="CM1" s="690"/>
      <c r="CN1" s="690"/>
      <c r="CO1" s="690"/>
      <c r="CP1" s="690" t="s">
        <v>357</v>
      </c>
      <c r="CQ1" s="690"/>
      <c r="CR1" s="690"/>
      <c r="CS1" s="690"/>
      <c r="CT1" s="690" t="s">
        <v>358</v>
      </c>
      <c r="CU1" s="690"/>
      <c r="CV1" s="690"/>
      <c r="CW1" s="690"/>
      <c r="CX1" s="690" t="s">
        <v>359</v>
      </c>
      <c r="CY1" s="690"/>
      <c r="CZ1" s="690"/>
      <c r="DA1" s="690"/>
      <c r="DB1" s="690" t="s">
        <v>360</v>
      </c>
      <c r="DC1" s="690"/>
      <c r="DD1" s="690"/>
      <c r="DE1" s="690"/>
      <c r="DF1" s="690" t="s">
        <v>361</v>
      </c>
      <c r="DG1" s="690"/>
      <c r="DH1" s="690"/>
      <c r="DI1" s="690"/>
      <c r="DJ1" s="690"/>
      <c r="DK1" s="690"/>
    </row>
    <row r="2" spans="1:115" ht="77.25" customHeight="1" x14ac:dyDescent="0.25">
      <c r="A2" s="684" t="s">
        <v>308</v>
      </c>
      <c r="B2" s="341"/>
      <c r="C2" s="680" t="s">
        <v>51</v>
      </c>
      <c r="D2" s="680"/>
      <c r="E2" s="680" t="s">
        <v>274</v>
      </c>
      <c r="F2" s="680"/>
      <c r="G2" s="680" t="s">
        <v>51</v>
      </c>
      <c r="H2" s="680"/>
      <c r="I2" s="680" t="s">
        <v>274</v>
      </c>
      <c r="J2" s="680"/>
      <c r="K2" s="680" t="s">
        <v>51</v>
      </c>
      <c r="L2" s="680"/>
      <c r="M2" s="680" t="s">
        <v>274</v>
      </c>
      <c r="N2" s="680"/>
      <c r="O2" s="686" t="s">
        <v>51</v>
      </c>
      <c r="P2" s="686"/>
      <c r="Q2" s="686" t="s">
        <v>274</v>
      </c>
      <c r="R2" s="686"/>
      <c r="S2" s="686" t="s">
        <v>51</v>
      </c>
      <c r="T2" s="686"/>
      <c r="U2" s="680" t="s">
        <v>51</v>
      </c>
      <c r="V2" s="680"/>
      <c r="W2" s="680" t="s">
        <v>274</v>
      </c>
      <c r="X2" s="680"/>
      <c r="Y2" s="680" t="s">
        <v>51</v>
      </c>
      <c r="Z2" s="680"/>
      <c r="AA2" s="680" t="s">
        <v>274</v>
      </c>
      <c r="AB2" s="680"/>
      <c r="AC2" s="680" t="s">
        <v>51</v>
      </c>
      <c r="AD2" s="680"/>
      <c r="AE2" s="680" t="s">
        <v>274</v>
      </c>
      <c r="AF2" s="680"/>
      <c r="AG2" s="680" t="s">
        <v>51</v>
      </c>
      <c r="AH2" s="680"/>
      <c r="AI2" s="680" t="s">
        <v>274</v>
      </c>
      <c r="AJ2" s="680"/>
      <c r="AK2" s="680" t="s">
        <v>51</v>
      </c>
      <c r="AL2" s="680"/>
      <c r="AM2" s="680" t="s">
        <v>274</v>
      </c>
      <c r="AN2" s="680"/>
      <c r="AO2" s="680" t="s">
        <v>51</v>
      </c>
      <c r="AP2" s="680"/>
      <c r="AQ2" s="680" t="s">
        <v>274</v>
      </c>
      <c r="AR2" s="680"/>
      <c r="AS2" s="680" t="s">
        <v>274</v>
      </c>
      <c r="AT2" s="680"/>
      <c r="AU2" s="680" t="s">
        <v>52</v>
      </c>
      <c r="AV2" s="680"/>
      <c r="AW2" s="680" t="s">
        <v>274</v>
      </c>
      <c r="AX2" s="680"/>
      <c r="AY2" s="680" t="s">
        <v>274</v>
      </c>
      <c r="AZ2" s="680"/>
      <c r="BA2" s="680" t="s">
        <v>274</v>
      </c>
      <c r="BB2" s="680"/>
      <c r="BC2" s="680" t="s">
        <v>52</v>
      </c>
      <c r="BD2" s="680"/>
      <c r="BE2" s="680" t="s">
        <v>274</v>
      </c>
      <c r="BF2" s="680"/>
      <c r="BG2" s="680" t="s">
        <v>52</v>
      </c>
      <c r="BH2" s="680"/>
      <c r="BI2" s="680" t="s">
        <v>274</v>
      </c>
      <c r="BJ2" s="680"/>
      <c r="BK2" s="680" t="s">
        <v>52</v>
      </c>
      <c r="BL2" s="680"/>
      <c r="BM2" s="680" t="s">
        <v>52</v>
      </c>
      <c r="BN2" s="680"/>
      <c r="BO2" s="680" t="s">
        <v>51</v>
      </c>
      <c r="BP2" s="680"/>
      <c r="BQ2" s="680" t="s">
        <v>274</v>
      </c>
      <c r="BR2" s="680"/>
      <c r="BS2" s="680" t="s">
        <v>51</v>
      </c>
      <c r="BT2" s="680"/>
      <c r="BU2" s="680" t="s">
        <v>274</v>
      </c>
      <c r="BV2" s="680"/>
      <c r="BW2" s="678" t="s">
        <v>51</v>
      </c>
      <c r="BX2" s="679"/>
      <c r="BY2" s="680" t="s">
        <v>51</v>
      </c>
      <c r="BZ2" s="680"/>
      <c r="CA2" s="680"/>
      <c r="CB2" s="680" t="s">
        <v>274</v>
      </c>
      <c r="CC2" s="680"/>
      <c r="CD2" s="680"/>
      <c r="CE2" s="680" t="s">
        <v>52</v>
      </c>
      <c r="CF2" s="680"/>
      <c r="CG2" s="680"/>
      <c r="CH2" s="678" t="s">
        <v>51</v>
      </c>
      <c r="CI2" s="679"/>
      <c r="CJ2" s="678" t="s">
        <v>274</v>
      </c>
      <c r="CK2" s="679"/>
      <c r="CL2" s="678" t="s">
        <v>51</v>
      </c>
      <c r="CM2" s="679"/>
      <c r="CN2" s="678" t="s">
        <v>274</v>
      </c>
      <c r="CO2" s="679"/>
      <c r="CP2" s="678" t="s">
        <v>51</v>
      </c>
      <c r="CQ2" s="679"/>
      <c r="CR2" s="678" t="s">
        <v>274</v>
      </c>
      <c r="CS2" s="679"/>
      <c r="CT2" s="678" t="s">
        <v>51</v>
      </c>
      <c r="CU2" s="679"/>
      <c r="CV2" s="678" t="s">
        <v>274</v>
      </c>
      <c r="CW2" s="679"/>
      <c r="CX2" s="678" t="s">
        <v>51</v>
      </c>
      <c r="CY2" s="679"/>
      <c r="CZ2" s="678" t="s">
        <v>274</v>
      </c>
      <c r="DA2" s="679"/>
      <c r="DB2" s="678" t="s">
        <v>51</v>
      </c>
      <c r="DC2" s="679"/>
      <c r="DD2" s="678" t="s">
        <v>274</v>
      </c>
      <c r="DE2" s="679"/>
      <c r="DF2" s="678" t="s">
        <v>51</v>
      </c>
      <c r="DG2" s="679"/>
      <c r="DH2" s="678" t="s">
        <v>274</v>
      </c>
      <c r="DI2" s="679"/>
      <c r="DJ2" s="691" t="s">
        <v>52</v>
      </c>
      <c r="DK2" s="692"/>
    </row>
    <row r="3" spans="1:115" s="333" customFormat="1" ht="78.75" x14ac:dyDescent="0.25">
      <c r="A3" s="685"/>
      <c r="B3" s="342" t="s">
        <v>309</v>
      </c>
      <c r="C3" s="343" t="s">
        <v>310</v>
      </c>
      <c r="D3" s="343" t="s">
        <v>311</v>
      </c>
      <c r="E3" s="343" t="s">
        <v>310</v>
      </c>
      <c r="F3" s="343" t="s">
        <v>311</v>
      </c>
      <c r="G3" s="343" t="s">
        <v>310</v>
      </c>
      <c r="H3" s="343" t="s">
        <v>311</v>
      </c>
      <c r="I3" s="343" t="s">
        <v>310</v>
      </c>
      <c r="J3" s="343" t="s">
        <v>311</v>
      </c>
      <c r="K3" s="344" t="s">
        <v>243</v>
      </c>
      <c r="L3" s="344" t="s">
        <v>244</v>
      </c>
      <c r="M3" s="344" t="s">
        <v>243</v>
      </c>
      <c r="N3" s="344" t="s">
        <v>244</v>
      </c>
      <c r="O3" s="345" t="s">
        <v>243</v>
      </c>
      <c r="P3" s="345" t="s">
        <v>244</v>
      </c>
      <c r="Q3" s="345" t="s">
        <v>243</v>
      </c>
      <c r="R3" s="345" t="s">
        <v>244</v>
      </c>
      <c r="S3" s="345" t="s">
        <v>243</v>
      </c>
      <c r="T3" s="345" t="s">
        <v>244</v>
      </c>
      <c r="U3" s="344" t="s">
        <v>243</v>
      </c>
      <c r="V3" s="344" t="s">
        <v>244</v>
      </c>
      <c r="W3" s="344" t="s">
        <v>243</v>
      </c>
      <c r="X3" s="344" t="s">
        <v>244</v>
      </c>
      <c r="Y3" s="344" t="s">
        <v>243</v>
      </c>
      <c r="Z3" s="344" t="s">
        <v>244</v>
      </c>
      <c r="AA3" s="344" t="s">
        <v>243</v>
      </c>
      <c r="AB3" s="344" t="s">
        <v>244</v>
      </c>
      <c r="AC3" s="344" t="s">
        <v>243</v>
      </c>
      <c r="AD3" s="344" t="s">
        <v>244</v>
      </c>
      <c r="AE3" s="344" t="s">
        <v>243</v>
      </c>
      <c r="AF3" s="344" t="s">
        <v>244</v>
      </c>
      <c r="AG3" s="344" t="s">
        <v>243</v>
      </c>
      <c r="AH3" s="344" t="s">
        <v>244</v>
      </c>
      <c r="AI3" s="344" t="s">
        <v>243</v>
      </c>
      <c r="AJ3" s="344" t="s">
        <v>244</v>
      </c>
      <c r="AK3" s="344" t="s">
        <v>243</v>
      </c>
      <c r="AL3" s="344" t="s">
        <v>244</v>
      </c>
      <c r="AM3" s="344" t="s">
        <v>243</v>
      </c>
      <c r="AN3" s="344" t="s">
        <v>244</v>
      </c>
      <c r="AO3" s="344" t="s">
        <v>243</v>
      </c>
      <c r="AP3" s="344" t="s">
        <v>244</v>
      </c>
      <c r="AQ3" s="344" t="s">
        <v>243</v>
      </c>
      <c r="AR3" s="344" t="s">
        <v>244</v>
      </c>
      <c r="AS3" s="344" t="s">
        <v>243</v>
      </c>
      <c r="AT3" s="344" t="s">
        <v>244</v>
      </c>
      <c r="AU3" s="344" t="s">
        <v>243</v>
      </c>
      <c r="AV3" s="344" t="s">
        <v>244</v>
      </c>
      <c r="AW3" s="344" t="s">
        <v>243</v>
      </c>
      <c r="AX3" s="344" t="s">
        <v>244</v>
      </c>
      <c r="AY3" s="344" t="s">
        <v>243</v>
      </c>
      <c r="AZ3" s="344" t="s">
        <v>244</v>
      </c>
      <c r="BA3" s="344" t="s">
        <v>243</v>
      </c>
      <c r="BB3" s="344" t="s">
        <v>244</v>
      </c>
      <c r="BC3" s="344" t="s">
        <v>243</v>
      </c>
      <c r="BD3" s="344" t="s">
        <v>244</v>
      </c>
      <c r="BE3" s="344" t="s">
        <v>243</v>
      </c>
      <c r="BF3" s="344" t="s">
        <v>244</v>
      </c>
      <c r="BG3" s="344" t="s">
        <v>243</v>
      </c>
      <c r="BH3" s="344" t="s">
        <v>244</v>
      </c>
      <c r="BI3" s="344" t="s">
        <v>243</v>
      </c>
      <c r="BJ3" s="344" t="s">
        <v>244</v>
      </c>
      <c r="BK3" s="344" t="s">
        <v>243</v>
      </c>
      <c r="BL3" s="344" t="s">
        <v>244</v>
      </c>
      <c r="BM3" s="344" t="s">
        <v>243</v>
      </c>
      <c r="BN3" s="344" t="s">
        <v>244</v>
      </c>
      <c r="BO3" s="344" t="s">
        <v>243</v>
      </c>
      <c r="BP3" s="344" t="s">
        <v>244</v>
      </c>
      <c r="BQ3" s="344" t="s">
        <v>243</v>
      </c>
      <c r="BR3" s="344" t="s">
        <v>244</v>
      </c>
      <c r="BS3" s="344" t="s">
        <v>243</v>
      </c>
      <c r="BT3" s="344" t="s">
        <v>244</v>
      </c>
      <c r="BU3" s="344" t="s">
        <v>243</v>
      </c>
      <c r="BV3" s="344" t="s">
        <v>244</v>
      </c>
      <c r="BW3" s="344" t="s">
        <v>243</v>
      </c>
      <c r="BX3" s="344" t="s">
        <v>244</v>
      </c>
      <c r="BY3" s="346" t="s">
        <v>243</v>
      </c>
      <c r="BZ3" s="346" t="s">
        <v>244</v>
      </c>
      <c r="CA3" s="330" t="s">
        <v>312</v>
      </c>
      <c r="CB3" s="346" t="s">
        <v>243</v>
      </c>
      <c r="CC3" s="346" t="s">
        <v>244</v>
      </c>
      <c r="CD3" s="330" t="s">
        <v>312</v>
      </c>
      <c r="CE3" s="346" t="s">
        <v>243</v>
      </c>
      <c r="CF3" s="346" t="s">
        <v>244</v>
      </c>
      <c r="CG3" s="330" t="s">
        <v>312</v>
      </c>
      <c r="CH3" s="32" t="s">
        <v>243</v>
      </c>
      <c r="CI3" s="32" t="s">
        <v>244</v>
      </c>
      <c r="CJ3" s="32" t="s">
        <v>243</v>
      </c>
      <c r="CK3" s="32" t="s">
        <v>244</v>
      </c>
      <c r="CL3" s="32" t="s">
        <v>243</v>
      </c>
      <c r="CM3" s="32" t="s">
        <v>244</v>
      </c>
      <c r="CN3" s="32" t="s">
        <v>243</v>
      </c>
      <c r="CO3" s="32" t="s">
        <v>244</v>
      </c>
      <c r="CP3" s="32" t="s">
        <v>243</v>
      </c>
      <c r="CQ3" s="32" t="s">
        <v>244</v>
      </c>
      <c r="CR3" s="32" t="s">
        <v>243</v>
      </c>
      <c r="CS3" s="32" t="s">
        <v>244</v>
      </c>
      <c r="CT3" s="32" t="s">
        <v>243</v>
      </c>
      <c r="CU3" s="32" t="s">
        <v>244</v>
      </c>
      <c r="CV3" s="32" t="s">
        <v>243</v>
      </c>
      <c r="CW3" s="32" t="s">
        <v>244</v>
      </c>
      <c r="CX3" s="32" t="s">
        <v>243</v>
      </c>
      <c r="CY3" s="32" t="s">
        <v>244</v>
      </c>
      <c r="CZ3" s="32" t="s">
        <v>243</v>
      </c>
      <c r="DA3" s="32" t="s">
        <v>244</v>
      </c>
      <c r="DB3" s="32" t="s">
        <v>243</v>
      </c>
      <c r="DC3" s="32" t="s">
        <v>244</v>
      </c>
      <c r="DD3" s="32" t="s">
        <v>243</v>
      </c>
      <c r="DE3" s="32" t="s">
        <v>244</v>
      </c>
      <c r="DF3" s="32" t="s">
        <v>243</v>
      </c>
      <c r="DG3" s="32" t="s">
        <v>244</v>
      </c>
      <c r="DH3" s="32" t="s">
        <v>243</v>
      </c>
      <c r="DI3" s="32" t="s">
        <v>244</v>
      </c>
      <c r="DJ3" s="32" t="s">
        <v>243</v>
      </c>
      <c r="DK3" s="32" t="s">
        <v>244</v>
      </c>
    </row>
    <row r="4" spans="1:115" ht="15.75" x14ac:dyDescent="0.25">
      <c r="A4" s="347">
        <v>1</v>
      </c>
      <c r="B4" s="348" t="s">
        <v>139</v>
      </c>
      <c r="C4" s="349">
        <v>1</v>
      </c>
      <c r="D4" s="349">
        <v>1</v>
      </c>
      <c r="E4" s="349"/>
      <c r="F4" s="349"/>
      <c r="G4" s="349">
        <v>1</v>
      </c>
      <c r="H4" s="349">
        <v>1</v>
      </c>
      <c r="I4" s="349">
        <v>1</v>
      </c>
      <c r="J4" s="349">
        <v>1</v>
      </c>
      <c r="K4" s="350"/>
      <c r="L4" s="350"/>
      <c r="M4" s="350">
        <v>0</v>
      </c>
      <c r="N4" s="350">
        <v>0</v>
      </c>
      <c r="O4" s="351">
        <v>1</v>
      </c>
      <c r="P4" s="351">
        <v>0</v>
      </c>
      <c r="Q4" s="351"/>
      <c r="R4" s="351"/>
      <c r="S4" s="351">
        <v>1</v>
      </c>
      <c r="T4" s="351">
        <v>1</v>
      </c>
      <c r="U4" s="349"/>
      <c r="V4" s="349"/>
      <c r="W4" s="349"/>
      <c r="X4" s="349"/>
      <c r="Y4" s="349"/>
      <c r="Z4" s="349"/>
      <c r="AA4" s="349"/>
      <c r="AB4" s="349"/>
      <c r="AC4" s="349">
        <v>1</v>
      </c>
      <c r="AD4" s="349">
        <v>1</v>
      </c>
      <c r="AE4" s="349">
        <v>1</v>
      </c>
      <c r="AF4" s="349">
        <v>1</v>
      </c>
      <c r="AG4" s="349"/>
      <c r="AH4" s="349"/>
      <c r="AI4" s="349"/>
      <c r="AJ4" s="349"/>
      <c r="AK4" s="349"/>
      <c r="AL4" s="349"/>
      <c r="AM4" s="349"/>
      <c r="AN4" s="349"/>
      <c r="AO4" s="349">
        <v>1</v>
      </c>
      <c r="AP4" s="349">
        <v>1</v>
      </c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49"/>
      <c r="BH4" s="349"/>
      <c r="BI4" s="349">
        <v>1</v>
      </c>
      <c r="BJ4" s="349">
        <v>0</v>
      </c>
      <c r="BK4" s="349"/>
      <c r="BL4" s="349"/>
      <c r="BM4" s="349"/>
      <c r="BN4" s="349"/>
      <c r="BO4" s="349">
        <v>0</v>
      </c>
      <c r="BP4" s="349">
        <v>0</v>
      </c>
      <c r="BQ4" s="349"/>
      <c r="BR4" s="349"/>
      <c r="BS4" s="349"/>
      <c r="BT4" s="349"/>
      <c r="BU4" s="349"/>
      <c r="BV4" s="349"/>
      <c r="BW4" s="352"/>
      <c r="BX4" s="352"/>
      <c r="BY4" s="353">
        <f>C4+G4+K4+O4+S4+U4+Y4+AC4+AG4+AK4+AO4+BO4+BS4+BW4+CH4+CL4+CP4+CT4+CX4+DB4+DF4</f>
        <v>6</v>
      </c>
      <c r="BZ4" s="353">
        <f>D4+H4+L4+P4+T4+V4+Z4+AD4+AH4+AL4+AP4+BP4+BT4+BX4+CI4+CM4+CQ4+CU4+CY4+DC4+DG4</f>
        <v>5</v>
      </c>
      <c r="CA4" s="354">
        <f>BZ4/BY4</f>
        <v>0.83333333333333337</v>
      </c>
      <c r="CB4" s="355">
        <f t="shared" ref="CB4:CB22" si="0">E4+I4+M4+Q4+W4+AA4+AE4+AI4+AM4+AQ4+AS4+AW4+AY4+BA4+BE4+BI4+BU4</f>
        <v>3</v>
      </c>
      <c r="CC4" s="355">
        <f t="shared" ref="CC4:CC22" si="1">F4+J4+N4+R4+X4+AB4+AF4+AJ4+AN4+AR4+AT4+AX4+AZ4+BB4+BF4+BJ4+BV4</f>
        <v>2</v>
      </c>
      <c r="CD4" s="354">
        <f>CC4/CB4</f>
        <v>0.66666666666666663</v>
      </c>
      <c r="CE4" s="355">
        <f t="shared" ref="CE4:CE39" si="2">AU4+BC4+BG4+BK4</f>
        <v>0</v>
      </c>
      <c r="CF4" s="355">
        <f t="shared" ref="CF4:CF39" si="3">AV4+BD4+BH4+BL4</f>
        <v>0</v>
      </c>
      <c r="CG4" s="354">
        <v>0</v>
      </c>
      <c r="CH4" s="71">
        <v>0</v>
      </c>
      <c r="CI4" s="71">
        <v>0</v>
      </c>
      <c r="CJ4" s="71">
        <v>0</v>
      </c>
      <c r="CK4" s="71">
        <v>0</v>
      </c>
      <c r="CL4" s="71">
        <v>0</v>
      </c>
      <c r="CM4" s="71">
        <v>0</v>
      </c>
      <c r="CN4" s="71">
        <v>0</v>
      </c>
      <c r="CO4" s="71">
        <v>0</v>
      </c>
      <c r="CP4" s="71">
        <v>0</v>
      </c>
      <c r="CQ4" s="71">
        <v>0</v>
      </c>
      <c r="CR4" s="71">
        <v>0</v>
      </c>
      <c r="CS4" s="71">
        <v>0</v>
      </c>
      <c r="CT4" s="71">
        <v>0</v>
      </c>
      <c r="CU4" s="71">
        <v>0</v>
      </c>
      <c r="CV4" s="71">
        <v>0</v>
      </c>
      <c r="CW4" s="71">
        <v>0</v>
      </c>
      <c r="CX4" s="71">
        <v>0</v>
      </c>
      <c r="CY4" s="71">
        <v>0</v>
      </c>
      <c r="CZ4" s="71">
        <v>0</v>
      </c>
      <c r="DA4" s="71">
        <v>0</v>
      </c>
      <c r="DB4" s="71">
        <v>0</v>
      </c>
      <c r="DC4" s="71">
        <v>0</v>
      </c>
      <c r="DD4" s="71">
        <v>0</v>
      </c>
      <c r="DE4" s="71">
        <v>0</v>
      </c>
      <c r="DF4" s="71">
        <v>0</v>
      </c>
      <c r="DG4" s="71">
        <v>0</v>
      </c>
      <c r="DH4" s="71">
        <v>0</v>
      </c>
      <c r="DI4" s="71">
        <v>0</v>
      </c>
      <c r="DJ4" s="71">
        <v>0</v>
      </c>
      <c r="DK4" s="71">
        <v>0</v>
      </c>
    </row>
    <row r="5" spans="1:115" ht="15.75" x14ac:dyDescent="0.25">
      <c r="A5" s="347">
        <v>2</v>
      </c>
      <c r="B5" s="348" t="s">
        <v>140</v>
      </c>
      <c r="C5" s="349">
        <v>1</v>
      </c>
      <c r="D5" s="349">
        <v>1</v>
      </c>
      <c r="E5" s="349">
        <v>1</v>
      </c>
      <c r="F5" s="349">
        <v>1</v>
      </c>
      <c r="G5" s="349">
        <v>1</v>
      </c>
      <c r="H5" s="349">
        <v>1</v>
      </c>
      <c r="I5" s="349"/>
      <c r="J5" s="349"/>
      <c r="K5" s="350">
        <v>3</v>
      </c>
      <c r="L5" s="350">
        <v>1</v>
      </c>
      <c r="M5" s="350">
        <v>1</v>
      </c>
      <c r="N5" s="350">
        <v>0</v>
      </c>
      <c r="O5" s="351">
        <v>0</v>
      </c>
      <c r="P5" s="351">
        <v>0</v>
      </c>
      <c r="Q5" s="351"/>
      <c r="R5" s="351"/>
      <c r="S5" s="351">
        <v>0</v>
      </c>
      <c r="T5" s="351">
        <v>0</v>
      </c>
      <c r="U5" s="349">
        <v>2</v>
      </c>
      <c r="V5" s="349">
        <v>1</v>
      </c>
      <c r="W5" s="349"/>
      <c r="X5" s="349"/>
      <c r="Y5" s="349">
        <v>6</v>
      </c>
      <c r="Z5" s="349">
        <v>0</v>
      </c>
      <c r="AA5" s="349"/>
      <c r="AB5" s="349"/>
      <c r="AC5" s="349">
        <v>1</v>
      </c>
      <c r="AD5" s="349">
        <v>0</v>
      </c>
      <c r="AE5" s="349"/>
      <c r="AF5" s="349"/>
      <c r="AG5" s="349">
        <v>1</v>
      </c>
      <c r="AH5" s="349">
        <v>1</v>
      </c>
      <c r="AI5" s="349">
        <v>1</v>
      </c>
      <c r="AJ5" s="349">
        <v>1</v>
      </c>
      <c r="AK5" s="349"/>
      <c r="AL5" s="349"/>
      <c r="AM5" s="349"/>
      <c r="AN5" s="349"/>
      <c r="AO5" s="349">
        <v>6</v>
      </c>
      <c r="AP5" s="349">
        <v>2</v>
      </c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>
        <v>1</v>
      </c>
      <c r="BD5" s="349">
        <v>1</v>
      </c>
      <c r="BE5" s="349"/>
      <c r="BF5" s="349"/>
      <c r="BG5" s="349"/>
      <c r="BH5" s="349"/>
      <c r="BI5" s="349">
        <v>1</v>
      </c>
      <c r="BJ5" s="349">
        <v>0</v>
      </c>
      <c r="BK5" s="349"/>
      <c r="BL5" s="349"/>
      <c r="BM5" s="349"/>
      <c r="BN5" s="349"/>
      <c r="BO5" s="349">
        <v>1</v>
      </c>
      <c r="BP5" s="349">
        <v>0</v>
      </c>
      <c r="BQ5" s="349"/>
      <c r="BR5" s="349"/>
      <c r="BS5" s="349"/>
      <c r="BT5" s="349"/>
      <c r="BU5" s="349"/>
      <c r="BV5" s="349"/>
      <c r="BW5" s="352">
        <v>4</v>
      </c>
      <c r="BX5" s="352">
        <v>1</v>
      </c>
      <c r="BY5" s="353">
        <f t="shared" ref="BY5:BY17" si="4">C5+G5+K5+O5+S5+U5+Y5+AC5+AG5+AK5+AO5+BO5+BS5+BW5+CH5+CL5+CP5+CT5+CX5+DB5+DF5</f>
        <v>27</v>
      </c>
      <c r="BZ5" s="353">
        <f t="shared" ref="BZ5:BZ22" si="5">D5+H5+L5+P5+T5+V5+Z5+AD5+AH5+AL5+AP5+BP5+BT5+BX5+CI5+CM5+CQ5+CU5+CY5+DC5+DG5</f>
        <v>8</v>
      </c>
      <c r="CA5" s="354">
        <f t="shared" ref="CA5:CA39" si="6">BZ5/BY5</f>
        <v>0.29629629629629628</v>
      </c>
      <c r="CB5" s="355">
        <f t="shared" si="0"/>
        <v>4</v>
      </c>
      <c r="CC5" s="355">
        <f t="shared" si="1"/>
        <v>2</v>
      </c>
      <c r="CD5" s="354">
        <f t="shared" ref="CA5:CD40" si="7">CC5/CB5</f>
        <v>0.5</v>
      </c>
      <c r="CE5" s="355">
        <f t="shared" si="2"/>
        <v>1</v>
      </c>
      <c r="CF5" s="355">
        <f t="shared" si="3"/>
        <v>1</v>
      </c>
      <c r="CG5" s="354">
        <f t="shared" ref="CD5:CG40" si="8">CF5/CE5</f>
        <v>1</v>
      </c>
      <c r="CH5" s="71">
        <v>1</v>
      </c>
      <c r="CI5" s="71">
        <v>0</v>
      </c>
      <c r="CJ5" s="71">
        <v>0</v>
      </c>
      <c r="CK5" s="71">
        <v>0</v>
      </c>
      <c r="CL5" s="71">
        <v>0</v>
      </c>
      <c r="CM5" s="71">
        <v>0</v>
      </c>
      <c r="CN5" s="71">
        <v>0</v>
      </c>
      <c r="CO5" s="71">
        <v>0</v>
      </c>
      <c r="CP5" s="71">
        <v>0</v>
      </c>
      <c r="CQ5" s="71">
        <v>0</v>
      </c>
      <c r="CR5" s="71">
        <v>0</v>
      </c>
      <c r="CS5" s="71">
        <v>0</v>
      </c>
      <c r="CT5" s="71">
        <v>0</v>
      </c>
      <c r="CU5" s="71">
        <v>0</v>
      </c>
      <c r="CV5" s="71">
        <v>0</v>
      </c>
      <c r="CW5" s="71">
        <v>0</v>
      </c>
      <c r="CX5" s="71">
        <v>0</v>
      </c>
      <c r="CY5" s="71">
        <v>0</v>
      </c>
      <c r="CZ5" s="71">
        <v>0</v>
      </c>
      <c r="DA5" s="71">
        <v>0</v>
      </c>
      <c r="DB5" s="71">
        <v>0</v>
      </c>
      <c r="DC5" s="71">
        <v>0</v>
      </c>
      <c r="DD5" s="71">
        <v>0</v>
      </c>
      <c r="DE5" s="71">
        <v>0</v>
      </c>
      <c r="DF5" s="71">
        <v>0</v>
      </c>
      <c r="DG5" s="71">
        <v>0</v>
      </c>
      <c r="DH5" s="71">
        <v>0</v>
      </c>
      <c r="DI5" s="71">
        <v>0</v>
      </c>
      <c r="DJ5" s="71">
        <v>0</v>
      </c>
      <c r="DK5" s="71">
        <v>0</v>
      </c>
    </row>
    <row r="6" spans="1:115" ht="31.5" x14ac:dyDescent="0.25">
      <c r="A6" s="347">
        <v>3</v>
      </c>
      <c r="B6" s="356" t="s">
        <v>141</v>
      </c>
      <c r="C6" s="349" t="s">
        <v>342</v>
      </c>
      <c r="D6" s="349"/>
      <c r="E6" s="349"/>
      <c r="F6" s="349"/>
      <c r="G6" s="349"/>
      <c r="H6" s="349"/>
      <c r="I6" s="349"/>
      <c r="J6" s="349"/>
      <c r="K6" s="350">
        <v>6</v>
      </c>
      <c r="L6" s="350">
        <v>4</v>
      </c>
      <c r="M6" s="350">
        <v>4</v>
      </c>
      <c r="N6" s="350">
        <v>2</v>
      </c>
      <c r="O6" s="351"/>
      <c r="P6" s="351"/>
      <c r="Q6" s="351"/>
      <c r="R6" s="351"/>
      <c r="S6" s="351"/>
      <c r="T6" s="351"/>
      <c r="U6" s="349">
        <v>1</v>
      </c>
      <c r="V6" s="349"/>
      <c r="W6" s="349"/>
      <c r="X6" s="349"/>
      <c r="Y6" s="349">
        <v>0</v>
      </c>
      <c r="Z6" s="349"/>
      <c r="AA6" s="349"/>
      <c r="AB6" s="349"/>
      <c r="AC6" s="349"/>
      <c r="AD6" s="349"/>
      <c r="AE6" s="349"/>
      <c r="AF6" s="349"/>
      <c r="AG6" s="349">
        <v>1</v>
      </c>
      <c r="AH6" s="349">
        <v>1</v>
      </c>
      <c r="AI6" s="349"/>
      <c r="AJ6" s="349"/>
      <c r="AK6" s="349">
        <v>0</v>
      </c>
      <c r="AL6" s="349"/>
      <c r="AM6" s="349"/>
      <c r="AN6" s="349"/>
      <c r="AO6" s="349">
        <v>9</v>
      </c>
      <c r="AP6" s="349">
        <v>5</v>
      </c>
      <c r="AQ6" s="349">
        <v>1</v>
      </c>
      <c r="AR6" s="349">
        <v>0</v>
      </c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>
        <v>1</v>
      </c>
      <c r="BD6" s="349">
        <v>0</v>
      </c>
      <c r="BE6" s="349"/>
      <c r="BF6" s="349"/>
      <c r="BG6" s="349"/>
      <c r="BH6" s="349"/>
      <c r="BI6" s="349">
        <v>3</v>
      </c>
      <c r="BJ6" s="349">
        <v>0</v>
      </c>
      <c r="BK6" s="349"/>
      <c r="BL6" s="349"/>
      <c r="BM6" s="349"/>
      <c r="BN6" s="349"/>
      <c r="BO6" s="349">
        <v>0</v>
      </c>
      <c r="BP6" s="349">
        <v>0</v>
      </c>
      <c r="BQ6" s="349"/>
      <c r="BR6" s="349"/>
      <c r="BS6" s="349">
        <v>0</v>
      </c>
      <c r="BT6" s="349"/>
      <c r="BU6" s="349"/>
      <c r="BV6" s="349"/>
      <c r="BW6" s="352">
        <v>3</v>
      </c>
      <c r="BX6" s="352">
        <v>2</v>
      </c>
      <c r="BY6" s="353">
        <f>K6+O6+S6+U6+Y6+AC6+AG6+AK6+AO6+BO6+BS6+BW6+CH6+CL6+CP6+CT6+CX6+DB6+DF6</f>
        <v>21</v>
      </c>
      <c r="BZ6" s="353">
        <f t="shared" si="5"/>
        <v>13</v>
      </c>
      <c r="CA6" s="354">
        <f t="shared" si="6"/>
        <v>0.61904761904761907</v>
      </c>
      <c r="CB6" s="355">
        <f t="shared" si="0"/>
        <v>8</v>
      </c>
      <c r="CC6" s="355">
        <f t="shared" si="1"/>
        <v>2</v>
      </c>
      <c r="CD6" s="354">
        <f t="shared" si="7"/>
        <v>0.25</v>
      </c>
      <c r="CE6" s="355">
        <f t="shared" si="2"/>
        <v>1</v>
      </c>
      <c r="CF6" s="355">
        <f t="shared" si="3"/>
        <v>0</v>
      </c>
      <c r="CG6" s="354">
        <f t="shared" si="8"/>
        <v>0</v>
      </c>
      <c r="CH6" s="71">
        <v>1</v>
      </c>
      <c r="CI6" s="71">
        <v>1</v>
      </c>
      <c r="CJ6" s="71">
        <v>0</v>
      </c>
      <c r="CK6" s="71">
        <v>0</v>
      </c>
      <c r="CL6" s="71">
        <v>0</v>
      </c>
      <c r="CM6" s="71">
        <v>0</v>
      </c>
      <c r="CN6" s="71">
        <v>0</v>
      </c>
      <c r="CO6" s="71">
        <v>0</v>
      </c>
      <c r="CP6" s="71">
        <v>0</v>
      </c>
      <c r="CQ6" s="71">
        <v>0</v>
      </c>
      <c r="CR6" s="72">
        <v>1</v>
      </c>
      <c r="CS6" s="71">
        <v>0</v>
      </c>
      <c r="CT6" s="71">
        <v>0</v>
      </c>
      <c r="CU6" s="71">
        <v>0</v>
      </c>
      <c r="CV6" s="71">
        <v>0</v>
      </c>
      <c r="CW6" s="71">
        <v>0</v>
      </c>
      <c r="CX6" s="71">
        <v>0</v>
      </c>
      <c r="CY6" s="71">
        <v>0</v>
      </c>
      <c r="CZ6" s="71">
        <v>0</v>
      </c>
      <c r="DA6" s="71">
        <v>0</v>
      </c>
      <c r="DB6" s="71">
        <v>0</v>
      </c>
      <c r="DC6" s="71">
        <v>0</v>
      </c>
      <c r="DD6" s="71">
        <v>0</v>
      </c>
      <c r="DE6" s="71">
        <v>0</v>
      </c>
      <c r="DF6" s="71">
        <v>0</v>
      </c>
      <c r="DG6" s="71">
        <v>0</v>
      </c>
      <c r="DH6" s="71">
        <v>0</v>
      </c>
      <c r="DI6" s="71">
        <v>0</v>
      </c>
      <c r="DJ6" s="71">
        <v>0</v>
      </c>
      <c r="DK6" s="71">
        <v>0</v>
      </c>
    </row>
    <row r="7" spans="1:115" ht="31.5" x14ac:dyDescent="0.25">
      <c r="A7" s="347">
        <v>4</v>
      </c>
      <c r="B7" s="356" t="s">
        <v>142</v>
      </c>
      <c r="C7" s="349" t="s">
        <v>342</v>
      </c>
      <c r="D7" s="349"/>
      <c r="E7" s="349"/>
      <c r="F7" s="349"/>
      <c r="G7" s="349">
        <v>1</v>
      </c>
      <c r="H7" s="349"/>
      <c r="I7" s="349"/>
      <c r="J7" s="349"/>
      <c r="K7" s="350">
        <v>3</v>
      </c>
      <c r="L7" s="350">
        <v>1</v>
      </c>
      <c r="M7" s="350">
        <v>1</v>
      </c>
      <c r="N7" s="350">
        <v>1</v>
      </c>
      <c r="O7" s="351">
        <v>2</v>
      </c>
      <c r="P7" s="351">
        <v>2</v>
      </c>
      <c r="Q7" s="351"/>
      <c r="R7" s="351"/>
      <c r="S7" s="351">
        <v>1</v>
      </c>
      <c r="T7" s="351">
        <v>1</v>
      </c>
      <c r="U7" s="349">
        <v>1</v>
      </c>
      <c r="V7" s="349">
        <v>1</v>
      </c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>
        <v>1</v>
      </c>
      <c r="AL7" s="349">
        <v>1</v>
      </c>
      <c r="AM7" s="349"/>
      <c r="AN7" s="349"/>
      <c r="AO7" s="349">
        <v>3</v>
      </c>
      <c r="AP7" s="349">
        <v>3</v>
      </c>
      <c r="AQ7" s="349"/>
      <c r="AR7" s="349"/>
      <c r="AS7" s="349"/>
      <c r="AT7" s="349"/>
      <c r="AU7" s="349">
        <v>1</v>
      </c>
      <c r="AV7" s="349">
        <v>0</v>
      </c>
      <c r="AW7" s="349"/>
      <c r="AX7" s="349"/>
      <c r="AY7" s="349">
        <v>1</v>
      </c>
      <c r="AZ7" s="349">
        <v>0</v>
      </c>
      <c r="BA7" s="349"/>
      <c r="BB7" s="349"/>
      <c r="BC7" s="349">
        <v>2</v>
      </c>
      <c r="BD7" s="349">
        <v>0</v>
      </c>
      <c r="BE7" s="349"/>
      <c r="BF7" s="349"/>
      <c r="BG7" s="349"/>
      <c r="BH7" s="349"/>
      <c r="BI7" s="349">
        <v>1</v>
      </c>
      <c r="BJ7" s="349">
        <v>1</v>
      </c>
      <c r="BK7" s="349"/>
      <c r="BL7" s="349"/>
      <c r="BM7" s="349"/>
      <c r="BN7" s="349"/>
      <c r="BO7" s="349">
        <v>1</v>
      </c>
      <c r="BP7" s="349">
        <v>1</v>
      </c>
      <c r="BQ7" s="349">
        <v>1</v>
      </c>
      <c r="BR7" s="349">
        <v>0</v>
      </c>
      <c r="BS7" s="349"/>
      <c r="BT7" s="349"/>
      <c r="BU7" s="349"/>
      <c r="BV7" s="349"/>
      <c r="BW7" s="352">
        <v>3</v>
      </c>
      <c r="BX7" s="352">
        <v>1</v>
      </c>
      <c r="BY7" s="353">
        <f>G7+K7+O7+S7+U7+Y7+AC7+AG7+AK7+AO7+BO7+BS7+BW7+CH7+CL7+CP7+CT7+CX7+DB7+DF7</f>
        <v>17</v>
      </c>
      <c r="BZ7" s="353">
        <f t="shared" si="5"/>
        <v>12</v>
      </c>
      <c r="CA7" s="354">
        <f t="shared" si="6"/>
        <v>0.70588235294117652</v>
      </c>
      <c r="CB7" s="355">
        <f t="shared" si="0"/>
        <v>3</v>
      </c>
      <c r="CC7" s="355">
        <f t="shared" si="1"/>
        <v>2</v>
      </c>
      <c r="CD7" s="354">
        <f t="shared" si="7"/>
        <v>0.66666666666666663</v>
      </c>
      <c r="CE7" s="355">
        <f t="shared" si="2"/>
        <v>3</v>
      </c>
      <c r="CF7" s="355">
        <f t="shared" si="3"/>
        <v>0</v>
      </c>
      <c r="CG7" s="354">
        <f t="shared" si="8"/>
        <v>0</v>
      </c>
      <c r="CH7" s="71">
        <v>1</v>
      </c>
      <c r="CI7" s="71">
        <v>1</v>
      </c>
      <c r="CJ7" s="71">
        <v>0</v>
      </c>
      <c r="CK7" s="71">
        <v>0</v>
      </c>
      <c r="CL7" s="71">
        <v>0</v>
      </c>
      <c r="CM7" s="71">
        <v>0</v>
      </c>
      <c r="CN7" s="71">
        <v>0</v>
      </c>
      <c r="CO7" s="71">
        <v>0</v>
      </c>
      <c r="CP7" s="71">
        <v>0</v>
      </c>
      <c r="CQ7" s="71">
        <v>0</v>
      </c>
      <c r="CR7" s="71">
        <v>0</v>
      </c>
      <c r="CS7" s="71">
        <v>0</v>
      </c>
      <c r="CT7" s="71">
        <v>0</v>
      </c>
      <c r="CU7" s="71">
        <v>0</v>
      </c>
      <c r="CV7" s="71">
        <v>0</v>
      </c>
      <c r="CW7" s="71">
        <v>0</v>
      </c>
      <c r="CX7" s="71">
        <v>0</v>
      </c>
      <c r="CY7" s="71">
        <v>0</v>
      </c>
      <c r="CZ7" s="71">
        <v>0</v>
      </c>
      <c r="DA7" s="71">
        <v>0</v>
      </c>
      <c r="DB7" s="71">
        <v>0</v>
      </c>
      <c r="DC7" s="71">
        <v>0</v>
      </c>
      <c r="DD7" s="71">
        <v>0</v>
      </c>
      <c r="DE7" s="71">
        <v>0</v>
      </c>
      <c r="DF7" s="71">
        <v>0</v>
      </c>
      <c r="DG7" s="71">
        <v>0</v>
      </c>
      <c r="DH7" s="71">
        <v>0</v>
      </c>
      <c r="DI7" s="71">
        <v>0</v>
      </c>
      <c r="DJ7" s="71">
        <v>0</v>
      </c>
      <c r="DK7" s="71">
        <v>0</v>
      </c>
    </row>
    <row r="8" spans="1:115" ht="15.75" x14ac:dyDescent="0.25">
      <c r="A8" s="347">
        <v>5</v>
      </c>
      <c r="B8" s="356" t="s">
        <v>143</v>
      </c>
      <c r="C8" s="349" t="s">
        <v>342</v>
      </c>
      <c r="D8" s="349" t="s">
        <v>342</v>
      </c>
      <c r="E8" s="349"/>
      <c r="F8" s="349"/>
      <c r="G8" s="349"/>
      <c r="H8" s="349"/>
      <c r="I8" s="349"/>
      <c r="J8" s="349"/>
      <c r="K8" s="350"/>
      <c r="L8" s="350"/>
      <c r="M8" s="350">
        <v>0</v>
      </c>
      <c r="N8" s="350">
        <v>0</v>
      </c>
      <c r="O8" s="351">
        <v>1</v>
      </c>
      <c r="P8" s="351">
        <v>1</v>
      </c>
      <c r="Q8" s="351"/>
      <c r="R8" s="351"/>
      <c r="S8" s="351"/>
      <c r="T8" s="351"/>
      <c r="U8" s="349"/>
      <c r="V8" s="349"/>
      <c r="W8" s="349"/>
      <c r="X8" s="349"/>
      <c r="Y8" s="349">
        <v>5</v>
      </c>
      <c r="Z8" s="349">
        <v>0</v>
      </c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>
        <v>11</v>
      </c>
      <c r="AP8" s="349">
        <v>1</v>
      </c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>
        <v>1</v>
      </c>
      <c r="BD8" s="349">
        <v>0</v>
      </c>
      <c r="BE8" s="349"/>
      <c r="BF8" s="349"/>
      <c r="BG8" s="349"/>
      <c r="BH8" s="349"/>
      <c r="BI8" s="349"/>
      <c r="BJ8" s="349"/>
      <c r="BK8" s="349"/>
      <c r="BL8" s="349"/>
      <c r="BM8" s="349"/>
      <c r="BN8" s="349"/>
      <c r="BO8" s="349">
        <v>0</v>
      </c>
      <c r="BP8" s="349">
        <v>0</v>
      </c>
      <c r="BQ8" s="349"/>
      <c r="BR8" s="349"/>
      <c r="BS8" s="349"/>
      <c r="BT8" s="349"/>
      <c r="BU8" s="349"/>
      <c r="BV8" s="349"/>
      <c r="BW8" s="352"/>
      <c r="BX8" s="352"/>
      <c r="BY8" s="353">
        <f>O8+S8+U8+Y8+AC8+AG8+AK8+AO8+BO8+BS8+BW8+CH8+CL8+CP8+CT8+CX8+DB8+DF8</f>
        <v>17</v>
      </c>
      <c r="BZ8" s="353">
        <f>P8+T8+V8+Z8+AD8+AH8+AL8+AP8+BP8+BT8+BX8+CI8+CM8+CQ8+CU8+CY8+DC8+DG8</f>
        <v>2</v>
      </c>
      <c r="CA8" s="354">
        <f t="shared" si="6"/>
        <v>0.11764705882352941</v>
      </c>
      <c r="CB8" s="355">
        <f t="shared" si="0"/>
        <v>0</v>
      </c>
      <c r="CC8" s="355">
        <f t="shared" si="1"/>
        <v>0</v>
      </c>
      <c r="CD8" s="354">
        <v>0</v>
      </c>
      <c r="CE8" s="355">
        <f t="shared" si="2"/>
        <v>1</v>
      </c>
      <c r="CF8" s="355">
        <f t="shared" si="3"/>
        <v>0</v>
      </c>
      <c r="CG8" s="354">
        <f t="shared" si="8"/>
        <v>0</v>
      </c>
      <c r="CH8" s="71">
        <v>0</v>
      </c>
      <c r="CI8" s="71">
        <v>0</v>
      </c>
      <c r="CJ8" s="71">
        <v>0</v>
      </c>
      <c r="CK8" s="71">
        <v>0</v>
      </c>
      <c r="CL8" s="71">
        <v>0</v>
      </c>
      <c r="CM8" s="71">
        <v>0</v>
      </c>
      <c r="CN8" s="71">
        <v>0</v>
      </c>
      <c r="CO8" s="71">
        <v>0</v>
      </c>
      <c r="CP8" s="71">
        <v>0</v>
      </c>
      <c r="CQ8" s="71">
        <v>0</v>
      </c>
      <c r="CR8" s="71">
        <v>0</v>
      </c>
      <c r="CS8" s="71">
        <v>0</v>
      </c>
      <c r="CT8" s="71">
        <v>0</v>
      </c>
      <c r="CU8" s="71">
        <v>0</v>
      </c>
      <c r="CV8" s="71">
        <v>0</v>
      </c>
      <c r="CW8" s="71">
        <v>0</v>
      </c>
      <c r="CX8" s="71">
        <v>0</v>
      </c>
      <c r="CY8" s="71">
        <v>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0</v>
      </c>
      <c r="DF8" s="71">
        <v>0</v>
      </c>
      <c r="DG8" s="71">
        <v>0</v>
      </c>
      <c r="DH8" s="71">
        <v>0</v>
      </c>
      <c r="DI8" s="71">
        <v>0</v>
      </c>
      <c r="DJ8" s="71">
        <v>0</v>
      </c>
      <c r="DK8" s="71">
        <v>0</v>
      </c>
    </row>
    <row r="9" spans="1:115" ht="16.5" customHeight="1" x14ac:dyDescent="0.25">
      <c r="A9" s="347">
        <v>6</v>
      </c>
      <c r="B9" s="356" t="s">
        <v>313</v>
      </c>
      <c r="C9" s="349" t="s">
        <v>342</v>
      </c>
      <c r="D9" s="349"/>
      <c r="E9" s="349"/>
      <c r="F9" s="349"/>
      <c r="G9" s="349"/>
      <c r="H9" s="349"/>
      <c r="I9" s="349"/>
      <c r="J9" s="349"/>
      <c r="K9" s="350"/>
      <c r="L9" s="350"/>
      <c r="M9" s="350">
        <v>0</v>
      </c>
      <c r="N9" s="350">
        <v>0</v>
      </c>
      <c r="O9" s="351">
        <v>0</v>
      </c>
      <c r="P9" s="351">
        <v>0</v>
      </c>
      <c r="Q9" s="351"/>
      <c r="R9" s="351"/>
      <c r="S9" s="351">
        <v>1</v>
      </c>
      <c r="T9" s="351">
        <v>1</v>
      </c>
      <c r="U9" s="349">
        <v>1</v>
      </c>
      <c r="V9" s="349">
        <v>1</v>
      </c>
      <c r="W9" s="349">
        <v>1</v>
      </c>
      <c r="X9" s="349">
        <v>1</v>
      </c>
      <c r="Y9" s="349">
        <v>5</v>
      </c>
      <c r="Z9" s="349">
        <v>5</v>
      </c>
      <c r="AA9" s="349">
        <v>5</v>
      </c>
      <c r="AB9" s="349">
        <v>3</v>
      </c>
      <c r="AC9" s="349"/>
      <c r="AD9" s="349"/>
      <c r="AE9" s="349"/>
      <c r="AF9" s="349"/>
      <c r="AG9" s="349">
        <v>1</v>
      </c>
      <c r="AH9" s="349">
        <v>1</v>
      </c>
      <c r="AI9" s="349"/>
      <c r="AJ9" s="349"/>
      <c r="AK9" s="349"/>
      <c r="AL9" s="349"/>
      <c r="AM9" s="349"/>
      <c r="AN9" s="349"/>
      <c r="AO9" s="349">
        <v>2</v>
      </c>
      <c r="AP9" s="349">
        <v>2</v>
      </c>
      <c r="AQ9" s="349">
        <v>1</v>
      </c>
      <c r="AR9" s="349">
        <v>0</v>
      </c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>
        <v>4</v>
      </c>
      <c r="BF9" s="349"/>
      <c r="BG9" s="349"/>
      <c r="BH9" s="349"/>
      <c r="BI9" s="349"/>
      <c r="BJ9" s="349"/>
      <c r="BK9" s="349"/>
      <c r="BL9" s="349"/>
      <c r="BM9" s="349"/>
      <c r="BN9" s="349"/>
      <c r="BO9" s="349">
        <v>1</v>
      </c>
      <c r="BP9" s="349">
        <v>0</v>
      </c>
      <c r="BQ9" s="349"/>
      <c r="BR9" s="349"/>
      <c r="BS9" s="349"/>
      <c r="BT9" s="349"/>
      <c r="BU9" s="349"/>
      <c r="BV9" s="349"/>
      <c r="BW9" s="352"/>
      <c r="BX9" s="352"/>
      <c r="BY9" s="353">
        <f>O9+S9+U9+Y9+AC9+AG9+AK9+AO9+BO9+BS9+BW9+CH9+CL9+CP9+CT9+CX9+DB9+DF9</f>
        <v>12</v>
      </c>
      <c r="BZ9" s="353">
        <f t="shared" si="5"/>
        <v>10</v>
      </c>
      <c r="CA9" s="354">
        <f t="shared" si="6"/>
        <v>0.83333333333333337</v>
      </c>
      <c r="CB9" s="355">
        <f t="shared" si="0"/>
        <v>11</v>
      </c>
      <c r="CC9" s="355">
        <f t="shared" si="1"/>
        <v>4</v>
      </c>
      <c r="CD9" s="354">
        <f t="shared" si="7"/>
        <v>0.36363636363636365</v>
      </c>
      <c r="CE9" s="355">
        <f t="shared" si="2"/>
        <v>0</v>
      </c>
      <c r="CF9" s="355">
        <f t="shared" si="3"/>
        <v>0</v>
      </c>
      <c r="CG9" s="354">
        <v>0</v>
      </c>
      <c r="CH9" s="71">
        <v>1</v>
      </c>
      <c r="CI9" s="71">
        <v>0</v>
      </c>
      <c r="CJ9" s="71">
        <v>0</v>
      </c>
      <c r="CK9" s="71">
        <v>0</v>
      </c>
      <c r="CL9" s="71">
        <v>0</v>
      </c>
      <c r="CM9" s="71">
        <v>0</v>
      </c>
      <c r="CN9" s="71">
        <v>0</v>
      </c>
      <c r="CO9" s="71">
        <v>0</v>
      </c>
      <c r="CP9" s="71">
        <v>0</v>
      </c>
      <c r="CQ9" s="71">
        <v>0</v>
      </c>
      <c r="CR9" s="71">
        <v>0</v>
      </c>
      <c r="CS9" s="71">
        <v>0</v>
      </c>
      <c r="CT9" s="71">
        <v>0</v>
      </c>
      <c r="CU9" s="71">
        <v>0</v>
      </c>
      <c r="CV9" s="71">
        <v>0</v>
      </c>
      <c r="CW9" s="71">
        <v>0</v>
      </c>
      <c r="CX9" s="71">
        <v>0</v>
      </c>
      <c r="CY9" s="71">
        <v>0</v>
      </c>
      <c r="CZ9" s="71">
        <v>0</v>
      </c>
      <c r="DA9" s="71">
        <v>0</v>
      </c>
      <c r="DB9" s="71">
        <v>0</v>
      </c>
      <c r="DC9" s="71">
        <v>0</v>
      </c>
      <c r="DD9" s="71">
        <v>0</v>
      </c>
      <c r="DE9" s="71">
        <v>0</v>
      </c>
      <c r="DF9" s="71">
        <v>0</v>
      </c>
      <c r="DG9" s="71">
        <v>0</v>
      </c>
      <c r="DH9" s="71">
        <v>0</v>
      </c>
      <c r="DI9" s="71">
        <v>0</v>
      </c>
      <c r="DJ9" s="71">
        <v>0</v>
      </c>
      <c r="DK9" s="71">
        <v>0</v>
      </c>
    </row>
    <row r="10" spans="1:115" ht="15.75" x14ac:dyDescent="0.25">
      <c r="A10" s="347">
        <v>7</v>
      </c>
      <c r="B10" s="356" t="s">
        <v>144</v>
      </c>
      <c r="C10" s="349">
        <v>1</v>
      </c>
      <c r="D10" s="349">
        <v>1</v>
      </c>
      <c r="E10" s="349"/>
      <c r="F10" s="349"/>
      <c r="G10" s="349"/>
      <c r="H10" s="349"/>
      <c r="I10" s="349"/>
      <c r="J10" s="349"/>
      <c r="K10" s="350"/>
      <c r="L10" s="350"/>
      <c r="M10" s="350">
        <v>0</v>
      </c>
      <c r="N10" s="350">
        <v>0</v>
      </c>
      <c r="O10" s="351"/>
      <c r="P10" s="351"/>
      <c r="Q10" s="351"/>
      <c r="R10" s="351"/>
      <c r="S10" s="351"/>
      <c r="T10" s="351"/>
      <c r="U10" s="349">
        <v>2</v>
      </c>
      <c r="V10" s="349">
        <v>1</v>
      </c>
      <c r="W10" s="349"/>
      <c r="X10" s="349"/>
      <c r="Y10" s="349">
        <v>3</v>
      </c>
      <c r="Z10" s="349">
        <v>0</v>
      </c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>
        <v>3</v>
      </c>
      <c r="AP10" s="349">
        <v>2</v>
      </c>
      <c r="AQ10" s="349">
        <v>1</v>
      </c>
      <c r="AR10" s="349">
        <v>0</v>
      </c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>
        <v>0</v>
      </c>
      <c r="BP10" s="349">
        <v>0</v>
      </c>
      <c r="BQ10" s="349"/>
      <c r="BR10" s="349"/>
      <c r="BS10" s="349"/>
      <c r="BT10" s="349"/>
      <c r="BU10" s="349"/>
      <c r="BV10" s="349"/>
      <c r="BW10" s="352">
        <v>1</v>
      </c>
      <c r="BX10" s="352">
        <v>0</v>
      </c>
      <c r="BY10" s="353">
        <f t="shared" si="4"/>
        <v>10</v>
      </c>
      <c r="BZ10" s="353">
        <f t="shared" si="5"/>
        <v>4</v>
      </c>
      <c r="CA10" s="354">
        <f t="shared" si="6"/>
        <v>0.4</v>
      </c>
      <c r="CB10" s="355">
        <f t="shared" si="0"/>
        <v>1</v>
      </c>
      <c r="CC10" s="355">
        <f t="shared" si="1"/>
        <v>0</v>
      </c>
      <c r="CD10" s="354">
        <f t="shared" si="7"/>
        <v>0</v>
      </c>
      <c r="CE10" s="355">
        <f t="shared" si="2"/>
        <v>0</v>
      </c>
      <c r="CF10" s="355">
        <f t="shared" si="3"/>
        <v>0</v>
      </c>
      <c r="CG10" s="354">
        <v>0</v>
      </c>
      <c r="CH10" s="71">
        <v>0</v>
      </c>
      <c r="CI10" s="71">
        <v>0</v>
      </c>
      <c r="CJ10" s="71">
        <v>0</v>
      </c>
      <c r="CK10" s="71">
        <v>0</v>
      </c>
      <c r="CL10" s="71">
        <v>0</v>
      </c>
      <c r="CM10" s="71">
        <v>0</v>
      </c>
      <c r="CN10" s="71">
        <v>0</v>
      </c>
      <c r="CO10" s="71">
        <v>0</v>
      </c>
      <c r="CP10" s="71">
        <v>0</v>
      </c>
      <c r="CQ10" s="71">
        <v>0</v>
      </c>
      <c r="CR10" s="71">
        <v>0</v>
      </c>
      <c r="CS10" s="71">
        <v>0</v>
      </c>
      <c r="CT10" s="71">
        <v>0</v>
      </c>
      <c r="CU10" s="71">
        <v>0</v>
      </c>
      <c r="CV10" s="71">
        <v>0</v>
      </c>
      <c r="CW10" s="71">
        <v>0</v>
      </c>
      <c r="CX10" s="71">
        <v>0</v>
      </c>
      <c r="CY10" s="71">
        <v>0</v>
      </c>
      <c r="CZ10" s="71">
        <v>0</v>
      </c>
      <c r="DA10" s="71">
        <v>0</v>
      </c>
      <c r="DB10" s="71">
        <v>0</v>
      </c>
      <c r="DC10" s="71">
        <v>0</v>
      </c>
      <c r="DD10" s="71">
        <v>0</v>
      </c>
      <c r="DE10" s="71">
        <v>0</v>
      </c>
      <c r="DF10" s="71">
        <v>0</v>
      </c>
      <c r="DG10" s="71">
        <v>0</v>
      </c>
      <c r="DH10" s="71">
        <v>0</v>
      </c>
      <c r="DI10" s="71">
        <v>0</v>
      </c>
      <c r="DJ10" s="71">
        <v>0</v>
      </c>
      <c r="DK10" s="71">
        <v>0</v>
      </c>
    </row>
    <row r="11" spans="1:115" ht="15.75" x14ac:dyDescent="0.25">
      <c r="A11" s="347">
        <v>8</v>
      </c>
      <c r="B11" s="356" t="s">
        <v>145</v>
      </c>
      <c r="C11" s="349" t="s">
        <v>342</v>
      </c>
      <c r="D11" s="349"/>
      <c r="E11" s="349"/>
      <c r="F11" s="349"/>
      <c r="G11" s="349">
        <v>2</v>
      </c>
      <c r="H11" s="349">
        <v>2</v>
      </c>
      <c r="I11" s="349">
        <v>1</v>
      </c>
      <c r="J11" s="349">
        <v>1</v>
      </c>
      <c r="K11" s="350">
        <v>2</v>
      </c>
      <c r="L11" s="350">
        <v>0</v>
      </c>
      <c r="M11" s="350">
        <v>0</v>
      </c>
      <c r="N11" s="350">
        <v>0</v>
      </c>
      <c r="O11" s="351"/>
      <c r="P11" s="351"/>
      <c r="Q11" s="351"/>
      <c r="R11" s="351"/>
      <c r="S11" s="351"/>
      <c r="T11" s="351"/>
      <c r="U11" s="349">
        <v>2</v>
      </c>
      <c r="V11" s="349"/>
      <c r="W11" s="349"/>
      <c r="X11" s="349"/>
      <c r="Y11" s="349">
        <v>4</v>
      </c>
      <c r="Z11" s="349">
        <v>0</v>
      </c>
      <c r="AA11" s="349"/>
      <c r="AB11" s="349"/>
      <c r="AC11" s="349"/>
      <c r="AD11" s="349"/>
      <c r="AE11" s="349"/>
      <c r="AF11" s="349"/>
      <c r="AG11" s="349">
        <v>1</v>
      </c>
      <c r="AH11" s="349">
        <v>1</v>
      </c>
      <c r="AI11" s="349">
        <v>1</v>
      </c>
      <c r="AJ11" s="349">
        <v>1</v>
      </c>
      <c r="AK11" s="349">
        <v>1</v>
      </c>
      <c r="AL11" s="349">
        <v>1</v>
      </c>
      <c r="AM11" s="349">
        <v>1</v>
      </c>
      <c r="AN11" s="349">
        <v>0</v>
      </c>
      <c r="AO11" s="349">
        <v>2</v>
      </c>
      <c r="AP11" s="349">
        <v>0</v>
      </c>
      <c r="AQ11" s="349"/>
      <c r="AR11" s="349"/>
      <c r="AS11" s="349"/>
      <c r="AT11" s="349"/>
      <c r="AU11" s="349">
        <v>1</v>
      </c>
      <c r="AV11" s="349">
        <v>0</v>
      </c>
      <c r="AW11" s="349"/>
      <c r="AX11" s="349"/>
      <c r="AY11" s="349">
        <v>1</v>
      </c>
      <c r="AZ11" s="349">
        <v>0</v>
      </c>
      <c r="BA11" s="349"/>
      <c r="BB11" s="349"/>
      <c r="BC11" s="349">
        <v>1</v>
      </c>
      <c r="BD11" s="349">
        <v>0</v>
      </c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>
        <v>0</v>
      </c>
      <c r="BP11" s="349">
        <v>0</v>
      </c>
      <c r="BQ11" s="349"/>
      <c r="BR11" s="349"/>
      <c r="BS11" s="349"/>
      <c r="BT11" s="349"/>
      <c r="BU11" s="349"/>
      <c r="BV11" s="349"/>
      <c r="BW11" s="352">
        <v>1</v>
      </c>
      <c r="BX11" s="352">
        <v>1</v>
      </c>
      <c r="BY11" s="353">
        <f>G11+K11+O11+S11+U11+Y11+AC11+AG11+AK11+AO11+BO11+BS11+BW11+CH11+CL11+CP11+CT11+CX11+DB11+DF11</f>
        <v>16</v>
      </c>
      <c r="BZ11" s="353">
        <f t="shared" si="5"/>
        <v>5</v>
      </c>
      <c r="CA11" s="354">
        <f t="shared" si="6"/>
        <v>0.3125</v>
      </c>
      <c r="CB11" s="355">
        <f t="shared" si="0"/>
        <v>4</v>
      </c>
      <c r="CC11" s="355">
        <f t="shared" si="1"/>
        <v>2</v>
      </c>
      <c r="CD11" s="354">
        <f t="shared" si="7"/>
        <v>0.5</v>
      </c>
      <c r="CE11" s="355">
        <f t="shared" si="2"/>
        <v>2</v>
      </c>
      <c r="CF11" s="355">
        <f t="shared" si="3"/>
        <v>0</v>
      </c>
      <c r="CG11" s="354">
        <f t="shared" si="8"/>
        <v>0</v>
      </c>
      <c r="CH11" s="71">
        <v>1</v>
      </c>
      <c r="CI11" s="71">
        <v>0</v>
      </c>
      <c r="CJ11" s="71">
        <v>0</v>
      </c>
      <c r="CK11" s="71">
        <v>0</v>
      </c>
      <c r="CL11" s="71">
        <v>0</v>
      </c>
      <c r="CM11" s="71">
        <v>0</v>
      </c>
      <c r="CN11" s="71">
        <v>0</v>
      </c>
      <c r="CO11" s="71">
        <v>0</v>
      </c>
      <c r="CP11" s="71">
        <v>0</v>
      </c>
      <c r="CQ11" s="71">
        <v>0</v>
      </c>
      <c r="CR11" s="71">
        <v>0</v>
      </c>
      <c r="CS11" s="71">
        <v>0</v>
      </c>
      <c r="CT11" s="71">
        <v>0</v>
      </c>
      <c r="CU11" s="71">
        <v>0</v>
      </c>
      <c r="CV11" s="71">
        <v>0</v>
      </c>
      <c r="CW11" s="71">
        <v>0</v>
      </c>
      <c r="CX11" s="71">
        <v>0</v>
      </c>
      <c r="CY11" s="71">
        <v>0</v>
      </c>
      <c r="CZ11" s="71">
        <v>0</v>
      </c>
      <c r="DA11" s="71">
        <v>0</v>
      </c>
      <c r="DB11" s="71">
        <v>0</v>
      </c>
      <c r="DC11" s="71">
        <v>0</v>
      </c>
      <c r="DD11" s="71">
        <v>0</v>
      </c>
      <c r="DE11" s="71">
        <v>0</v>
      </c>
      <c r="DF11" s="71">
        <v>0</v>
      </c>
      <c r="DG11" s="71">
        <v>0</v>
      </c>
      <c r="DH11" s="71">
        <v>0</v>
      </c>
      <c r="DI11" s="71">
        <v>0</v>
      </c>
      <c r="DJ11" s="71">
        <v>0</v>
      </c>
      <c r="DK11" s="71">
        <v>0</v>
      </c>
    </row>
    <row r="12" spans="1:115" ht="15.75" x14ac:dyDescent="0.25">
      <c r="A12" s="347">
        <v>9</v>
      </c>
      <c r="B12" s="356" t="s">
        <v>146</v>
      </c>
      <c r="C12" s="349" t="s">
        <v>342</v>
      </c>
      <c r="D12" s="349"/>
      <c r="E12" s="349"/>
      <c r="F12" s="349"/>
      <c r="G12" s="349"/>
      <c r="H12" s="349"/>
      <c r="I12" s="349"/>
      <c r="J12" s="349"/>
      <c r="K12" s="350"/>
      <c r="L12" s="350"/>
      <c r="M12" s="350">
        <v>0</v>
      </c>
      <c r="N12" s="350">
        <v>0</v>
      </c>
      <c r="O12" s="351"/>
      <c r="P12" s="351"/>
      <c r="Q12" s="351"/>
      <c r="R12" s="351"/>
      <c r="S12" s="351"/>
      <c r="T12" s="351"/>
      <c r="U12" s="349">
        <v>2</v>
      </c>
      <c r="V12" s="349"/>
      <c r="W12" s="349"/>
      <c r="X12" s="349"/>
      <c r="Y12" s="349">
        <v>4</v>
      </c>
      <c r="Z12" s="349">
        <v>0</v>
      </c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>
        <v>1</v>
      </c>
      <c r="AP12" s="349">
        <v>0</v>
      </c>
      <c r="AQ12" s="349"/>
      <c r="AR12" s="349"/>
      <c r="AS12" s="349"/>
      <c r="AT12" s="349"/>
      <c r="AU12" s="349"/>
      <c r="AV12" s="349"/>
      <c r="AW12" s="349"/>
      <c r="AX12" s="349"/>
      <c r="AY12" s="349">
        <v>1</v>
      </c>
      <c r="AZ12" s="349">
        <v>0</v>
      </c>
      <c r="BA12" s="349"/>
      <c r="BB12" s="349"/>
      <c r="BC12" s="349"/>
      <c r="BD12" s="349"/>
      <c r="BE12" s="349"/>
      <c r="BF12" s="349"/>
      <c r="BG12" s="349"/>
      <c r="BH12" s="349"/>
      <c r="BI12" s="349"/>
      <c r="BJ12" s="349"/>
      <c r="BK12" s="349"/>
      <c r="BL12" s="349"/>
      <c r="BM12" s="349"/>
      <c r="BN12" s="349"/>
      <c r="BO12" s="349">
        <v>1</v>
      </c>
      <c r="BP12" s="349">
        <v>0</v>
      </c>
      <c r="BQ12" s="349"/>
      <c r="BR12" s="349"/>
      <c r="BS12" s="349"/>
      <c r="BT12" s="349"/>
      <c r="BU12" s="349"/>
      <c r="BV12" s="349"/>
      <c r="BW12" s="352"/>
      <c r="BX12" s="352"/>
      <c r="BY12" s="353">
        <f>U12+Y12+AC12+AG12+AK12+AO12+BO12+BS12+BW12+CH12+CL12+CP12+CT12+CX12+DB12+DF12</f>
        <v>9</v>
      </c>
      <c r="BZ12" s="353">
        <f t="shared" si="5"/>
        <v>0</v>
      </c>
      <c r="CA12" s="354">
        <f t="shared" si="6"/>
        <v>0</v>
      </c>
      <c r="CB12" s="355">
        <f t="shared" si="0"/>
        <v>1</v>
      </c>
      <c r="CC12" s="355">
        <f t="shared" si="1"/>
        <v>0</v>
      </c>
      <c r="CD12" s="354">
        <f t="shared" si="7"/>
        <v>0</v>
      </c>
      <c r="CE12" s="355">
        <f t="shared" si="2"/>
        <v>0</v>
      </c>
      <c r="CF12" s="355">
        <f t="shared" si="3"/>
        <v>0</v>
      </c>
      <c r="CG12" s="354">
        <v>0</v>
      </c>
      <c r="CH12" s="71">
        <v>1</v>
      </c>
      <c r="CI12" s="71">
        <v>0</v>
      </c>
      <c r="CJ12" s="71">
        <v>0</v>
      </c>
      <c r="CK12" s="71">
        <v>0</v>
      </c>
      <c r="CL12" s="71">
        <v>0</v>
      </c>
      <c r="CM12" s="71">
        <v>0</v>
      </c>
      <c r="CN12" s="71">
        <v>0</v>
      </c>
      <c r="CO12" s="71">
        <v>0</v>
      </c>
      <c r="CP12" s="71">
        <v>0</v>
      </c>
      <c r="CQ12" s="71">
        <v>0</v>
      </c>
      <c r="CR12" s="71">
        <v>0</v>
      </c>
      <c r="CS12" s="71">
        <v>0</v>
      </c>
      <c r="CT12" s="71">
        <v>0</v>
      </c>
      <c r="CU12" s="71">
        <v>0</v>
      </c>
      <c r="CV12" s="71">
        <v>0</v>
      </c>
      <c r="CW12" s="71">
        <v>0</v>
      </c>
      <c r="CX12" s="71">
        <v>0</v>
      </c>
      <c r="CY12" s="71">
        <v>0</v>
      </c>
      <c r="CZ12" s="71">
        <v>0</v>
      </c>
      <c r="DA12" s="71">
        <v>0</v>
      </c>
      <c r="DB12" s="71">
        <v>0</v>
      </c>
      <c r="DC12" s="71">
        <v>0</v>
      </c>
      <c r="DD12" s="71">
        <v>0</v>
      </c>
      <c r="DE12" s="71">
        <v>0</v>
      </c>
      <c r="DF12" s="71">
        <v>0</v>
      </c>
      <c r="DG12" s="71">
        <v>0</v>
      </c>
      <c r="DH12" s="71">
        <v>0</v>
      </c>
      <c r="DI12" s="71">
        <v>0</v>
      </c>
      <c r="DJ12" s="72">
        <v>17</v>
      </c>
      <c r="DK12" s="72">
        <v>0</v>
      </c>
    </row>
    <row r="13" spans="1:115" ht="31.5" x14ac:dyDescent="0.25">
      <c r="A13" s="347">
        <v>10</v>
      </c>
      <c r="B13" s="356" t="s">
        <v>172</v>
      </c>
      <c r="C13" s="349" t="s">
        <v>342</v>
      </c>
      <c r="D13" s="349"/>
      <c r="E13" s="349"/>
      <c r="F13" s="349"/>
      <c r="G13" s="349"/>
      <c r="H13" s="349"/>
      <c r="I13" s="349"/>
      <c r="J13" s="349"/>
      <c r="K13" s="350">
        <v>1</v>
      </c>
      <c r="L13" s="350">
        <v>0</v>
      </c>
      <c r="M13" s="350">
        <v>0</v>
      </c>
      <c r="N13" s="350">
        <v>0</v>
      </c>
      <c r="O13" s="351"/>
      <c r="P13" s="351"/>
      <c r="Q13" s="351"/>
      <c r="R13" s="351"/>
      <c r="S13" s="351"/>
      <c r="T13" s="351"/>
      <c r="U13" s="349">
        <v>1</v>
      </c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>
        <v>3</v>
      </c>
      <c r="AP13" s="349">
        <v>2</v>
      </c>
      <c r="AQ13" s="349">
        <v>1</v>
      </c>
      <c r="AR13" s="349">
        <v>0</v>
      </c>
      <c r="AS13" s="349"/>
      <c r="AT13" s="349"/>
      <c r="AU13" s="349"/>
      <c r="AV13" s="349"/>
      <c r="AW13" s="349"/>
      <c r="AX13" s="349"/>
      <c r="AY13" s="349">
        <v>1</v>
      </c>
      <c r="AZ13" s="349">
        <v>0</v>
      </c>
      <c r="BA13" s="349"/>
      <c r="BB13" s="349"/>
      <c r="BC13" s="349">
        <v>1</v>
      </c>
      <c r="BD13" s="349">
        <v>0</v>
      </c>
      <c r="BE13" s="349">
        <v>2</v>
      </c>
      <c r="BF13" s="349">
        <v>0</v>
      </c>
      <c r="BG13" s="349"/>
      <c r="BH13" s="349"/>
      <c r="BI13" s="349">
        <v>2</v>
      </c>
      <c r="BJ13" s="349">
        <v>1</v>
      </c>
      <c r="BK13" s="349"/>
      <c r="BL13" s="349"/>
      <c r="BM13" s="349"/>
      <c r="BN13" s="349"/>
      <c r="BO13" s="349">
        <v>0</v>
      </c>
      <c r="BP13" s="349">
        <v>0</v>
      </c>
      <c r="BQ13" s="349"/>
      <c r="BR13" s="349"/>
      <c r="BS13" s="349"/>
      <c r="BT13" s="349"/>
      <c r="BU13" s="349"/>
      <c r="BV13" s="349"/>
      <c r="BW13" s="352">
        <v>2</v>
      </c>
      <c r="BX13" s="352">
        <v>0</v>
      </c>
      <c r="BY13" s="353">
        <f>K13+O13+S13+U13+Y13+AC13+AG13+AK13+AO13+BO13+BS13+BW13+CH13+CL13+CP13+CT13+CX13+DB13+DF13</f>
        <v>8</v>
      </c>
      <c r="BZ13" s="353">
        <f t="shared" si="5"/>
        <v>2</v>
      </c>
      <c r="CA13" s="354">
        <f t="shared" si="6"/>
        <v>0.25</v>
      </c>
      <c r="CB13" s="355">
        <f t="shared" si="0"/>
        <v>6</v>
      </c>
      <c r="CC13" s="355">
        <f t="shared" si="1"/>
        <v>1</v>
      </c>
      <c r="CD13" s="354">
        <f t="shared" si="7"/>
        <v>0.16666666666666666</v>
      </c>
      <c r="CE13" s="355">
        <f t="shared" si="2"/>
        <v>1</v>
      </c>
      <c r="CF13" s="355">
        <f t="shared" si="3"/>
        <v>0</v>
      </c>
      <c r="CG13" s="354">
        <f t="shared" si="8"/>
        <v>0</v>
      </c>
      <c r="CH13" s="71">
        <v>1</v>
      </c>
      <c r="CI13" s="71">
        <v>0</v>
      </c>
      <c r="CJ13" s="71">
        <v>0</v>
      </c>
      <c r="CK13" s="71">
        <v>0</v>
      </c>
      <c r="CL13" s="71">
        <v>0</v>
      </c>
      <c r="CM13" s="71">
        <v>0</v>
      </c>
      <c r="CN13" s="71">
        <v>0</v>
      </c>
      <c r="CO13" s="71">
        <v>0</v>
      </c>
      <c r="CP13" s="71">
        <v>0</v>
      </c>
      <c r="CQ13" s="71">
        <v>0</v>
      </c>
      <c r="CR13" s="71">
        <v>0</v>
      </c>
      <c r="CS13" s="71">
        <v>0</v>
      </c>
      <c r="CT13" s="71">
        <v>0</v>
      </c>
      <c r="CU13" s="71">
        <v>0</v>
      </c>
      <c r="CV13" s="71">
        <v>0</v>
      </c>
      <c r="CW13" s="71">
        <v>0</v>
      </c>
      <c r="CX13" s="71">
        <v>0</v>
      </c>
      <c r="CY13" s="71">
        <v>0</v>
      </c>
      <c r="CZ13" s="71">
        <v>0</v>
      </c>
      <c r="DA13" s="71">
        <v>0</v>
      </c>
      <c r="DB13" s="71">
        <v>0</v>
      </c>
      <c r="DC13" s="71">
        <v>0</v>
      </c>
      <c r="DD13" s="71">
        <v>0</v>
      </c>
      <c r="DE13" s="71">
        <v>0</v>
      </c>
      <c r="DF13" s="71">
        <v>0</v>
      </c>
      <c r="DG13" s="71">
        <v>0</v>
      </c>
      <c r="DH13" s="71">
        <v>0</v>
      </c>
      <c r="DI13" s="71">
        <v>0</v>
      </c>
      <c r="DJ13" s="71">
        <v>0</v>
      </c>
      <c r="DK13" s="71">
        <v>0</v>
      </c>
    </row>
    <row r="14" spans="1:115" ht="15.75" x14ac:dyDescent="0.25">
      <c r="A14" s="347">
        <v>11</v>
      </c>
      <c r="B14" s="356" t="s">
        <v>314</v>
      </c>
      <c r="C14" s="349" t="s">
        <v>342</v>
      </c>
      <c r="D14" s="349"/>
      <c r="E14" s="349"/>
      <c r="F14" s="349"/>
      <c r="G14" s="349"/>
      <c r="H14" s="349"/>
      <c r="I14" s="349"/>
      <c r="J14" s="349"/>
      <c r="K14" s="350"/>
      <c r="L14" s="350"/>
      <c r="M14" s="350">
        <v>0</v>
      </c>
      <c r="N14" s="350">
        <v>0</v>
      </c>
      <c r="O14" s="351"/>
      <c r="P14" s="351"/>
      <c r="Q14" s="351"/>
      <c r="R14" s="351"/>
      <c r="S14" s="351"/>
      <c r="T14" s="351"/>
      <c r="U14" s="349">
        <v>2</v>
      </c>
      <c r="V14" s="349">
        <v>1</v>
      </c>
      <c r="W14" s="349"/>
      <c r="X14" s="349"/>
      <c r="Y14" s="349">
        <v>1</v>
      </c>
      <c r="Z14" s="349">
        <v>0</v>
      </c>
      <c r="AA14" s="349"/>
      <c r="AB14" s="349"/>
      <c r="AC14" s="349">
        <v>1</v>
      </c>
      <c r="AD14" s="349">
        <v>1</v>
      </c>
      <c r="AE14" s="349">
        <v>1</v>
      </c>
      <c r="AF14" s="349">
        <v>1</v>
      </c>
      <c r="AG14" s="349">
        <v>1</v>
      </c>
      <c r="AH14" s="349">
        <v>1</v>
      </c>
      <c r="AI14" s="349"/>
      <c r="AJ14" s="349"/>
      <c r="AK14" s="349"/>
      <c r="AL14" s="349"/>
      <c r="AM14" s="349"/>
      <c r="AN14" s="349"/>
      <c r="AO14" s="349">
        <v>5</v>
      </c>
      <c r="AP14" s="349">
        <v>2</v>
      </c>
      <c r="AQ14" s="349"/>
      <c r="AR14" s="349"/>
      <c r="AS14" s="349"/>
      <c r="AT14" s="349"/>
      <c r="AU14" s="349"/>
      <c r="AV14" s="349"/>
      <c r="AW14" s="349">
        <v>2</v>
      </c>
      <c r="AX14" s="349">
        <v>0</v>
      </c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>
        <v>1</v>
      </c>
      <c r="BJ14" s="349">
        <v>0</v>
      </c>
      <c r="BK14" s="349"/>
      <c r="BL14" s="349"/>
      <c r="BM14" s="349"/>
      <c r="BN14" s="349"/>
      <c r="BO14" s="349">
        <v>1</v>
      </c>
      <c r="BP14" s="349">
        <v>0</v>
      </c>
      <c r="BQ14" s="349"/>
      <c r="BR14" s="349"/>
      <c r="BS14" s="349"/>
      <c r="BT14" s="349"/>
      <c r="BU14" s="349"/>
      <c r="BV14" s="349"/>
      <c r="BW14" s="352">
        <v>2</v>
      </c>
      <c r="BX14" s="352">
        <v>2</v>
      </c>
      <c r="BY14" s="353">
        <f>U14+Y14+AC14+AG14+AK14+AO14+BO14+BS14+BW14+CH14+CL14+CP14+CT14+CX14+DB14+DF14</f>
        <v>14</v>
      </c>
      <c r="BZ14" s="353">
        <f t="shared" si="5"/>
        <v>7</v>
      </c>
      <c r="CA14" s="354">
        <f t="shared" si="6"/>
        <v>0.5</v>
      </c>
      <c r="CB14" s="355">
        <f t="shared" si="0"/>
        <v>4</v>
      </c>
      <c r="CC14" s="355">
        <f t="shared" si="1"/>
        <v>1</v>
      </c>
      <c r="CD14" s="354">
        <f t="shared" si="7"/>
        <v>0.25</v>
      </c>
      <c r="CE14" s="355">
        <f t="shared" si="2"/>
        <v>0</v>
      </c>
      <c r="CF14" s="355">
        <f t="shared" si="3"/>
        <v>0</v>
      </c>
      <c r="CG14" s="354">
        <v>0</v>
      </c>
      <c r="CH14" s="71">
        <v>1</v>
      </c>
      <c r="CI14" s="71">
        <v>0</v>
      </c>
      <c r="CJ14" s="71">
        <v>0</v>
      </c>
      <c r="CK14" s="71">
        <v>0</v>
      </c>
      <c r="CL14" s="71">
        <v>0</v>
      </c>
      <c r="CM14" s="71">
        <v>0</v>
      </c>
      <c r="CN14" s="71">
        <v>0</v>
      </c>
      <c r="CO14" s="71">
        <v>0</v>
      </c>
      <c r="CP14" s="71">
        <v>0</v>
      </c>
      <c r="CQ14" s="71">
        <v>0</v>
      </c>
      <c r="CR14" s="71">
        <v>0</v>
      </c>
      <c r="CS14" s="71">
        <v>0</v>
      </c>
      <c r="CT14" s="71">
        <v>0</v>
      </c>
      <c r="CU14" s="71">
        <v>0</v>
      </c>
      <c r="CV14" s="71">
        <v>0</v>
      </c>
      <c r="CW14" s="71">
        <v>0</v>
      </c>
      <c r="CX14" s="71">
        <v>0</v>
      </c>
      <c r="CY14" s="71">
        <v>0</v>
      </c>
      <c r="CZ14" s="72">
        <v>1</v>
      </c>
      <c r="DA14" s="72">
        <v>1</v>
      </c>
      <c r="DB14" s="71">
        <v>0</v>
      </c>
      <c r="DC14" s="71">
        <v>0</v>
      </c>
      <c r="DD14" s="71">
        <v>0</v>
      </c>
      <c r="DE14" s="71">
        <v>0</v>
      </c>
      <c r="DF14" s="71">
        <v>0</v>
      </c>
      <c r="DG14" s="71">
        <v>0</v>
      </c>
      <c r="DH14" s="71">
        <v>0</v>
      </c>
      <c r="DI14" s="71">
        <v>0</v>
      </c>
      <c r="DJ14" s="71">
        <v>0</v>
      </c>
      <c r="DK14" s="71">
        <v>0</v>
      </c>
    </row>
    <row r="15" spans="1:115" ht="15.75" x14ac:dyDescent="0.25">
      <c r="A15" s="347">
        <v>12</v>
      </c>
      <c r="B15" s="356" t="s">
        <v>315</v>
      </c>
      <c r="C15" s="349" t="s">
        <v>342</v>
      </c>
      <c r="D15" s="349"/>
      <c r="E15" s="349"/>
      <c r="F15" s="349"/>
      <c r="G15" s="349"/>
      <c r="H15" s="349"/>
      <c r="I15" s="349"/>
      <c r="J15" s="349"/>
      <c r="K15" s="350">
        <v>11</v>
      </c>
      <c r="L15" s="350">
        <v>1</v>
      </c>
      <c r="M15" s="350">
        <v>1</v>
      </c>
      <c r="N15" s="350">
        <v>0</v>
      </c>
      <c r="O15" s="351">
        <v>2</v>
      </c>
      <c r="P15" s="351">
        <v>2</v>
      </c>
      <c r="Q15" s="351">
        <v>1</v>
      </c>
      <c r="R15" s="351">
        <v>1</v>
      </c>
      <c r="S15" s="351">
        <v>10</v>
      </c>
      <c r="T15" s="351">
        <v>10</v>
      </c>
      <c r="U15" s="349"/>
      <c r="V15" s="349"/>
      <c r="W15" s="349"/>
      <c r="X15" s="349"/>
      <c r="Y15" s="349">
        <v>5</v>
      </c>
      <c r="Z15" s="349">
        <v>4</v>
      </c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>
        <v>2</v>
      </c>
      <c r="AP15" s="349">
        <v>0</v>
      </c>
      <c r="AQ15" s="349"/>
      <c r="AR15" s="349"/>
      <c r="AS15" s="349"/>
      <c r="AT15" s="349"/>
      <c r="AU15" s="349"/>
      <c r="AV15" s="349"/>
      <c r="AW15" s="349"/>
      <c r="AX15" s="349"/>
      <c r="AY15" s="349">
        <v>1</v>
      </c>
      <c r="AZ15" s="349">
        <v>0</v>
      </c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>
        <v>0</v>
      </c>
      <c r="BP15" s="349">
        <v>0</v>
      </c>
      <c r="BQ15" s="349"/>
      <c r="BR15" s="349"/>
      <c r="BS15" s="349"/>
      <c r="BT15" s="349"/>
      <c r="BU15" s="349"/>
      <c r="BV15" s="349"/>
      <c r="BW15" s="352">
        <v>1</v>
      </c>
      <c r="BX15" s="352">
        <v>0</v>
      </c>
      <c r="BY15" s="353">
        <f>K15+O15+S15+U15+Y15+AC15+AG15+AK15+AO15+BO15+BS15+BW15+CH15+CL15+CP15+CT15+CX15+DB15+DF15</f>
        <v>32</v>
      </c>
      <c r="BZ15" s="353">
        <f t="shared" si="5"/>
        <v>18</v>
      </c>
      <c r="CA15" s="354">
        <f t="shared" si="6"/>
        <v>0.5625</v>
      </c>
      <c r="CB15" s="355">
        <f t="shared" si="0"/>
        <v>3</v>
      </c>
      <c r="CC15" s="355">
        <f t="shared" si="1"/>
        <v>1</v>
      </c>
      <c r="CD15" s="354">
        <f t="shared" si="7"/>
        <v>0.33333333333333331</v>
      </c>
      <c r="CE15" s="355">
        <f t="shared" si="2"/>
        <v>0</v>
      </c>
      <c r="CF15" s="355">
        <f t="shared" si="3"/>
        <v>0</v>
      </c>
      <c r="CG15" s="354">
        <v>0</v>
      </c>
      <c r="CH15" s="71">
        <v>1</v>
      </c>
      <c r="CI15" s="71">
        <v>1</v>
      </c>
      <c r="CJ15" s="72">
        <v>1</v>
      </c>
      <c r="CK15" s="72">
        <v>0</v>
      </c>
      <c r="CL15" s="71">
        <v>0</v>
      </c>
      <c r="CM15" s="71">
        <v>0</v>
      </c>
      <c r="CN15" s="71">
        <v>0</v>
      </c>
      <c r="CO15" s="71">
        <v>0</v>
      </c>
      <c r="CP15" s="71">
        <v>0</v>
      </c>
      <c r="CQ15" s="71">
        <v>0</v>
      </c>
      <c r="CR15" s="72">
        <v>1</v>
      </c>
      <c r="CS15" s="72">
        <v>1</v>
      </c>
      <c r="CT15" s="71">
        <v>0</v>
      </c>
      <c r="CU15" s="71">
        <v>0</v>
      </c>
      <c r="CV15" s="71">
        <v>0</v>
      </c>
      <c r="CW15" s="71">
        <v>0</v>
      </c>
      <c r="CX15" s="71">
        <v>0</v>
      </c>
      <c r="CY15" s="71">
        <v>0</v>
      </c>
      <c r="CZ15" s="71">
        <v>0</v>
      </c>
      <c r="DA15" s="71">
        <v>0</v>
      </c>
      <c r="DB15" s="71">
        <v>0</v>
      </c>
      <c r="DC15" s="71">
        <v>0</v>
      </c>
      <c r="DD15" s="71">
        <v>0</v>
      </c>
      <c r="DE15" s="71">
        <v>0</v>
      </c>
      <c r="DF15" s="71">
        <v>0</v>
      </c>
      <c r="DG15" s="71">
        <v>0</v>
      </c>
      <c r="DH15" s="71">
        <v>0</v>
      </c>
      <c r="DI15" s="71">
        <v>0</v>
      </c>
      <c r="DJ15" s="71">
        <v>0</v>
      </c>
      <c r="DK15" s="71">
        <v>0</v>
      </c>
    </row>
    <row r="16" spans="1:115" ht="15.75" x14ac:dyDescent="0.25">
      <c r="A16" s="347">
        <v>13</v>
      </c>
      <c r="B16" s="356" t="s">
        <v>148</v>
      </c>
      <c r="C16" s="349" t="s">
        <v>342</v>
      </c>
      <c r="D16" s="349"/>
      <c r="E16" s="349"/>
      <c r="F16" s="349"/>
      <c r="G16" s="349">
        <v>1</v>
      </c>
      <c r="H16" s="349">
        <v>1</v>
      </c>
      <c r="I16" s="349">
        <v>1</v>
      </c>
      <c r="J16" s="349"/>
      <c r="K16" s="350"/>
      <c r="L16" s="350"/>
      <c r="M16" s="350">
        <v>0</v>
      </c>
      <c r="N16" s="350">
        <v>0</v>
      </c>
      <c r="O16" s="351"/>
      <c r="P16" s="351"/>
      <c r="Q16" s="351"/>
      <c r="R16" s="351"/>
      <c r="S16" s="351"/>
      <c r="T16" s="351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>
        <v>1</v>
      </c>
      <c r="AH16" s="349">
        <v>1</v>
      </c>
      <c r="AI16" s="349">
        <v>1</v>
      </c>
      <c r="AJ16" s="349">
        <v>1</v>
      </c>
      <c r="AK16" s="349"/>
      <c r="AL16" s="349"/>
      <c r="AM16" s="349"/>
      <c r="AN16" s="349"/>
      <c r="AO16" s="349">
        <v>2</v>
      </c>
      <c r="AP16" s="349">
        <v>1</v>
      </c>
      <c r="AQ16" s="349">
        <v>1</v>
      </c>
      <c r="AR16" s="349">
        <v>0</v>
      </c>
      <c r="AS16" s="349"/>
      <c r="AT16" s="349"/>
      <c r="AU16" s="349"/>
      <c r="AV16" s="349"/>
      <c r="AW16" s="349"/>
      <c r="AX16" s="349"/>
      <c r="AY16" s="349">
        <v>1</v>
      </c>
      <c r="AZ16" s="349">
        <v>0</v>
      </c>
      <c r="BA16" s="349"/>
      <c r="BB16" s="349"/>
      <c r="BC16" s="349"/>
      <c r="BD16" s="349"/>
      <c r="BE16" s="349"/>
      <c r="BF16" s="349"/>
      <c r="BG16" s="349"/>
      <c r="BH16" s="349"/>
      <c r="BI16" s="349">
        <v>1</v>
      </c>
      <c r="BJ16" s="349">
        <v>0</v>
      </c>
      <c r="BK16" s="349"/>
      <c r="BL16" s="349"/>
      <c r="BM16" s="349"/>
      <c r="BN16" s="349"/>
      <c r="BO16" s="349">
        <v>0</v>
      </c>
      <c r="BP16" s="349">
        <v>0</v>
      </c>
      <c r="BQ16" s="349"/>
      <c r="BR16" s="349"/>
      <c r="BS16" s="349"/>
      <c r="BT16" s="349"/>
      <c r="BU16" s="349">
        <v>2</v>
      </c>
      <c r="BV16" s="349">
        <v>2</v>
      </c>
      <c r="BW16" s="352"/>
      <c r="BX16" s="352"/>
      <c r="BY16" s="353">
        <f>G16+K16+O16+S16+U16+Y16+AC16+AG16+AK16+AO16+BO16+BS16+BW16+CH16+CL16+CP16+CT16+CX16+DB16+DF16</f>
        <v>5</v>
      </c>
      <c r="BZ16" s="353">
        <f t="shared" si="5"/>
        <v>4</v>
      </c>
      <c r="CA16" s="354">
        <f t="shared" si="6"/>
        <v>0.8</v>
      </c>
      <c r="CB16" s="355">
        <f t="shared" si="0"/>
        <v>7</v>
      </c>
      <c r="CC16" s="355">
        <f t="shared" si="1"/>
        <v>3</v>
      </c>
      <c r="CD16" s="354">
        <f t="shared" si="7"/>
        <v>0.42857142857142855</v>
      </c>
      <c r="CE16" s="355">
        <f t="shared" si="2"/>
        <v>0</v>
      </c>
      <c r="CF16" s="355">
        <f t="shared" si="3"/>
        <v>0</v>
      </c>
      <c r="CG16" s="354">
        <v>0</v>
      </c>
      <c r="CH16" s="71">
        <v>1</v>
      </c>
      <c r="CI16" s="71">
        <v>1</v>
      </c>
      <c r="CJ16" s="71">
        <v>0</v>
      </c>
      <c r="CK16" s="71">
        <v>0</v>
      </c>
      <c r="CL16" s="71">
        <v>0</v>
      </c>
      <c r="CM16" s="71">
        <v>0</v>
      </c>
      <c r="CN16" s="71">
        <v>0</v>
      </c>
      <c r="CO16" s="71">
        <v>0</v>
      </c>
      <c r="CP16" s="71">
        <v>0</v>
      </c>
      <c r="CQ16" s="71">
        <v>0</v>
      </c>
      <c r="CR16" s="71">
        <v>0</v>
      </c>
      <c r="CS16" s="71">
        <v>0</v>
      </c>
      <c r="CT16" s="71">
        <v>0</v>
      </c>
      <c r="CU16" s="71">
        <v>0</v>
      </c>
      <c r="CV16" s="71">
        <v>0</v>
      </c>
      <c r="CW16" s="71">
        <v>0</v>
      </c>
      <c r="CX16" s="71">
        <v>0</v>
      </c>
      <c r="CY16" s="71">
        <v>0</v>
      </c>
      <c r="CZ16" s="71">
        <v>0</v>
      </c>
      <c r="DA16" s="71">
        <v>0</v>
      </c>
      <c r="DB16" s="71">
        <v>0</v>
      </c>
      <c r="DC16" s="71">
        <v>0</v>
      </c>
      <c r="DD16" s="71">
        <v>0</v>
      </c>
      <c r="DE16" s="71">
        <v>0</v>
      </c>
      <c r="DF16" s="71">
        <v>0</v>
      </c>
      <c r="DG16" s="71">
        <v>0</v>
      </c>
      <c r="DH16" s="71">
        <v>0</v>
      </c>
      <c r="DI16" s="71">
        <v>0</v>
      </c>
      <c r="DJ16" s="71">
        <v>0</v>
      </c>
      <c r="DK16" s="71">
        <v>0</v>
      </c>
    </row>
    <row r="17" spans="1:115" ht="31.5" x14ac:dyDescent="0.25">
      <c r="A17" s="347">
        <v>14</v>
      </c>
      <c r="B17" s="356" t="s">
        <v>173</v>
      </c>
      <c r="C17" s="349"/>
      <c r="D17" s="349"/>
      <c r="E17" s="349"/>
      <c r="F17" s="349"/>
      <c r="G17" s="349"/>
      <c r="H17" s="349"/>
      <c r="I17" s="349"/>
      <c r="J17" s="349"/>
      <c r="K17" s="350"/>
      <c r="L17" s="350"/>
      <c r="M17" s="350">
        <v>0</v>
      </c>
      <c r="N17" s="350">
        <v>0</v>
      </c>
      <c r="O17" s="351">
        <v>0</v>
      </c>
      <c r="P17" s="351">
        <v>0</v>
      </c>
      <c r="Q17" s="351"/>
      <c r="R17" s="351"/>
      <c r="S17" s="351">
        <v>1</v>
      </c>
      <c r="T17" s="351">
        <v>1</v>
      </c>
      <c r="U17" s="349">
        <v>1</v>
      </c>
      <c r="V17" s="349">
        <v>1</v>
      </c>
      <c r="W17" s="349">
        <v>1</v>
      </c>
      <c r="X17" s="349">
        <v>0</v>
      </c>
      <c r="Y17" s="349">
        <v>3</v>
      </c>
      <c r="Z17" s="349">
        <v>0</v>
      </c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>
        <v>5</v>
      </c>
      <c r="AP17" s="349">
        <v>0</v>
      </c>
      <c r="AQ17" s="349"/>
      <c r="AR17" s="349"/>
      <c r="AS17" s="349"/>
      <c r="AT17" s="349"/>
      <c r="AU17" s="349"/>
      <c r="AV17" s="349"/>
      <c r="AW17" s="349"/>
      <c r="AX17" s="349"/>
      <c r="AY17" s="349">
        <v>2</v>
      </c>
      <c r="AZ17" s="349">
        <v>0</v>
      </c>
      <c r="BA17" s="349"/>
      <c r="BB17" s="349"/>
      <c r="BC17" s="349">
        <v>1</v>
      </c>
      <c r="BD17" s="349">
        <v>0</v>
      </c>
      <c r="BE17" s="349"/>
      <c r="BF17" s="349"/>
      <c r="BG17" s="349"/>
      <c r="BH17" s="349"/>
      <c r="BI17" s="349"/>
      <c r="BJ17" s="349"/>
      <c r="BK17" s="349"/>
      <c r="BL17" s="349"/>
      <c r="BM17" s="349"/>
      <c r="BN17" s="349"/>
      <c r="BO17" s="349">
        <v>0</v>
      </c>
      <c r="BP17" s="349">
        <v>0</v>
      </c>
      <c r="BQ17" s="349"/>
      <c r="BR17" s="349"/>
      <c r="BS17" s="349"/>
      <c r="BT17" s="349"/>
      <c r="BU17" s="349"/>
      <c r="BV17" s="349"/>
      <c r="BW17" s="352">
        <v>1</v>
      </c>
      <c r="BX17" s="352">
        <v>1</v>
      </c>
      <c r="BY17" s="353">
        <f t="shared" si="4"/>
        <v>12</v>
      </c>
      <c r="BZ17" s="353">
        <f t="shared" si="5"/>
        <v>3</v>
      </c>
      <c r="CA17" s="354">
        <f t="shared" si="6"/>
        <v>0.25</v>
      </c>
      <c r="CB17" s="355">
        <f t="shared" si="0"/>
        <v>3</v>
      </c>
      <c r="CC17" s="355">
        <f t="shared" si="1"/>
        <v>0</v>
      </c>
      <c r="CD17" s="354">
        <f t="shared" si="7"/>
        <v>0</v>
      </c>
      <c r="CE17" s="355">
        <f t="shared" si="2"/>
        <v>1</v>
      </c>
      <c r="CF17" s="355">
        <f t="shared" si="3"/>
        <v>0</v>
      </c>
      <c r="CG17" s="354">
        <f t="shared" si="8"/>
        <v>0</v>
      </c>
      <c r="CH17" s="71">
        <v>1</v>
      </c>
      <c r="CI17" s="71">
        <v>0</v>
      </c>
      <c r="CJ17" s="71">
        <v>0</v>
      </c>
      <c r="CK17" s="71">
        <v>0</v>
      </c>
      <c r="CL17" s="71">
        <v>0</v>
      </c>
      <c r="CM17" s="71">
        <v>0</v>
      </c>
      <c r="CN17" s="71">
        <v>0</v>
      </c>
      <c r="CO17" s="71">
        <v>0</v>
      </c>
      <c r="CP17" s="71">
        <v>0</v>
      </c>
      <c r="CQ17" s="71">
        <v>0</v>
      </c>
      <c r="CR17" s="71">
        <v>0</v>
      </c>
      <c r="CS17" s="71">
        <v>0</v>
      </c>
      <c r="CT17" s="71">
        <v>0</v>
      </c>
      <c r="CU17" s="71">
        <v>0</v>
      </c>
      <c r="CV17" s="71">
        <v>0</v>
      </c>
      <c r="CW17" s="71">
        <v>0</v>
      </c>
      <c r="CX17" s="71">
        <v>0</v>
      </c>
      <c r="CY17" s="71">
        <v>0</v>
      </c>
      <c r="CZ17" s="71">
        <v>0</v>
      </c>
      <c r="DA17" s="71">
        <v>0</v>
      </c>
      <c r="DB17" s="71">
        <v>0</v>
      </c>
      <c r="DC17" s="71">
        <v>0</v>
      </c>
      <c r="DD17" s="71">
        <v>0</v>
      </c>
      <c r="DE17" s="71">
        <v>0</v>
      </c>
      <c r="DF17" s="71">
        <v>0</v>
      </c>
      <c r="DG17" s="71">
        <v>0</v>
      </c>
      <c r="DH17" s="71">
        <v>0</v>
      </c>
      <c r="DI17" s="71">
        <v>0</v>
      </c>
      <c r="DJ17" s="71">
        <v>0</v>
      </c>
      <c r="DK17" s="71">
        <v>0</v>
      </c>
    </row>
    <row r="18" spans="1:115" ht="15.75" x14ac:dyDescent="0.25">
      <c r="A18" s="347">
        <v>15</v>
      </c>
      <c r="B18" s="356" t="s">
        <v>149</v>
      </c>
      <c r="C18" s="349" t="s">
        <v>342</v>
      </c>
      <c r="D18" s="349"/>
      <c r="E18" s="349"/>
      <c r="F18" s="349"/>
      <c r="G18" s="349"/>
      <c r="H18" s="349"/>
      <c r="I18" s="349"/>
      <c r="J18" s="349"/>
      <c r="K18" s="350"/>
      <c r="L18" s="350"/>
      <c r="M18" s="350">
        <v>0</v>
      </c>
      <c r="N18" s="350">
        <v>0</v>
      </c>
      <c r="O18" s="351"/>
      <c r="P18" s="351"/>
      <c r="Q18" s="351"/>
      <c r="R18" s="351"/>
      <c r="S18" s="351"/>
      <c r="T18" s="351"/>
      <c r="U18" s="349">
        <v>2</v>
      </c>
      <c r="V18" s="349">
        <v>1</v>
      </c>
      <c r="W18" s="349"/>
      <c r="X18" s="349"/>
      <c r="Y18" s="349">
        <v>1</v>
      </c>
      <c r="Z18" s="349">
        <v>0</v>
      </c>
      <c r="AA18" s="349"/>
      <c r="AB18" s="349"/>
      <c r="AC18" s="349"/>
      <c r="AD18" s="349"/>
      <c r="AE18" s="349"/>
      <c r="AF18" s="349"/>
      <c r="AG18" s="349"/>
      <c r="AH18" s="349"/>
      <c r="AI18" s="349"/>
      <c r="AJ18" s="349"/>
      <c r="AK18" s="349"/>
      <c r="AL18" s="349"/>
      <c r="AM18" s="349"/>
      <c r="AN18" s="349"/>
      <c r="AO18" s="349">
        <v>1</v>
      </c>
      <c r="AP18" s="349">
        <v>0</v>
      </c>
      <c r="AQ18" s="349"/>
      <c r="AR18" s="349"/>
      <c r="AS18" s="349"/>
      <c r="AT18" s="349"/>
      <c r="AU18" s="349"/>
      <c r="AV18" s="349"/>
      <c r="AW18" s="349"/>
      <c r="AX18" s="349"/>
      <c r="AY18" s="349"/>
      <c r="AZ18" s="349"/>
      <c r="BA18" s="349"/>
      <c r="BB18" s="349"/>
      <c r="BC18" s="349"/>
      <c r="BD18" s="349"/>
      <c r="BE18" s="349"/>
      <c r="BF18" s="349"/>
      <c r="BG18" s="349"/>
      <c r="BH18" s="349"/>
      <c r="BI18" s="349"/>
      <c r="BJ18" s="349"/>
      <c r="BK18" s="349"/>
      <c r="BL18" s="349"/>
      <c r="BM18" s="349"/>
      <c r="BN18" s="349"/>
      <c r="BO18" s="349">
        <v>0</v>
      </c>
      <c r="BP18" s="349">
        <v>0</v>
      </c>
      <c r="BQ18" s="349"/>
      <c r="BR18" s="349"/>
      <c r="BS18" s="349"/>
      <c r="BT18" s="349"/>
      <c r="BU18" s="349"/>
      <c r="BV18" s="349"/>
      <c r="BW18" s="352"/>
      <c r="BX18" s="352"/>
      <c r="BY18" s="353">
        <f>U18+Y18+AC18+AG18+AK18+AO18+BO18+BS18+BW18+CH18+CL18+CP18+CT18+CX18+DB18+DF18</f>
        <v>5</v>
      </c>
      <c r="BZ18" s="353">
        <f t="shared" si="5"/>
        <v>1</v>
      </c>
      <c r="CA18" s="354">
        <f t="shared" si="6"/>
        <v>0.2</v>
      </c>
      <c r="CB18" s="355">
        <f t="shared" si="0"/>
        <v>0</v>
      </c>
      <c r="CC18" s="355">
        <f t="shared" si="1"/>
        <v>0</v>
      </c>
      <c r="CD18" s="354">
        <v>0</v>
      </c>
      <c r="CE18" s="355">
        <f t="shared" si="2"/>
        <v>0</v>
      </c>
      <c r="CF18" s="355">
        <f t="shared" si="3"/>
        <v>0</v>
      </c>
      <c r="CG18" s="354">
        <v>0</v>
      </c>
      <c r="CH18" s="71">
        <v>1</v>
      </c>
      <c r="CI18" s="71">
        <v>0</v>
      </c>
      <c r="CJ18" s="71">
        <v>0</v>
      </c>
      <c r="CK18" s="71">
        <v>0</v>
      </c>
      <c r="CL18" s="71">
        <v>0</v>
      </c>
      <c r="CM18" s="71">
        <v>0</v>
      </c>
      <c r="CN18" s="71">
        <v>0</v>
      </c>
      <c r="CO18" s="71">
        <v>0</v>
      </c>
      <c r="CP18" s="71">
        <v>0</v>
      </c>
      <c r="CQ18" s="71">
        <v>0</v>
      </c>
      <c r="CR18" s="71">
        <v>0</v>
      </c>
      <c r="CS18" s="71">
        <v>0</v>
      </c>
      <c r="CT18" s="71">
        <v>0</v>
      </c>
      <c r="CU18" s="71">
        <v>0</v>
      </c>
      <c r="CV18" s="71">
        <v>0</v>
      </c>
      <c r="CW18" s="71">
        <v>0</v>
      </c>
      <c r="CX18" s="71">
        <v>0</v>
      </c>
      <c r="CY18" s="71">
        <v>0</v>
      </c>
      <c r="CZ18" s="71">
        <v>0</v>
      </c>
      <c r="DA18" s="71">
        <v>0</v>
      </c>
      <c r="DB18" s="71">
        <v>0</v>
      </c>
      <c r="DC18" s="71">
        <v>0</v>
      </c>
      <c r="DD18" s="71">
        <v>0</v>
      </c>
      <c r="DE18" s="71">
        <v>0</v>
      </c>
      <c r="DF18" s="71">
        <v>0</v>
      </c>
      <c r="DG18" s="71">
        <v>0</v>
      </c>
      <c r="DH18" s="71">
        <v>0</v>
      </c>
      <c r="DI18" s="71">
        <v>0</v>
      </c>
      <c r="DJ18" s="71">
        <v>0</v>
      </c>
      <c r="DK18" s="71">
        <v>0</v>
      </c>
    </row>
    <row r="19" spans="1:115" ht="15.75" x14ac:dyDescent="0.25">
      <c r="A19" s="347">
        <v>16</v>
      </c>
      <c r="B19" s="356" t="s">
        <v>150</v>
      </c>
      <c r="C19" s="349" t="s">
        <v>342</v>
      </c>
      <c r="D19" s="349"/>
      <c r="E19" s="349"/>
      <c r="F19" s="349"/>
      <c r="G19" s="349"/>
      <c r="H19" s="349"/>
      <c r="I19" s="349"/>
      <c r="J19" s="349"/>
      <c r="K19" s="350"/>
      <c r="L19" s="350"/>
      <c r="M19" s="350">
        <v>0</v>
      </c>
      <c r="N19" s="350">
        <v>0</v>
      </c>
      <c r="O19" s="351">
        <v>1</v>
      </c>
      <c r="P19" s="351">
        <v>1</v>
      </c>
      <c r="Q19" s="351"/>
      <c r="R19" s="351"/>
      <c r="S19" s="351"/>
      <c r="T19" s="351"/>
      <c r="U19" s="349">
        <v>1</v>
      </c>
      <c r="V19" s="349">
        <v>1</v>
      </c>
      <c r="W19" s="349">
        <v>1</v>
      </c>
      <c r="X19" s="349">
        <v>1</v>
      </c>
      <c r="Y19" s="349">
        <v>2</v>
      </c>
      <c r="Z19" s="349">
        <v>0</v>
      </c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>
        <v>2</v>
      </c>
      <c r="AP19" s="349">
        <v>1</v>
      </c>
      <c r="AQ19" s="349">
        <v>1</v>
      </c>
      <c r="AR19" s="349">
        <v>0</v>
      </c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C19" s="349">
        <v>1</v>
      </c>
      <c r="BD19" s="349">
        <v>0</v>
      </c>
      <c r="BE19" s="349"/>
      <c r="BF19" s="349"/>
      <c r="BG19" s="349"/>
      <c r="BH19" s="349"/>
      <c r="BI19" s="349">
        <v>2</v>
      </c>
      <c r="BJ19" s="349">
        <v>0</v>
      </c>
      <c r="BK19" s="349"/>
      <c r="BL19" s="349"/>
      <c r="BM19" s="349"/>
      <c r="BN19" s="349"/>
      <c r="BO19" s="349">
        <v>0</v>
      </c>
      <c r="BP19" s="349">
        <v>0</v>
      </c>
      <c r="BQ19" s="349"/>
      <c r="BR19" s="349"/>
      <c r="BS19" s="349"/>
      <c r="BT19" s="349"/>
      <c r="BU19" s="349"/>
      <c r="BV19" s="349"/>
      <c r="BW19" s="352"/>
      <c r="BX19" s="352"/>
      <c r="BY19" s="353">
        <f>O19+S19+U19+Y19+AC19+AG19+AK19+AO19+BO19+BS19+BW19+CH19+CL19+CP19+CT19+CX19+DB19+DF19</f>
        <v>6</v>
      </c>
      <c r="BZ19" s="353">
        <f t="shared" si="5"/>
        <v>3</v>
      </c>
      <c r="CA19" s="354">
        <f t="shared" si="6"/>
        <v>0.5</v>
      </c>
      <c r="CB19" s="355">
        <f t="shared" si="0"/>
        <v>4</v>
      </c>
      <c r="CC19" s="355">
        <f t="shared" si="1"/>
        <v>1</v>
      </c>
      <c r="CD19" s="354">
        <f t="shared" si="7"/>
        <v>0.25</v>
      </c>
      <c r="CE19" s="355">
        <f t="shared" si="2"/>
        <v>1</v>
      </c>
      <c r="CF19" s="355">
        <f t="shared" si="3"/>
        <v>0</v>
      </c>
      <c r="CG19" s="354">
        <f t="shared" si="8"/>
        <v>0</v>
      </c>
      <c r="CH19" s="71">
        <v>0</v>
      </c>
      <c r="CI19" s="71">
        <v>0</v>
      </c>
      <c r="CJ19" s="71">
        <v>0</v>
      </c>
      <c r="CK19" s="71">
        <v>0</v>
      </c>
      <c r="CL19" s="71">
        <v>0</v>
      </c>
      <c r="CM19" s="71">
        <v>0</v>
      </c>
      <c r="CN19" s="71">
        <v>0</v>
      </c>
      <c r="CO19" s="71">
        <v>0</v>
      </c>
      <c r="CP19" s="71">
        <v>0</v>
      </c>
      <c r="CQ19" s="71">
        <v>0</v>
      </c>
      <c r="CR19" s="71">
        <v>0</v>
      </c>
      <c r="CS19" s="71">
        <v>0</v>
      </c>
      <c r="CT19" s="71">
        <v>0</v>
      </c>
      <c r="CU19" s="71">
        <v>0</v>
      </c>
      <c r="CV19" s="71">
        <v>0</v>
      </c>
      <c r="CW19" s="71">
        <v>0</v>
      </c>
      <c r="CX19" s="71">
        <v>0</v>
      </c>
      <c r="CY19" s="71">
        <v>0</v>
      </c>
      <c r="CZ19" s="71">
        <v>0</v>
      </c>
      <c r="DA19" s="71">
        <v>0</v>
      </c>
      <c r="DB19" s="71">
        <v>0</v>
      </c>
      <c r="DC19" s="71">
        <v>0</v>
      </c>
      <c r="DD19" s="71">
        <v>0</v>
      </c>
      <c r="DE19" s="71">
        <v>0</v>
      </c>
      <c r="DF19" s="71">
        <v>0</v>
      </c>
      <c r="DG19" s="71">
        <v>0</v>
      </c>
      <c r="DH19" s="71">
        <v>0</v>
      </c>
      <c r="DI19" s="71">
        <v>0</v>
      </c>
      <c r="DJ19" s="71">
        <v>0</v>
      </c>
      <c r="DK19" s="71">
        <v>0</v>
      </c>
    </row>
    <row r="20" spans="1:115" ht="15.75" x14ac:dyDescent="0.25">
      <c r="A20" s="347">
        <v>17</v>
      </c>
      <c r="B20" s="356" t="s">
        <v>151</v>
      </c>
      <c r="C20" s="349" t="s">
        <v>342</v>
      </c>
      <c r="D20" s="349"/>
      <c r="E20" s="349"/>
      <c r="F20" s="349"/>
      <c r="G20" s="349"/>
      <c r="H20" s="349"/>
      <c r="I20" s="349"/>
      <c r="J20" s="349"/>
      <c r="K20" s="350"/>
      <c r="L20" s="350"/>
      <c r="M20" s="350">
        <v>0</v>
      </c>
      <c r="N20" s="350">
        <v>0</v>
      </c>
      <c r="O20" s="351">
        <v>0</v>
      </c>
      <c r="P20" s="351">
        <v>0</v>
      </c>
      <c r="Q20" s="351"/>
      <c r="R20" s="351"/>
      <c r="S20" s="351"/>
      <c r="T20" s="351"/>
      <c r="U20" s="349">
        <v>2</v>
      </c>
      <c r="V20" s="349">
        <v>1</v>
      </c>
      <c r="W20" s="349"/>
      <c r="X20" s="349"/>
      <c r="Y20" s="349">
        <v>4</v>
      </c>
      <c r="Z20" s="349">
        <v>0</v>
      </c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>
        <v>2</v>
      </c>
      <c r="AP20" s="349">
        <v>0</v>
      </c>
      <c r="AQ20" s="349"/>
      <c r="AR20" s="349"/>
      <c r="AS20" s="349"/>
      <c r="AT20" s="349"/>
      <c r="AU20" s="349"/>
      <c r="AV20" s="349"/>
      <c r="AW20" s="349"/>
      <c r="AX20" s="349"/>
      <c r="AY20" s="349"/>
      <c r="AZ20" s="349"/>
      <c r="BA20" s="349"/>
      <c r="BB20" s="349"/>
      <c r="BC20" s="349">
        <v>2</v>
      </c>
      <c r="BD20" s="349">
        <v>0</v>
      </c>
      <c r="BE20" s="349"/>
      <c r="BF20" s="349"/>
      <c r="BG20" s="349"/>
      <c r="BH20" s="349"/>
      <c r="BI20" s="349">
        <v>2</v>
      </c>
      <c r="BJ20" s="349">
        <v>0</v>
      </c>
      <c r="BK20" s="349"/>
      <c r="BL20" s="349"/>
      <c r="BM20" s="349"/>
      <c r="BN20" s="349"/>
      <c r="BO20" s="349">
        <v>0</v>
      </c>
      <c r="BP20" s="349">
        <v>0</v>
      </c>
      <c r="BQ20" s="349"/>
      <c r="BR20" s="349"/>
      <c r="BS20" s="349"/>
      <c r="BT20" s="349"/>
      <c r="BU20" s="349"/>
      <c r="BV20" s="349"/>
      <c r="BW20" s="352">
        <v>1</v>
      </c>
      <c r="BX20" s="352">
        <v>0</v>
      </c>
      <c r="BY20" s="353">
        <f>O20+S20+U20+Y20+AC20+AG20+AK20+AO20+BO20+BS20+BW20+CH20+CL20+CP20+CT20+CX20+DB20+DF20</f>
        <v>10</v>
      </c>
      <c r="BZ20" s="353">
        <f t="shared" si="5"/>
        <v>1</v>
      </c>
      <c r="CA20" s="354">
        <f t="shared" si="6"/>
        <v>0.1</v>
      </c>
      <c r="CB20" s="355">
        <f t="shared" si="0"/>
        <v>2</v>
      </c>
      <c r="CC20" s="355">
        <f t="shared" si="1"/>
        <v>0</v>
      </c>
      <c r="CD20" s="354">
        <f t="shared" si="7"/>
        <v>0</v>
      </c>
      <c r="CE20" s="355">
        <f t="shared" si="2"/>
        <v>2</v>
      </c>
      <c r="CF20" s="355">
        <f t="shared" si="3"/>
        <v>0</v>
      </c>
      <c r="CG20" s="354">
        <f t="shared" si="8"/>
        <v>0</v>
      </c>
      <c r="CH20" s="71">
        <v>1</v>
      </c>
      <c r="CI20" s="71">
        <v>0</v>
      </c>
      <c r="CJ20" s="71">
        <v>0</v>
      </c>
      <c r="CK20" s="71">
        <v>0</v>
      </c>
      <c r="CL20" s="71">
        <v>0</v>
      </c>
      <c r="CM20" s="71">
        <v>0</v>
      </c>
      <c r="CN20" s="71">
        <v>0</v>
      </c>
      <c r="CO20" s="71">
        <v>0</v>
      </c>
      <c r="CP20" s="71">
        <v>0</v>
      </c>
      <c r="CQ20" s="71">
        <v>0</v>
      </c>
      <c r="CR20" s="71">
        <v>0</v>
      </c>
      <c r="CS20" s="71">
        <v>0</v>
      </c>
      <c r="CT20" s="71">
        <v>0</v>
      </c>
      <c r="CU20" s="71">
        <v>0</v>
      </c>
      <c r="CV20" s="72">
        <v>1</v>
      </c>
      <c r="CW20" s="71">
        <v>0</v>
      </c>
      <c r="CX20" s="71">
        <v>0</v>
      </c>
      <c r="CY20" s="71">
        <v>0</v>
      </c>
      <c r="CZ20" s="71">
        <v>0</v>
      </c>
      <c r="DA20" s="71">
        <v>0</v>
      </c>
      <c r="DB20" s="71">
        <v>0</v>
      </c>
      <c r="DC20" s="71">
        <v>0</v>
      </c>
      <c r="DD20" s="71">
        <v>0</v>
      </c>
      <c r="DE20" s="71">
        <v>0</v>
      </c>
      <c r="DF20" s="71">
        <v>0</v>
      </c>
      <c r="DG20" s="71">
        <v>0</v>
      </c>
      <c r="DH20" s="71">
        <v>0</v>
      </c>
      <c r="DI20" s="71">
        <v>0</v>
      </c>
      <c r="DJ20" s="71">
        <v>0</v>
      </c>
      <c r="DK20" s="71">
        <v>0</v>
      </c>
    </row>
    <row r="21" spans="1:115" ht="15.75" x14ac:dyDescent="0.25">
      <c r="A21" s="347">
        <v>18</v>
      </c>
      <c r="B21" s="356" t="s">
        <v>316</v>
      </c>
      <c r="C21" s="349" t="s">
        <v>342</v>
      </c>
      <c r="D21" s="349"/>
      <c r="E21" s="349"/>
      <c r="F21" s="349"/>
      <c r="G21" s="349"/>
      <c r="H21" s="349"/>
      <c r="I21" s="349"/>
      <c r="J21" s="349"/>
      <c r="K21" s="350"/>
      <c r="L21" s="350"/>
      <c r="M21" s="350">
        <v>0</v>
      </c>
      <c r="N21" s="350">
        <v>0</v>
      </c>
      <c r="O21" s="351"/>
      <c r="P21" s="351"/>
      <c r="Q21" s="351"/>
      <c r="R21" s="351"/>
      <c r="S21" s="351"/>
      <c r="T21" s="351"/>
      <c r="U21" s="349">
        <v>2</v>
      </c>
      <c r="V21" s="349">
        <v>1</v>
      </c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>
        <v>12</v>
      </c>
      <c r="AP21" s="349">
        <v>3</v>
      </c>
      <c r="AQ21" s="349">
        <v>1</v>
      </c>
      <c r="AR21" s="349">
        <v>0</v>
      </c>
      <c r="AS21" s="349"/>
      <c r="AT21" s="349"/>
      <c r="AU21" s="349"/>
      <c r="AV21" s="349"/>
      <c r="AW21" s="349"/>
      <c r="AX21" s="349"/>
      <c r="AY21" s="349"/>
      <c r="AZ21" s="349"/>
      <c r="BA21" s="349"/>
      <c r="BB21" s="349"/>
      <c r="BC21" s="349"/>
      <c r="BD21" s="349"/>
      <c r="BE21" s="349"/>
      <c r="BF21" s="349"/>
      <c r="BG21" s="349"/>
      <c r="BH21" s="349"/>
      <c r="BI21" s="349"/>
      <c r="BJ21" s="349"/>
      <c r="BK21" s="349"/>
      <c r="BL21" s="349"/>
      <c r="BM21" s="349"/>
      <c r="BN21" s="349"/>
      <c r="BO21" s="349">
        <v>0</v>
      </c>
      <c r="BP21" s="349">
        <v>0</v>
      </c>
      <c r="BQ21" s="349"/>
      <c r="BR21" s="349"/>
      <c r="BS21" s="349"/>
      <c r="BT21" s="349"/>
      <c r="BU21" s="349"/>
      <c r="BV21" s="349"/>
      <c r="BW21" s="352"/>
      <c r="BX21" s="352"/>
      <c r="BY21" s="353">
        <f>U21+Y21+AC21+AG21+AK21+AO21+BO21+BS21+BW21+CH21+CL21+CP21+CT21+CX21+DB21+DF21</f>
        <v>15</v>
      </c>
      <c r="BZ21" s="353">
        <f t="shared" si="5"/>
        <v>5</v>
      </c>
      <c r="CA21" s="354">
        <f t="shared" si="6"/>
        <v>0.33333333333333331</v>
      </c>
      <c r="CB21" s="355">
        <f t="shared" si="0"/>
        <v>1</v>
      </c>
      <c r="CC21" s="355">
        <f t="shared" si="1"/>
        <v>0</v>
      </c>
      <c r="CD21" s="354">
        <f t="shared" si="7"/>
        <v>0</v>
      </c>
      <c r="CE21" s="355">
        <f t="shared" si="2"/>
        <v>0</v>
      </c>
      <c r="CF21" s="355">
        <f t="shared" si="3"/>
        <v>0</v>
      </c>
      <c r="CG21" s="354">
        <v>0</v>
      </c>
      <c r="CH21" s="71">
        <v>1</v>
      </c>
      <c r="CI21" s="71">
        <v>1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  <c r="CO21" s="71">
        <v>0</v>
      </c>
      <c r="CP21" s="71">
        <v>0</v>
      </c>
      <c r="CQ21" s="71">
        <v>0</v>
      </c>
      <c r="CR21" s="71">
        <v>0</v>
      </c>
      <c r="CS21" s="71">
        <v>0</v>
      </c>
      <c r="CT21" s="71">
        <v>0</v>
      </c>
      <c r="CU21" s="71">
        <v>0</v>
      </c>
      <c r="CV21" s="71">
        <v>0</v>
      </c>
      <c r="CW21" s="71">
        <v>0</v>
      </c>
      <c r="CX21" s="71">
        <v>0</v>
      </c>
      <c r="CY21" s="71">
        <v>0</v>
      </c>
      <c r="CZ21" s="71">
        <v>0</v>
      </c>
      <c r="DA21" s="71">
        <v>0</v>
      </c>
      <c r="DB21" s="71">
        <v>0</v>
      </c>
      <c r="DC21" s="71">
        <v>0</v>
      </c>
      <c r="DD21" s="71">
        <v>0</v>
      </c>
      <c r="DE21" s="71">
        <v>0</v>
      </c>
      <c r="DF21" s="71">
        <v>0</v>
      </c>
      <c r="DG21" s="71">
        <v>0</v>
      </c>
      <c r="DH21" s="71">
        <v>0</v>
      </c>
      <c r="DI21" s="71">
        <v>0</v>
      </c>
      <c r="DJ21" s="71">
        <v>0</v>
      </c>
      <c r="DK21" s="71">
        <v>0</v>
      </c>
    </row>
    <row r="22" spans="1:115" ht="15.75" x14ac:dyDescent="0.25">
      <c r="A22" s="347">
        <v>19</v>
      </c>
      <c r="B22" s="356" t="s">
        <v>317</v>
      </c>
      <c r="C22" s="349" t="s">
        <v>342</v>
      </c>
      <c r="D22" s="349"/>
      <c r="E22" s="349"/>
      <c r="F22" s="349"/>
      <c r="G22" s="349"/>
      <c r="H22" s="349"/>
      <c r="I22" s="349"/>
      <c r="J22" s="349"/>
      <c r="K22" s="350"/>
      <c r="L22" s="350"/>
      <c r="M22" s="350">
        <v>0</v>
      </c>
      <c r="N22" s="350">
        <v>0</v>
      </c>
      <c r="O22" s="351">
        <v>0</v>
      </c>
      <c r="P22" s="351">
        <v>0</v>
      </c>
      <c r="Q22" s="351"/>
      <c r="R22" s="351"/>
      <c r="S22" s="351">
        <v>3</v>
      </c>
      <c r="T22" s="351">
        <v>2</v>
      </c>
      <c r="U22" s="349">
        <v>1</v>
      </c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>
        <v>10</v>
      </c>
      <c r="AP22" s="349">
        <v>0</v>
      </c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C22" s="349"/>
      <c r="BD22" s="349"/>
      <c r="BE22" s="349"/>
      <c r="BF22" s="349"/>
      <c r="BG22" s="349"/>
      <c r="BH22" s="349"/>
      <c r="BI22" s="349"/>
      <c r="BJ22" s="349"/>
      <c r="BK22" s="349"/>
      <c r="BL22" s="349"/>
      <c r="BM22" s="349"/>
      <c r="BN22" s="349"/>
      <c r="BO22" s="349">
        <v>0</v>
      </c>
      <c r="BP22" s="349">
        <v>0</v>
      </c>
      <c r="BQ22" s="349"/>
      <c r="BR22" s="349"/>
      <c r="BS22" s="349"/>
      <c r="BT22" s="349"/>
      <c r="BU22" s="349"/>
      <c r="BV22" s="349"/>
      <c r="BW22" s="352"/>
      <c r="BX22" s="352"/>
      <c r="BY22" s="353">
        <f>O22+S22+U22+Y22+AC22+AG22+AK22+AO22+BO22+BS22+BW22+CH22+CL22+CP22+CT22+CX22+DB22+DF22</f>
        <v>14</v>
      </c>
      <c r="BZ22" s="353">
        <f t="shared" si="5"/>
        <v>2</v>
      </c>
      <c r="CA22" s="354">
        <f t="shared" si="6"/>
        <v>0.14285714285714285</v>
      </c>
      <c r="CB22" s="355">
        <f t="shared" si="0"/>
        <v>0</v>
      </c>
      <c r="CC22" s="355">
        <f t="shared" si="1"/>
        <v>0</v>
      </c>
      <c r="CD22" s="354">
        <v>0</v>
      </c>
      <c r="CE22" s="355">
        <f t="shared" si="2"/>
        <v>0</v>
      </c>
      <c r="CF22" s="355">
        <f t="shared" si="3"/>
        <v>0</v>
      </c>
      <c r="CG22" s="354">
        <v>0</v>
      </c>
      <c r="CH22" s="71">
        <v>0</v>
      </c>
      <c r="CI22" s="71">
        <v>0</v>
      </c>
      <c r="CJ22" s="71">
        <v>0</v>
      </c>
      <c r="CK22" s="71">
        <v>0</v>
      </c>
      <c r="CL22" s="71">
        <v>0</v>
      </c>
      <c r="CM22" s="71">
        <v>0</v>
      </c>
      <c r="CN22" s="71">
        <v>0</v>
      </c>
      <c r="CO22" s="71">
        <v>0</v>
      </c>
      <c r="CP22" s="71">
        <v>0</v>
      </c>
      <c r="CQ22" s="71">
        <v>0</v>
      </c>
      <c r="CR22" s="71">
        <v>0</v>
      </c>
      <c r="CS22" s="71">
        <v>0</v>
      </c>
      <c r="CT22" s="71">
        <v>0</v>
      </c>
      <c r="CU22" s="71">
        <v>0</v>
      </c>
      <c r="CV22" s="71">
        <v>0</v>
      </c>
      <c r="CW22" s="71">
        <v>0</v>
      </c>
      <c r="CX22" s="71">
        <v>0</v>
      </c>
      <c r="CY22" s="71">
        <v>0</v>
      </c>
      <c r="CZ22" s="71">
        <v>0</v>
      </c>
      <c r="DA22" s="71">
        <v>0</v>
      </c>
      <c r="DB22" s="71">
        <v>0</v>
      </c>
      <c r="DC22" s="71">
        <v>0</v>
      </c>
      <c r="DD22" s="71">
        <v>0</v>
      </c>
      <c r="DE22" s="71">
        <v>0</v>
      </c>
      <c r="DF22" s="71">
        <v>0</v>
      </c>
      <c r="DG22" s="71">
        <v>0</v>
      </c>
      <c r="DH22" s="71">
        <v>0</v>
      </c>
      <c r="DI22" s="71">
        <v>0</v>
      </c>
      <c r="DJ22" s="71">
        <v>0</v>
      </c>
      <c r="DK22" s="71">
        <v>0</v>
      </c>
    </row>
    <row r="23" spans="1:115" ht="18.75" customHeight="1" x14ac:dyDescent="0.25">
      <c r="A23" s="347">
        <v>20</v>
      </c>
      <c r="B23" s="356" t="s">
        <v>154</v>
      </c>
      <c r="C23" s="349" t="s">
        <v>342</v>
      </c>
      <c r="D23" s="349" t="s">
        <v>342</v>
      </c>
      <c r="E23" s="349" t="s">
        <v>342</v>
      </c>
      <c r="F23" s="349" t="s">
        <v>342</v>
      </c>
      <c r="G23" s="349"/>
      <c r="H23" s="349"/>
      <c r="I23" s="349"/>
      <c r="J23" s="349"/>
      <c r="K23" s="350"/>
      <c r="L23" s="350"/>
      <c r="M23" s="350">
        <v>0</v>
      </c>
      <c r="N23" s="350">
        <v>0</v>
      </c>
      <c r="O23" s="351"/>
      <c r="P23" s="351"/>
      <c r="Q23" s="351"/>
      <c r="R23" s="351"/>
      <c r="S23" s="351"/>
      <c r="T23" s="351"/>
      <c r="U23" s="349">
        <v>1</v>
      </c>
      <c r="V23" s="349">
        <v>1</v>
      </c>
      <c r="W23" s="349"/>
      <c r="X23" s="349"/>
      <c r="Y23" s="349">
        <v>2</v>
      </c>
      <c r="Z23" s="349">
        <v>0</v>
      </c>
      <c r="AA23" s="349"/>
      <c r="AB23" s="349"/>
      <c r="AC23" s="349"/>
      <c r="AD23" s="349"/>
      <c r="AE23" s="349"/>
      <c r="AF23" s="349"/>
      <c r="AG23" s="349">
        <v>1</v>
      </c>
      <c r="AH23" s="349">
        <v>1</v>
      </c>
      <c r="AI23" s="349"/>
      <c r="AJ23" s="349"/>
      <c r="AK23" s="349"/>
      <c r="AL23" s="349"/>
      <c r="AM23" s="349"/>
      <c r="AN23" s="349"/>
      <c r="AO23" s="349">
        <v>1</v>
      </c>
      <c r="AP23" s="349">
        <v>1</v>
      </c>
      <c r="AQ23" s="349">
        <v>1</v>
      </c>
      <c r="AR23" s="349">
        <v>0</v>
      </c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49"/>
      <c r="BM23" s="349"/>
      <c r="BN23" s="349"/>
      <c r="BO23" s="349">
        <v>0</v>
      </c>
      <c r="BP23" s="349">
        <v>0</v>
      </c>
      <c r="BQ23" s="349"/>
      <c r="BR23" s="349"/>
      <c r="BS23" s="349"/>
      <c r="BT23" s="349"/>
      <c r="BU23" s="349"/>
      <c r="BV23" s="349"/>
      <c r="BW23" s="352">
        <v>1</v>
      </c>
      <c r="BX23" s="352">
        <v>1</v>
      </c>
      <c r="BY23" s="353">
        <f>U23+Y23+AC23+AG23+AK23+AO23+BO23+BS23+BW23+CH23+CL23+CP23+CT23+CX23+DB23+DF23</f>
        <v>6</v>
      </c>
      <c r="BZ23" s="353">
        <f>V23+Z23+AD23+AH23+AL23+AP23+BP23+BT23+BX23+CI23+CM23+CQ23+CU23+CY23+DC23+DG23</f>
        <v>4</v>
      </c>
      <c r="CA23" s="354">
        <f t="shared" si="6"/>
        <v>0.66666666666666663</v>
      </c>
      <c r="CB23" s="353">
        <f>I23+M23+Q23+W23+AA23+AE23+AI23+AM23+AQ23+AS23+AW23+AY23+BA23+BE23+BI23+BU23</f>
        <v>1</v>
      </c>
      <c r="CC23" s="353">
        <f>J23+N23+R23+X23+AB23+AF23+AJ23+AN23+AR23+AT23+AX23+AZ23+BB23+BF23+BJ23+BV23</f>
        <v>0</v>
      </c>
      <c r="CD23" s="354">
        <f t="shared" si="7"/>
        <v>0</v>
      </c>
      <c r="CE23" s="355">
        <f t="shared" si="2"/>
        <v>0</v>
      </c>
      <c r="CF23" s="355">
        <f t="shared" si="3"/>
        <v>0</v>
      </c>
      <c r="CG23" s="354">
        <v>0</v>
      </c>
      <c r="CH23" s="71">
        <v>0</v>
      </c>
      <c r="CI23" s="71">
        <v>0</v>
      </c>
      <c r="CJ23" s="71">
        <v>0</v>
      </c>
      <c r="CK23" s="71">
        <v>0</v>
      </c>
      <c r="CL23" s="71">
        <v>0</v>
      </c>
      <c r="CM23" s="71">
        <v>0</v>
      </c>
      <c r="CN23" s="71">
        <v>0</v>
      </c>
      <c r="CO23" s="71">
        <v>0</v>
      </c>
      <c r="CP23" s="71">
        <v>0</v>
      </c>
      <c r="CQ23" s="71">
        <v>0</v>
      </c>
      <c r="CR23" s="71">
        <v>0</v>
      </c>
      <c r="CS23" s="71">
        <v>0</v>
      </c>
      <c r="CT23" s="71">
        <v>0</v>
      </c>
      <c r="CU23" s="71">
        <v>0</v>
      </c>
      <c r="CV23" s="71">
        <v>0</v>
      </c>
      <c r="CW23" s="71">
        <v>0</v>
      </c>
      <c r="CX23" s="71">
        <v>0</v>
      </c>
      <c r="CY23" s="71">
        <v>0</v>
      </c>
      <c r="CZ23" s="71">
        <v>0</v>
      </c>
      <c r="DA23" s="71">
        <v>0</v>
      </c>
      <c r="DB23" s="71">
        <v>0</v>
      </c>
      <c r="DC23" s="71">
        <v>0</v>
      </c>
      <c r="DD23" s="71">
        <v>0</v>
      </c>
      <c r="DE23" s="71">
        <v>0</v>
      </c>
      <c r="DF23" s="71">
        <v>0</v>
      </c>
      <c r="DG23" s="71">
        <v>0</v>
      </c>
      <c r="DH23" s="71">
        <v>0</v>
      </c>
      <c r="DI23" s="71">
        <v>0</v>
      </c>
      <c r="DJ23" s="71">
        <v>0</v>
      </c>
      <c r="DK23" s="71">
        <v>0</v>
      </c>
    </row>
    <row r="24" spans="1:115" ht="15.75" x14ac:dyDescent="0.25">
      <c r="A24" s="347">
        <v>21</v>
      </c>
      <c r="B24" s="356" t="s">
        <v>155</v>
      </c>
      <c r="C24" s="349" t="s">
        <v>342</v>
      </c>
      <c r="D24" s="349"/>
      <c r="E24" s="349"/>
      <c r="F24" s="349"/>
      <c r="G24" s="349">
        <v>1</v>
      </c>
      <c r="H24" s="349"/>
      <c r="I24" s="349"/>
      <c r="J24" s="349"/>
      <c r="K24" s="350"/>
      <c r="L24" s="350"/>
      <c r="M24" s="350">
        <v>0</v>
      </c>
      <c r="N24" s="350">
        <v>0</v>
      </c>
      <c r="O24" s="351"/>
      <c r="P24" s="351"/>
      <c r="Q24" s="351"/>
      <c r="R24" s="351"/>
      <c r="S24" s="351"/>
      <c r="T24" s="351"/>
      <c r="U24" s="349">
        <v>2</v>
      </c>
      <c r="V24" s="349">
        <v>2</v>
      </c>
      <c r="W24" s="349"/>
      <c r="X24" s="349"/>
      <c r="Y24" s="349">
        <v>3</v>
      </c>
      <c r="Z24" s="349">
        <v>0</v>
      </c>
      <c r="AA24" s="349"/>
      <c r="AB24" s="349"/>
      <c r="AC24" s="349"/>
      <c r="AD24" s="349"/>
      <c r="AE24" s="349"/>
      <c r="AF24" s="349"/>
      <c r="AG24" s="349">
        <v>1</v>
      </c>
      <c r="AH24" s="349">
        <v>1</v>
      </c>
      <c r="AI24" s="349">
        <v>1</v>
      </c>
      <c r="AJ24" s="349">
        <v>0</v>
      </c>
      <c r="AK24" s="349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>
        <v>1</v>
      </c>
      <c r="AV24" s="349">
        <v>0</v>
      </c>
      <c r="AW24" s="349"/>
      <c r="AX24" s="349"/>
      <c r="AY24" s="349">
        <v>1</v>
      </c>
      <c r="AZ24" s="349">
        <v>0</v>
      </c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49"/>
      <c r="BL24" s="349"/>
      <c r="BM24" s="349"/>
      <c r="BN24" s="349"/>
      <c r="BO24" s="349">
        <v>0</v>
      </c>
      <c r="BP24" s="349">
        <v>0</v>
      </c>
      <c r="BQ24" s="349"/>
      <c r="BR24" s="349"/>
      <c r="BS24" s="349"/>
      <c r="BT24" s="349"/>
      <c r="BU24" s="349"/>
      <c r="BV24" s="349"/>
      <c r="BW24" s="352"/>
      <c r="BX24" s="352"/>
      <c r="BY24" s="353">
        <f>G24+K24+O24+S24+U24+Y24+AC24+AG24+AK24+AO24+BO24+BS24+BW24+CH24+CL24+CP24+CT24+CX24+DB24+DF24</f>
        <v>7</v>
      </c>
      <c r="BZ24" s="353">
        <f>H24+L24+P24+T24+V24+Z24+AD24+AH24+AL24+AP24+BP24+BT24+BX24+CI24+CM24+CQ24+CU24+CY24+DC24+DG24</f>
        <v>3</v>
      </c>
      <c r="CA24" s="354">
        <f t="shared" si="6"/>
        <v>0.42857142857142855</v>
      </c>
      <c r="CB24" s="355">
        <f t="shared" ref="CB24:CB35" si="9">E24+I24+M24+Q24+W24+AA24+AE24+AI24+AM24+AQ24+AS24+AW24+AY24+BA24+BE24+BI24+BU24</f>
        <v>2</v>
      </c>
      <c r="CC24" s="355">
        <f t="shared" ref="CC24:CC35" si="10">F24+J24+N24+R24+X24+AB24+AF24+AJ24+AN24+AR24+AT24+AX24+AZ24+BB24+BF24+BJ24+BV24</f>
        <v>0</v>
      </c>
      <c r="CD24" s="354">
        <f t="shared" si="7"/>
        <v>0</v>
      </c>
      <c r="CE24" s="355">
        <f t="shared" si="2"/>
        <v>1</v>
      </c>
      <c r="CF24" s="355">
        <f t="shared" si="3"/>
        <v>0</v>
      </c>
      <c r="CG24" s="354">
        <f t="shared" si="8"/>
        <v>0</v>
      </c>
      <c r="CH24" s="71">
        <v>0</v>
      </c>
      <c r="CI24" s="71">
        <v>0</v>
      </c>
      <c r="CJ24" s="71">
        <v>0</v>
      </c>
      <c r="CK24" s="71">
        <v>0</v>
      </c>
      <c r="CL24" s="71">
        <v>0</v>
      </c>
      <c r="CM24" s="71">
        <v>0</v>
      </c>
      <c r="CN24" s="71">
        <v>0</v>
      </c>
      <c r="CO24" s="71">
        <v>0</v>
      </c>
      <c r="CP24" s="71">
        <v>0</v>
      </c>
      <c r="CQ24" s="71">
        <v>0</v>
      </c>
      <c r="CR24" s="71">
        <v>0</v>
      </c>
      <c r="CS24" s="71">
        <v>0</v>
      </c>
      <c r="CT24" s="71">
        <v>0</v>
      </c>
      <c r="CU24" s="71">
        <v>0</v>
      </c>
      <c r="CV24" s="71">
        <v>0</v>
      </c>
      <c r="CW24" s="71">
        <v>0</v>
      </c>
      <c r="CX24" s="71">
        <v>0</v>
      </c>
      <c r="CY24" s="71">
        <v>0</v>
      </c>
      <c r="CZ24" s="71">
        <v>0</v>
      </c>
      <c r="DA24" s="71">
        <v>0</v>
      </c>
      <c r="DB24" s="71">
        <v>0</v>
      </c>
      <c r="DC24" s="71">
        <v>0</v>
      </c>
      <c r="DD24" s="71">
        <v>0</v>
      </c>
      <c r="DE24" s="71">
        <v>0</v>
      </c>
      <c r="DF24" s="71">
        <v>0</v>
      </c>
      <c r="DG24" s="71">
        <v>0</v>
      </c>
      <c r="DH24" s="71">
        <v>0</v>
      </c>
      <c r="DI24" s="71">
        <v>0</v>
      </c>
      <c r="DJ24" s="71">
        <v>0</v>
      </c>
      <c r="DK24" s="71">
        <v>0</v>
      </c>
    </row>
    <row r="25" spans="1:115" ht="15.75" x14ac:dyDescent="0.25">
      <c r="A25" s="347">
        <v>22</v>
      </c>
      <c r="B25" s="356" t="s">
        <v>277</v>
      </c>
      <c r="C25" s="349" t="s">
        <v>342</v>
      </c>
      <c r="D25" s="349"/>
      <c r="E25" s="349"/>
      <c r="F25" s="349"/>
      <c r="G25" s="349"/>
      <c r="H25" s="349"/>
      <c r="I25" s="349"/>
      <c r="J25" s="349"/>
      <c r="K25" s="350"/>
      <c r="L25" s="350"/>
      <c r="M25" s="350">
        <v>0</v>
      </c>
      <c r="N25" s="350">
        <v>0</v>
      </c>
      <c r="O25" s="351"/>
      <c r="P25" s="351"/>
      <c r="Q25" s="351"/>
      <c r="R25" s="351"/>
      <c r="S25" s="351"/>
      <c r="T25" s="351"/>
      <c r="U25" s="349">
        <v>2</v>
      </c>
      <c r="V25" s="349">
        <v>1</v>
      </c>
      <c r="W25" s="349"/>
      <c r="X25" s="349"/>
      <c r="Y25" s="349">
        <v>2</v>
      </c>
      <c r="Z25" s="349">
        <v>0</v>
      </c>
      <c r="AA25" s="349"/>
      <c r="AB25" s="349"/>
      <c r="AC25" s="349">
        <v>1</v>
      </c>
      <c r="AD25" s="349">
        <v>1</v>
      </c>
      <c r="AE25" s="349">
        <v>1</v>
      </c>
      <c r="AF25" s="349">
        <v>1</v>
      </c>
      <c r="AG25" s="349"/>
      <c r="AH25" s="349"/>
      <c r="AI25" s="349"/>
      <c r="AJ25" s="349"/>
      <c r="AK25" s="349"/>
      <c r="AL25" s="349"/>
      <c r="AM25" s="349"/>
      <c r="AN25" s="349"/>
      <c r="AO25" s="349">
        <v>6</v>
      </c>
      <c r="AP25" s="349">
        <v>0</v>
      </c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>
        <v>0</v>
      </c>
      <c r="BP25" s="349">
        <v>0</v>
      </c>
      <c r="BQ25" s="349"/>
      <c r="BR25" s="349"/>
      <c r="BS25" s="349"/>
      <c r="BT25" s="349"/>
      <c r="BU25" s="349"/>
      <c r="BV25" s="349"/>
      <c r="BW25" s="352">
        <v>1</v>
      </c>
      <c r="BX25" s="352">
        <v>0</v>
      </c>
      <c r="BY25" s="353">
        <f>U25+Y25+AC25+AG25+AK25+AO25+BO25+BS25+BW25+CH25+CL25+CP25+CT25+CX25+DB25+DF25</f>
        <v>13</v>
      </c>
      <c r="BZ25" s="353">
        <f>V25+Z25+AD25+AH25+AL25+AP25+BP25+BT25+BX25+CI25+CM25+CQ25+CU25+CY25+DC25+DG25</f>
        <v>2</v>
      </c>
      <c r="CA25" s="354">
        <v>5.7000000000000002E-2</v>
      </c>
      <c r="CB25" s="355">
        <f t="shared" si="9"/>
        <v>1</v>
      </c>
      <c r="CC25" s="355">
        <f t="shared" si="10"/>
        <v>1</v>
      </c>
      <c r="CD25" s="354">
        <v>6.0000000000000001E-3</v>
      </c>
      <c r="CE25" s="355">
        <f t="shared" si="2"/>
        <v>0</v>
      </c>
      <c r="CF25" s="355">
        <f t="shared" si="3"/>
        <v>0</v>
      </c>
      <c r="CG25" s="354">
        <v>0</v>
      </c>
      <c r="CH25" s="71">
        <v>1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0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0</v>
      </c>
      <c r="DE25" s="71">
        <v>0</v>
      </c>
      <c r="DF25" s="71">
        <v>0</v>
      </c>
      <c r="DG25" s="71">
        <v>0</v>
      </c>
      <c r="DH25" s="71">
        <v>0</v>
      </c>
      <c r="DI25" s="71">
        <v>0</v>
      </c>
      <c r="DJ25" s="71">
        <v>0</v>
      </c>
      <c r="DK25" s="71">
        <v>0</v>
      </c>
    </row>
    <row r="26" spans="1:115" ht="15.75" x14ac:dyDescent="0.25">
      <c r="A26" s="347">
        <v>23</v>
      </c>
      <c r="B26" s="356" t="s">
        <v>156</v>
      </c>
      <c r="C26" s="349" t="s">
        <v>342</v>
      </c>
      <c r="D26" s="349"/>
      <c r="E26" s="349"/>
      <c r="F26" s="349"/>
      <c r="G26" s="349"/>
      <c r="H26" s="349"/>
      <c r="I26" s="349"/>
      <c r="J26" s="349"/>
      <c r="K26" s="350">
        <v>1</v>
      </c>
      <c r="L26" s="350">
        <v>1</v>
      </c>
      <c r="M26" s="350">
        <v>1</v>
      </c>
      <c r="N26" s="350">
        <v>0</v>
      </c>
      <c r="O26" s="351">
        <v>1</v>
      </c>
      <c r="P26" s="351">
        <v>1</v>
      </c>
      <c r="Q26" s="351">
        <v>1</v>
      </c>
      <c r="R26" s="351">
        <v>1</v>
      </c>
      <c r="S26" s="351">
        <v>1</v>
      </c>
      <c r="T26" s="351">
        <v>1</v>
      </c>
      <c r="U26" s="349">
        <v>2</v>
      </c>
      <c r="V26" s="349"/>
      <c r="W26" s="349"/>
      <c r="X26" s="349"/>
      <c r="Y26" s="349">
        <v>1</v>
      </c>
      <c r="Z26" s="349">
        <v>0</v>
      </c>
      <c r="AA26" s="349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>
        <v>4</v>
      </c>
      <c r="AP26" s="349">
        <v>1</v>
      </c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>
        <v>1</v>
      </c>
      <c r="BN26" s="349">
        <v>0</v>
      </c>
      <c r="BO26" s="349">
        <v>1</v>
      </c>
      <c r="BP26" s="349">
        <v>0</v>
      </c>
      <c r="BQ26" s="349"/>
      <c r="BR26" s="349"/>
      <c r="BS26" s="349"/>
      <c r="BT26" s="349"/>
      <c r="BU26" s="349"/>
      <c r="BV26" s="349"/>
      <c r="BW26" s="352"/>
      <c r="BX26" s="352"/>
      <c r="BY26" s="353">
        <f>K26+O26+S26+U26+Y26+AC26+AG26+AK26+AO26+BO26+BS26+BW26+CH26+CL26+CP26+CT26+CX26+DB26+DF26</f>
        <v>11</v>
      </c>
      <c r="BZ26" s="353">
        <f>L26+P26+T26+V26+Z26+AD26+AH26+AL26+AP26+BP26+BT26+BX26+CI26+CM26+CQ26+CU26+CY26+DC26+DG26</f>
        <v>4</v>
      </c>
      <c r="CA26" s="354">
        <f t="shared" si="6"/>
        <v>0.36363636363636365</v>
      </c>
      <c r="CB26" s="355">
        <f t="shared" si="9"/>
        <v>2</v>
      </c>
      <c r="CC26" s="355">
        <f t="shared" si="10"/>
        <v>1</v>
      </c>
      <c r="CD26" s="354">
        <f>CC26/CB26</f>
        <v>0.5</v>
      </c>
      <c r="CE26" s="355">
        <f t="shared" si="2"/>
        <v>0</v>
      </c>
      <c r="CF26" s="355">
        <f t="shared" si="3"/>
        <v>0</v>
      </c>
      <c r="CG26" s="354">
        <v>0</v>
      </c>
      <c r="CH26" s="71">
        <v>0</v>
      </c>
      <c r="CI26" s="71">
        <v>0</v>
      </c>
      <c r="CJ26" s="71">
        <v>0</v>
      </c>
      <c r="CK26" s="71">
        <v>0</v>
      </c>
      <c r="CL26" s="71">
        <v>0</v>
      </c>
      <c r="CM26" s="71">
        <v>0</v>
      </c>
      <c r="CN26" s="71">
        <v>0</v>
      </c>
      <c r="CO26" s="71">
        <v>0</v>
      </c>
      <c r="CP26" s="71">
        <v>0</v>
      </c>
      <c r="CQ26" s="71">
        <v>0</v>
      </c>
      <c r="CR26" s="71">
        <v>0</v>
      </c>
      <c r="CS26" s="71">
        <v>0</v>
      </c>
      <c r="CT26" s="71">
        <v>0</v>
      </c>
      <c r="CU26" s="71">
        <v>0</v>
      </c>
      <c r="CV26" s="71">
        <v>0</v>
      </c>
      <c r="CW26" s="71">
        <v>0</v>
      </c>
      <c r="CX26" s="71">
        <v>0</v>
      </c>
      <c r="CY26" s="71">
        <v>0</v>
      </c>
      <c r="CZ26" s="71">
        <v>0</v>
      </c>
      <c r="DA26" s="71">
        <v>0</v>
      </c>
      <c r="DB26" s="71">
        <v>0</v>
      </c>
      <c r="DC26" s="71">
        <v>0</v>
      </c>
      <c r="DD26" s="71">
        <v>0</v>
      </c>
      <c r="DE26" s="71">
        <v>0</v>
      </c>
      <c r="DF26" s="71">
        <v>0</v>
      </c>
      <c r="DG26" s="71">
        <v>0</v>
      </c>
      <c r="DH26" s="71">
        <v>0</v>
      </c>
      <c r="DI26" s="71">
        <v>0</v>
      </c>
      <c r="DJ26" s="71">
        <v>0</v>
      </c>
      <c r="DK26" s="71">
        <v>0</v>
      </c>
    </row>
    <row r="27" spans="1:115" ht="15.75" x14ac:dyDescent="0.25">
      <c r="A27" s="347">
        <v>24</v>
      </c>
      <c r="B27" s="356" t="s">
        <v>157</v>
      </c>
      <c r="C27" s="349" t="s">
        <v>342</v>
      </c>
      <c r="D27" s="349"/>
      <c r="E27" s="349"/>
      <c r="F27" s="349"/>
      <c r="G27" s="349"/>
      <c r="H27" s="349"/>
      <c r="I27" s="349"/>
      <c r="J27" s="349"/>
      <c r="K27" s="350"/>
      <c r="L27" s="350"/>
      <c r="M27" s="350">
        <v>0</v>
      </c>
      <c r="N27" s="350">
        <v>0</v>
      </c>
      <c r="O27" s="351">
        <v>0</v>
      </c>
      <c r="P27" s="351">
        <v>0</v>
      </c>
      <c r="Q27" s="351"/>
      <c r="R27" s="351"/>
      <c r="S27" s="351">
        <v>1</v>
      </c>
      <c r="T27" s="351">
        <v>1</v>
      </c>
      <c r="U27" s="349"/>
      <c r="V27" s="349"/>
      <c r="W27" s="349"/>
      <c r="X27" s="349"/>
      <c r="Y27" s="349">
        <v>4</v>
      </c>
      <c r="Z27" s="349">
        <v>0</v>
      </c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349"/>
      <c r="BO27" s="349">
        <v>0</v>
      </c>
      <c r="BP27" s="349">
        <v>0</v>
      </c>
      <c r="BQ27" s="349"/>
      <c r="BR27" s="349"/>
      <c r="BS27" s="349"/>
      <c r="BT27" s="349"/>
      <c r="BU27" s="349"/>
      <c r="BV27" s="349"/>
      <c r="BW27" s="352">
        <v>1</v>
      </c>
      <c r="BX27" s="352">
        <v>1</v>
      </c>
      <c r="BY27" s="353">
        <f>O27+S27+U27+Y27+AC27+AG27+AK27+AO27+BO27+BS27+BW27+CH27+CL27+CP27+CT27+CX27+DB27+DF27</f>
        <v>7</v>
      </c>
      <c r="BZ27" s="353">
        <f>P27+T27+V27+Z27+AD27+AH27+AL27+AP27+BP27+BT27+BX27+CI27+CM27+CQ27+CU27+CY27+DC27+DG27</f>
        <v>2</v>
      </c>
      <c r="CA27" s="354">
        <f t="shared" si="6"/>
        <v>0.2857142857142857</v>
      </c>
      <c r="CB27" s="355">
        <f t="shared" si="9"/>
        <v>0</v>
      </c>
      <c r="CC27" s="355">
        <f t="shared" si="10"/>
        <v>0</v>
      </c>
      <c r="CD27" s="354">
        <v>0</v>
      </c>
      <c r="CE27" s="355">
        <f t="shared" si="2"/>
        <v>0</v>
      </c>
      <c r="CF27" s="355">
        <f t="shared" si="3"/>
        <v>0</v>
      </c>
      <c r="CG27" s="354">
        <v>0</v>
      </c>
      <c r="CH27" s="71">
        <v>1</v>
      </c>
      <c r="CI27" s="71">
        <v>0</v>
      </c>
      <c r="CJ27" s="71">
        <v>0</v>
      </c>
      <c r="CK27" s="71">
        <v>0</v>
      </c>
      <c r="CL27" s="71">
        <v>0</v>
      </c>
      <c r="CM27" s="71">
        <v>0</v>
      </c>
      <c r="CN27" s="71">
        <v>0</v>
      </c>
      <c r="CO27" s="71">
        <v>0</v>
      </c>
      <c r="CP27" s="71">
        <v>0</v>
      </c>
      <c r="CQ27" s="71">
        <v>0</v>
      </c>
      <c r="CR27" s="71">
        <v>0</v>
      </c>
      <c r="CS27" s="71">
        <v>0</v>
      </c>
      <c r="CT27" s="71">
        <v>0</v>
      </c>
      <c r="CU27" s="71">
        <v>0</v>
      </c>
      <c r="CV27" s="71">
        <v>0</v>
      </c>
      <c r="CW27" s="71">
        <v>0</v>
      </c>
      <c r="CX27" s="71">
        <v>0</v>
      </c>
      <c r="CY27" s="71">
        <v>0</v>
      </c>
      <c r="CZ27" s="71">
        <v>0</v>
      </c>
      <c r="DA27" s="71">
        <v>0</v>
      </c>
      <c r="DB27" s="71">
        <v>0</v>
      </c>
      <c r="DC27" s="71">
        <v>0</v>
      </c>
      <c r="DD27" s="71">
        <v>0</v>
      </c>
      <c r="DE27" s="71">
        <v>0</v>
      </c>
      <c r="DF27" s="71">
        <v>0</v>
      </c>
      <c r="DG27" s="71">
        <v>0</v>
      </c>
      <c r="DH27" s="71">
        <v>0</v>
      </c>
      <c r="DI27" s="71">
        <v>0</v>
      </c>
      <c r="DJ27" s="71">
        <v>0</v>
      </c>
      <c r="DK27" s="71">
        <v>0</v>
      </c>
    </row>
    <row r="28" spans="1:115" ht="15.75" x14ac:dyDescent="0.25">
      <c r="A28" s="347">
        <v>25</v>
      </c>
      <c r="B28" s="356" t="s">
        <v>159</v>
      </c>
      <c r="C28" s="349" t="s">
        <v>342</v>
      </c>
      <c r="D28" s="349"/>
      <c r="E28" s="349"/>
      <c r="F28" s="349"/>
      <c r="G28" s="349">
        <v>2</v>
      </c>
      <c r="H28" s="349">
        <v>1</v>
      </c>
      <c r="I28" s="349">
        <v>1</v>
      </c>
      <c r="J28" s="349">
        <v>1</v>
      </c>
      <c r="K28" s="350"/>
      <c r="L28" s="350"/>
      <c r="M28" s="350">
        <v>0</v>
      </c>
      <c r="N28" s="350">
        <v>0</v>
      </c>
      <c r="O28" s="351">
        <v>1</v>
      </c>
      <c r="P28" s="351">
        <v>1</v>
      </c>
      <c r="Q28" s="351"/>
      <c r="R28" s="351"/>
      <c r="S28" s="351">
        <v>1</v>
      </c>
      <c r="T28" s="351">
        <v>1</v>
      </c>
      <c r="U28" s="349">
        <v>2</v>
      </c>
      <c r="V28" s="349">
        <v>1</v>
      </c>
      <c r="W28" s="349"/>
      <c r="X28" s="349"/>
      <c r="Y28" s="349">
        <v>4</v>
      </c>
      <c r="Z28" s="349">
        <v>1</v>
      </c>
      <c r="AA28" s="349"/>
      <c r="AB28" s="349"/>
      <c r="AC28" s="349"/>
      <c r="AD28" s="349"/>
      <c r="AE28" s="349"/>
      <c r="AF28" s="349"/>
      <c r="AG28" s="349">
        <v>1</v>
      </c>
      <c r="AH28" s="349">
        <v>1</v>
      </c>
      <c r="AI28" s="349"/>
      <c r="AJ28" s="349"/>
      <c r="AK28" s="349"/>
      <c r="AL28" s="349"/>
      <c r="AM28" s="349"/>
      <c r="AN28" s="349"/>
      <c r="AO28" s="349">
        <v>2</v>
      </c>
      <c r="AP28" s="349">
        <v>0</v>
      </c>
      <c r="AQ28" s="349"/>
      <c r="AR28" s="349"/>
      <c r="AS28" s="349"/>
      <c r="AT28" s="349"/>
      <c r="AU28" s="349">
        <v>4</v>
      </c>
      <c r="AV28" s="349">
        <v>0</v>
      </c>
      <c r="AW28" s="349"/>
      <c r="AX28" s="349"/>
      <c r="AY28" s="349">
        <v>1</v>
      </c>
      <c r="AZ28" s="349">
        <v>0</v>
      </c>
      <c r="BA28" s="349"/>
      <c r="BB28" s="349"/>
      <c r="BC28" s="349">
        <v>1</v>
      </c>
      <c r="BD28" s="349">
        <v>0</v>
      </c>
      <c r="BE28" s="349"/>
      <c r="BF28" s="349"/>
      <c r="BG28" s="349"/>
      <c r="BH28" s="349"/>
      <c r="BI28" s="349">
        <v>3</v>
      </c>
      <c r="BJ28" s="349">
        <v>0</v>
      </c>
      <c r="BK28" s="349"/>
      <c r="BL28" s="349"/>
      <c r="BM28" s="349"/>
      <c r="BN28" s="349"/>
      <c r="BO28" s="349">
        <v>0</v>
      </c>
      <c r="BP28" s="349">
        <v>0</v>
      </c>
      <c r="BQ28" s="349"/>
      <c r="BR28" s="349"/>
      <c r="BS28" s="349"/>
      <c r="BT28" s="349"/>
      <c r="BU28" s="349"/>
      <c r="BV28" s="349"/>
      <c r="BW28" s="352">
        <v>1</v>
      </c>
      <c r="BX28" s="352">
        <v>0</v>
      </c>
      <c r="BY28" s="353">
        <f t="shared" ref="BY28:BZ29" si="11">G28+K28+O28+S28+U28+Y28+AC28+AG28+AK28+AO28+BO28+BS28+BW28+CH28+CL28+CP28+CT28+CX28+DB28+DF28</f>
        <v>15</v>
      </c>
      <c r="BZ28" s="353">
        <f t="shared" si="11"/>
        <v>7</v>
      </c>
      <c r="CA28" s="354">
        <f t="shared" si="6"/>
        <v>0.46666666666666667</v>
      </c>
      <c r="CB28" s="355">
        <f t="shared" si="9"/>
        <v>5</v>
      </c>
      <c r="CC28" s="355">
        <f t="shared" si="10"/>
        <v>1</v>
      </c>
      <c r="CD28" s="354">
        <f t="shared" si="7"/>
        <v>0.2</v>
      </c>
      <c r="CE28" s="355">
        <f t="shared" si="2"/>
        <v>5</v>
      </c>
      <c r="CF28" s="355">
        <f t="shared" si="3"/>
        <v>0</v>
      </c>
      <c r="CG28" s="354">
        <f t="shared" si="8"/>
        <v>0</v>
      </c>
      <c r="CH28" s="71">
        <v>1</v>
      </c>
      <c r="CI28" s="71">
        <v>1</v>
      </c>
      <c r="CJ28" s="71">
        <v>0</v>
      </c>
      <c r="CK28" s="71">
        <v>0</v>
      </c>
      <c r="CL28" s="71">
        <v>0</v>
      </c>
      <c r="CM28" s="71">
        <v>0</v>
      </c>
      <c r="CN28" s="71">
        <v>0</v>
      </c>
      <c r="CO28" s="71">
        <v>0</v>
      </c>
      <c r="CP28" s="71">
        <v>0</v>
      </c>
      <c r="CQ28" s="71">
        <v>0</v>
      </c>
      <c r="CR28" s="71">
        <v>0</v>
      </c>
      <c r="CS28" s="71">
        <v>0</v>
      </c>
      <c r="CT28" s="71">
        <v>0</v>
      </c>
      <c r="CU28" s="71">
        <v>0</v>
      </c>
      <c r="CV28" s="71">
        <v>0</v>
      </c>
      <c r="CW28" s="71">
        <v>0</v>
      </c>
      <c r="CX28" s="71">
        <v>0</v>
      </c>
      <c r="CY28" s="71">
        <v>0</v>
      </c>
      <c r="CZ28" s="71">
        <v>0</v>
      </c>
      <c r="DA28" s="71">
        <v>0</v>
      </c>
      <c r="DB28" s="71">
        <v>0</v>
      </c>
      <c r="DC28" s="71">
        <v>0</v>
      </c>
      <c r="DD28" s="71">
        <v>0</v>
      </c>
      <c r="DE28" s="71">
        <v>0</v>
      </c>
      <c r="DF28" s="71">
        <v>0</v>
      </c>
      <c r="DG28" s="71">
        <v>0</v>
      </c>
      <c r="DH28" s="71">
        <v>0</v>
      </c>
      <c r="DI28" s="71">
        <v>0</v>
      </c>
      <c r="DJ28" s="71">
        <v>0</v>
      </c>
      <c r="DK28" s="71">
        <v>0</v>
      </c>
    </row>
    <row r="29" spans="1:115" ht="15.75" x14ac:dyDescent="0.25">
      <c r="A29" s="347">
        <v>26</v>
      </c>
      <c r="B29" s="356" t="s">
        <v>160</v>
      </c>
      <c r="C29" s="349" t="s">
        <v>342</v>
      </c>
      <c r="D29" s="349"/>
      <c r="E29" s="349"/>
      <c r="F29" s="349"/>
      <c r="G29" s="349">
        <v>1</v>
      </c>
      <c r="H29" s="349">
        <v>1</v>
      </c>
      <c r="I29" s="349"/>
      <c r="J29" s="349"/>
      <c r="K29" s="350">
        <v>1</v>
      </c>
      <c r="L29" s="350"/>
      <c r="M29" s="350">
        <v>0</v>
      </c>
      <c r="N29" s="350">
        <v>0</v>
      </c>
      <c r="O29" s="351">
        <v>0</v>
      </c>
      <c r="P29" s="351">
        <v>0</v>
      </c>
      <c r="Q29" s="351"/>
      <c r="R29" s="351"/>
      <c r="S29" s="351"/>
      <c r="T29" s="351"/>
      <c r="U29" s="349">
        <v>1</v>
      </c>
      <c r="V29" s="349">
        <v>1</v>
      </c>
      <c r="W29" s="349">
        <v>1</v>
      </c>
      <c r="X29" s="349">
        <v>1</v>
      </c>
      <c r="Y29" s="349">
        <v>5</v>
      </c>
      <c r="Z29" s="349">
        <v>1</v>
      </c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>
        <v>3</v>
      </c>
      <c r="AP29" s="349">
        <v>2</v>
      </c>
      <c r="AQ29" s="349">
        <v>1</v>
      </c>
      <c r="AR29" s="349">
        <v>0</v>
      </c>
      <c r="AS29" s="349"/>
      <c r="AT29" s="349"/>
      <c r="AU29" s="349">
        <v>1</v>
      </c>
      <c r="AV29" s="349">
        <v>0</v>
      </c>
      <c r="AW29" s="349"/>
      <c r="AX29" s="349"/>
      <c r="AY29" s="349">
        <v>1</v>
      </c>
      <c r="AZ29" s="349">
        <v>0</v>
      </c>
      <c r="BA29" s="349"/>
      <c r="BB29" s="349"/>
      <c r="BC29" s="349">
        <v>1</v>
      </c>
      <c r="BD29" s="349">
        <v>0</v>
      </c>
      <c r="BE29" s="349"/>
      <c r="BF29" s="349"/>
      <c r="BG29" s="349"/>
      <c r="BH29" s="349"/>
      <c r="BI29" s="349">
        <v>2</v>
      </c>
      <c r="BJ29" s="349">
        <v>0</v>
      </c>
      <c r="BK29" s="349"/>
      <c r="BL29" s="349"/>
      <c r="BM29" s="349"/>
      <c r="BN29" s="349"/>
      <c r="BO29" s="349">
        <v>1</v>
      </c>
      <c r="BP29" s="349">
        <v>0</v>
      </c>
      <c r="BQ29" s="349"/>
      <c r="BR29" s="349"/>
      <c r="BS29" s="349"/>
      <c r="BT29" s="349"/>
      <c r="BU29" s="349"/>
      <c r="BV29" s="349"/>
      <c r="BW29" s="352">
        <v>3</v>
      </c>
      <c r="BX29" s="352">
        <v>0</v>
      </c>
      <c r="BY29" s="353">
        <f t="shared" si="11"/>
        <v>16</v>
      </c>
      <c r="BZ29" s="353">
        <f t="shared" si="11"/>
        <v>5</v>
      </c>
      <c r="CA29" s="354">
        <f t="shared" si="6"/>
        <v>0.3125</v>
      </c>
      <c r="CB29" s="355">
        <f t="shared" si="9"/>
        <v>5</v>
      </c>
      <c r="CC29" s="355">
        <f t="shared" si="10"/>
        <v>1</v>
      </c>
      <c r="CD29" s="354">
        <f t="shared" si="7"/>
        <v>0.2</v>
      </c>
      <c r="CE29" s="355">
        <f t="shared" si="2"/>
        <v>2</v>
      </c>
      <c r="CF29" s="355">
        <f t="shared" si="3"/>
        <v>0</v>
      </c>
      <c r="CG29" s="354">
        <f t="shared" si="8"/>
        <v>0</v>
      </c>
      <c r="CH29" s="71">
        <v>1</v>
      </c>
      <c r="CI29" s="71">
        <v>0</v>
      </c>
      <c r="CJ29" s="71">
        <v>0</v>
      </c>
      <c r="CK29" s="71">
        <v>0</v>
      </c>
      <c r="CL29" s="71">
        <v>0</v>
      </c>
      <c r="CM29" s="71">
        <v>0</v>
      </c>
      <c r="CN29" s="71">
        <v>0</v>
      </c>
      <c r="CO29" s="71">
        <v>0</v>
      </c>
      <c r="CP29" s="71">
        <v>0</v>
      </c>
      <c r="CQ29" s="71">
        <v>0</v>
      </c>
      <c r="CR29" s="71">
        <v>0</v>
      </c>
      <c r="CS29" s="71">
        <v>0</v>
      </c>
      <c r="CT29" s="71">
        <v>0</v>
      </c>
      <c r="CU29" s="71">
        <v>0</v>
      </c>
      <c r="CV29" s="71">
        <v>0</v>
      </c>
      <c r="CW29" s="71">
        <v>0</v>
      </c>
      <c r="CX29" s="71">
        <v>0</v>
      </c>
      <c r="CY29" s="71">
        <v>0</v>
      </c>
      <c r="CZ29" s="71">
        <v>0</v>
      </c>
      <c r="DA29" s="71">
        <v>0</v>
      </c>
      <c r="DB29" s="71">
        <v>0</v>
      </c>
      <c r="DC29" s="71">
        <v>0</v>
      </c>
      <c r="DD29" s="71">
        <v>0</v>
      </c>
      <c r="DE29" s="71">
        <v>0</v>
      </c>
      <c r="DF29" s="71">
        <v>0</v>
      </c>
      <c r="DG29" s="71">
        <v>0</v>
      </c>
      <c r="DH29" s="71">
        <v>0</v>
      </c>
      <c r="DI29" s="71">
        <v>0</v>
      </c>
      <c r="DJ29" s="71">
        <v>0</v>
      </c>
      <c r="DK29" s="71">
        <v>0</v>
      </c>
    </row>
    <row r="30" spans="1:115" ht="15.75" x14ac:dyDescent="0.25">
      <c r="A30" s="347">
        <v>27</v>
      </c>
      <c r="B30" s="356" t="s">
        <v>158</v>
      </c>
      <c r="C30" s="349" t="s">
        <v>342</v>
      </c>
      <c r="D30" s="349"/>
      <c r="E30" s="349"/>
      <c r="F30" s="349"/>
      <c r="G30" s="349"/>
      <c r="H30" s="349"/>
      <c r="I30" s="349"/>
      <c r="J30" s="349"/>
      <c r="K30" s="350">
        <v>6</v>
      </c>
      <c r="L30" s="350">
        <v>1</v>
      </c>
      <c r="M30" s="350">
        <v>1</v>
      </c>
      <c r="N30" s="350">
        <v>0</v>
      </c>
      <c r="O30" s="351"/>
      <c r="P30" s="351"/>
      <c r="Q30" s="351"/>
      <c r="R30" s="351"/>
      <c r="S30" s="351"/>
      <c r="T30" s="351"/>
      <c r="U30" s="349">
        <v>1</v>
      </c>
      <c r="V30" s="349">
        <v>1</v>
      </c>
      <c r="W30" s="349"/>
      <c r="X30" s="349"/>
      <c r="Y30" s="349">
        <v>4</v>
      </c>
      <c r="Z30" s="349">
        <v>0</v>
      </c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>
        <v>3</v>
      </c>
      <c r="AP30" s="349">
        <v>2</v>
      </c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49">
        <v>1</v>
      </c>
      <c r="BD30" s="349">
        <v>0</v>
      </c>
      <c r="BE30" s="349"/>
      <c r="BF30" s="349"/>
      <c r="BG30" s="349"/>
      <c r="BH30" s="349"/>
      <c r="BI30" s="349"/>
      <c r="BJ30" s="349"/>
      <c r="BK30" s="349"/>
      <c r="BL30" s="349"/>
      <c r="BM30" s="349"/>
      <c r="BN30" s="349"/>
      <c r="BO30" s="349">
        <v>0</v>
      </c>
      <c r="BP30" s="349">
        <v>0</v>
      </c>
      <c r="BQ30" s="349"/>
      <c r="BR30" s="349"/>
      <c r="BS30" s="349"/>
      <c r="BT30" s="349"/>
      <c r="BU30" s="349"/>
      <c r="BV30" s="349"/>
      <c r="BW30" s="352"/>
      <c r="BX30" s="352"/>
      <c r="BY30" s="353">
        <f>K30+O30+S30+U30+Y30+AC30+AG30+AK30+AO30+BO30+BS30+BW30+CH30+CL30+CP30+CT30+CX30+DB30+DF30</f>
        <v>14</v>
      </c>
      <c r="BZ30" s="353">
        <f>L30+P30+T30+V30+Z30+AD30+AH30+AL30+AP30+BP30+BT30+BX30+CI30+CM30+CQ30+CU30+CY30+DC30+DG30</f>
        <v>4</v>
      </c>
      <c r="CA30" s="354">
        <f t="shared" si="6"/>
        <v>0.2857142857142857</v>
      </c>
      <c r="CB30" s="355">
        <f t="shared" si="9"/>
        <v>1</v>
      </c>
      <c r="CC30" s="355">
        <f t="shared" si="10"/>
        <v>0</v>
      </c>
      <c r="CD30" s="354">
        <f t="shared" si="7"/>
        <v>0</v>
      </c>
      <c r="CE30" s="355">
        <f t="shared" si="2"/>
        <v>1</v>
      </c>
      <c r="CF30" s="355">
        <f t="shared" si="3"/>
        <v>0</v>
      </c>
      <c r="CG30" s="354">
        <f t="shared" si="8"/>
        <v>0</v>
      </c>
      <c r="CH30" s="71">
        <v>0</v>
      </c>
      <c r="CI30" s="71">
        <v>0</v>
      </c>
      <c r="CJ30" s="71">
        <v>0</v>
      </c>
      <c r="CK30" s="71">
        <v>0</v>
      </c>
      <c r="CL30" s="71">
        <v>0</v>
      </c>
      <c r="CM30" s="71">
        <v>0</v>
      </c>
      <c r="CN30" s="71">
        <v>0</v>
      </c>
      <c r="CO30" s="71">
        <v>0</v>
      </c>
      <c r="CP30" s="71">
        <v>0</v>
      </c>
      <c r="CQ30" s="71">
        <v>0</v>
      </c>
      <c r="CR30" s="71">
        <v>0</v>
      </c>
      <c r="CS30" s="71">
        <v>0</v>
      </c>
      <c r="CT30" s="71">
        <v>0</v>
      </c>
      <c r="CU30" s="71">
        <v>0</v>
      </c>
      <c r="CV30" s="72">
        <v>1</v>
      </c>
      <c r="CW30" s="71">
        <v>0</v>
      </c>
      <c r="CX30" s="71">
        <v>0</v>
      </c>
      <c r="CY30" s="71">
        <v>0</v>
      </c>
      <c r="CZ30" s="71">
        <v>0</v>
      </c>
      <c r="DA30" s="71">
        <v>0</v>
      </c>
      <c r="DB30" s="71">
        <v>0</v>
      </c>
      <c r="DC30" s="71">
        <v>0</v>
      </c>
      <c r="DD30" s="71">
        <v>0</v>
      </c>
      <c r="DE30" s="71">
        <v>0</v>
      </c>
      <c r="DF30" s="71">
        <v>0</v>
      </c>
      <c r="DG30" s="71">
        <v>0</v>
      </c>
      <c r="DH30" s="71">
        <v>0</v>
      </c>
      <c r="DI30" s="71">
        <v>0</v>
      </c>
      <c r="DJ30" s="71">
        <v>0</v>
      </c>
      <c r="DK30" s="71">
        <v>0</v>
      </c>
    </row>
    <row r="31" spans="1:115" ht="15.75" x14ac:dyDescent="0.25">
      <c r="A31" s="347">
        <v>28</v>
      </c>
      <c r="B31" s="356" t="s">
        <v>161</v>
      </c>
      <c r="C31" s="349" t="s">
        <v>342</v>
      </c>
      <c r="D31" s="349"/>
      <c r="E31" s="349"/>
      <c r="F31" s="349"/>
      <c r="G31" s="349"/>
      <c r="H31" s="349"/>
      <c r="I31" s="349"/>
      <c r="J31" s="349"/>
      <c r="K31" s="350"/>
      <c r="L31" s="350"/>
      <c r="M31" s="350">
        <v>0</v>
      </c>
      <c r="N31" s="350">
        <v>0</v>
      </c>
      <c r="O31" s="351">
        <v>0</v>
      </c>
      <c r="P31" s="351">
        <v>0</v>
      </c>
      <c r="Q31" s="351"/>
      <c r="R31" s="351"/>
      <c r="S31" s="351">
        <v>1</v>
      </c>
      <c r="T31" s="351">
        <v>0</v>
      </c>
      <c r="U31" s="349">
        <v>2</v>
      </c>
      <c r="V31" s="349">
        <v>1</v>
      </c>
      <c r="W31" s="349"/>
      <c r="X31" s="349"/>
      <c r="Y31" s="349">
        <v>4</v>
      </c>
      <c r="Z31" s="349">
        <v>0</v>
      </c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>
        <v>5</v>
      </c>
      <c r="AP31" s="349">
        <v>3</v>
      </c>
      <c r="AQ31" s="349"/>
      <c r="AR31" s="349"/>
      <c r="AS31" s="349"/>
      <c r="AT31" s="349"/>
      <c r="AU31" s="349"/>
      <c r="AV31" s="349"/>
      <c r="AW31" s="349"/>
      <c r="AX31" s="349"/>
      <c r="AY31" s="349">
        <v>2</v>
      </c>
      <c r="AZ31" s="349">
        <v>0</v>
      </c>
      <c r="BA31" s="349"/>
      <c r="BB31" s="349"/>
      <c r="BC31" s="349">
        <v>5</v>
      </c>
      <c r="BD31" s="349">
        <v>0</v>
      </c>
      <c r="BE31" s="349">
        <v>2</v>
      </c>
      <c r="BF31" s="349">
        <v>0</v>
      </c>
      <c r="BG31" s="349"/>
      <c r="BH31" s="349"/>
      <c r="BI31" s="349">
        <v>2</v>
      </c>
      <c r="BJ31" s="349">
        <v>0</v>
      </c>
      <c r="BK31" s="349"/>
      <c r="BL31" s="349"/>
      <c r="BM31" s="349"/>
      <c r="BN31" s="349"/>
      <c r="BO31" s="349">
        <v>0</v>
      </c>
      <c r="BP31" s="349">
        <v>0</v>
      </c>
      <c r="BQ31" s="349"/>
      <c r="BR31" s="349"/>
      <c r="BS31" s="349"/>
      <c r="BT31" s="349"/>
      <c r="BU31" s="349"/>
      <c r="BV31" s="349"/>
      <c r="BW31" s="352">
        <v>1</v>
      </c>
      <c r="BX31" s="352">
        <v>0</v>
      </c>
      <c r="BY31" s="353">
        <f t="shared" ref="BY31:BZ33" si="12">O31+S31+U31+Y31+AC31+AG31+AK31+AO31+BO31+BS31+BW31+CH31+CL31+CP31+CT31+CX31+DB31+DF31</f>
        <v>13</v>
      </c>
      <c r="BZ31" s="353">
        <f t="shared" si="12"/>
        <v>4</v>
      </c>
      <c r="CA31" s="354">
        <f t="shared" si="6"/>
        <v>0.30769230769230771</v>
      </c>
      <c r="CB31" s="355">
        <f t="shared" si="9"/>
        <v>6</v>
      </c>
      <c r="CC31" s="355">
        <f t="shared" si="10"/>
        <v>0</v>
      </c>
      <c r="CD31" s="354">
        <f t="shared" si="7"/>
        <v>0</v>
      </c>
      <c r="CE31" s="355">
        <f t="shared" si="2"/>
        <v>5</v>
      </c>
      <c r="CF31" s="355">
        <f t="shared" si="3"/>
        <v>0</v>
      </c>
      <c r="CG31" s="354">
        <f t="shared" si="8"/>
        <v>0</v>
      </c>
      <c r="CH31" s="71">
        <v>0</v>
      </c>
      <c r="CI31" s="71">
        <v>0</v>
      </c>
      <c r="CJ31" s="71">
        <v>0</v>
      </c>
      <c r="CK31" s="71">
        <v>0</v>
      </c>
      <c r="CL31" s="71">
        <v>0</v>
      </c>
      <c r="CM31" s="71">
        <v>0</v>
      </c>
      <c r="CN31" s="71">
        <v>0</v>
      </c>
      <c r="CO31" s="71">
        <v>0</v>
      </c>
      <c r="CP31" s="71">
        <v>0</v>
      </c>
      <c r="CQ31" s="71">
        <v>0</v>
      </c>
      <c r="CR31" s="71">
        <v>0</v>
      </c>
      <c r="CS31" s="71">
        <v>0</v>
      </c>
      <c r="CT31" s="71">
        <v>0</v>
      </c>
      <c r="CU31" s="71">
        <v>0</v>
      </c>
      <c r="CV31" s="71">
        <v>0</v>
      </c>
      <c r="CW31" s="71">
        <v>0</v>
      </c>
      <c r="CX31" s="71">
        <v>0</v>
      </c>
      <c r="CY31" s="71">
        <v>0</v>
      </c>
      <c r="CZ31" s="71">
        <v>0</v>
      </c>
      <c r="DA31" s="71">
        <v>0</v>
      </c>
      <c r="DB31" s="71">
        <v>0</v>
      </c>
      <c r="DC31" s="71">
        <v>0</v>
      </c>
      <c r="DD31" s="71">
        <v>0</v>
      </c>
      <c r="DE31" s="71">
        <v>0</v>
      </c>
      <c r="DF31" s="71">
        <v>0</v>
      </c>
      <c r="DG31" s="71">
        <v>0</v>
      </c>
      <c r="DH31" s="71">
        <v>0</v>
      </c>
      <c r="DI31" s="71">
        <v>0</v>
      </c>
      <c r="DJ31" s="71">
        <v>0</v>
      </c>
      <c r="DK31" s="71">
        <v>0</v>
      </c>
    </row>
    <row r="32" spans="1:115" ht="31.5" x14ac:dyDescent="0.25">
      <c r="A32" s="347">
        <v>29</v>
      </c>
      <c r="B32" s="356" t="s">
        <v>318</v>
      </c>
      <c r="C32" s="349" t="s">
        <v>342</v>
      </c>
      <c r="D32" s="349"/>
      <c r="E32" s="349"/>
      <c r="F32" s="349"/>
      <c r="G32" s="349"/>
      <c r="H32" s="349"/>
      <c r="I32" s="349"/>
      <c r="J32" s="349"/>
      <c r="K32" s="350"/>
      <c r="L32" s="350"/>
      <c r="M32" s="350">
        <v>0</v>
      </c>
      <c r="N32" s="350">
        <v>0</v>
      </c>
      <c r="O32" s="351">
        <v>3</v>
      </c>
      <c r="P32" s="351">
        <v>2</v>
      </c>
      <c r="Q32" s="351">
        <v>1</v>
      </c>
      <c r="R32" s="351">
        <v>1</v>
      </c>
      <c r="S32" s="351"/>
      <c r="T32" s="351"/>
      <c r="U32" s="349">
        <v>2</v>
      </c>
      <c r="V32" s="349">
        <v>1</v>
      </c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  <c r="AZ32" s="349"/>
      <c r="BA32" s="349"/>
      <c r="BB32" s="349"/>
      <c r="BC32" s="349"/>
      <c r="BD32" s="349"/>
      <c r="BE32" s="349"/>
      <c r="BF32" s="349"/>
      <c r="BG32" s="349"/>
      <c r="BH32" s="349"/>
      <c r="BI32" s="349"/>
      <c r="BJ32" s="349"/>
      <c r="BK32" s="349"/>
      <c r="BL32" s="349"/>
      <c r="BM32" s="349"/>
      <c r="BN32" s="349"/>
      <c r="BO32" s="349">
        <v>1</v>
      </c>
      <c r="BP32" s="349">
        <v>1</v>
      </c>
      <c r="BQ32" s="349">
        <v>1</v>
      </c>
      <c r="BR32" s="349">
        <v>0</v>
      </c>
      <c r="BS32" s="349"/>
      <c r="BT32" s="349"/>
      <c r="BU32" s="349"/>
      <c r="BV32" s="349"/>
      <c r="BW32" s="352">
        <v>4</v>
      </c>
      <c r="BX32" s="352"/>
      <c r="BY32" s="353">
        <f t="shared" si="12"/>
        <v>10</v>
      </c>
      <c r="BZ32" s="353">
        <f t="shared" si="12"/>
        <v>4</v>
      </c>
      <c r="CA32" s="354">
        <f t="shared" si="6"/>
        <v>0.4</v>
      </c>
      <c r="CB32" s="355">
        <f t="shared" si="9"/>
        <v>1</v>
      </c>
      <c r="CC32" s="355">
        <f t="shared" si="10"/>
        <v>1</v>
      </c>
      <c r="CD32" s="354">
        <f t="shared" si="7"/>
        <v>1</v>
      </c>
      <c r="CE32" s="355">
        <f t="shared" si="2"/>
        <v>0</v>
      </c>
      <c r="CF32" s="355">
        <f t="shared" si="3"/>
        <v>0</v>
      </c>
      <c r="CG32" s="354">
        <v>0</v>
      </c>
      <c r="CH32" s="71">
        <v>0</v>
      </c>
      <c r="CI32" s="71">
        <v>0</v>
      </c>
      <c r="CJ32" s="71">
        <v>0</v>
      </c>
      <c r="CK32" s="71">
        <v>0</v>
      </c>
      <c r="CL32" s="71">
        <v>0</v>
      </c>
      <c r="CM32" s="71">
        <v>0</v>
      </c>
      <c r="CN32" s="71">
        <v>0</v>
      </c>
      <c r="CO32" s="71">
        <v>0</v>
      </c>
      <c r="CP32" s="71">
        <v>0</v>
      </c>
      <c r="CQ32" s="71">
        <v>0</v>
      </c>
      <c r="CR32" s="71">
        <v>0</v>
      </c>
      <c r="CS32" s="71">
        <v>0</v>
      </c>
      <c r="CT32" s="71">
        <v>0</v>
      </c>
      <c r="CU32" s="71">
        <v>0</v>
      </c>
      <c r="CV32" s="71">
        <v>0</v>
      </c>
      <c r="CW32" s="71">
        <v>0</v>
      </c>
      <c r="CX32" s="71">
        <v>0</v>
      </c>
      <c r="CY32" s="71">
        <v>0</v>
      </c>
      <c r="CZ32" s="71">
        <v>0</v>
      </c>
      <c r="DA32" s="71">
        <v>0</v>
      </c>
      <c r="DB32" s="71">
        <v>0</v>
      </c>
      <c r="DC32" s="71">
        <v>0</v>
      </c>
      <c r="DD32" s="71">
        <v>0</v>
      </c>
      <c r="DE32" s="71">
        <v>0</v>
      </c>
      <c r="DF32" s="71">
        <v>0</v>
      </c>
      <c r="DG32" s="71">
        <v>0</v>
      </c>
      <c r="DH32" s="71">
        <v>0</v>
      </c>
      <c r="DI32" s="71">
        <v>0</v>
      </c>
      <c r="DJ32" s="71">
        <v>0</v>
      </c>
      <c r="DK32" s="71">
        <v>0</v>
      </c>
    </row>
    <row r="33" spans="1:115" ht="15.75" x14ac:dyDescent="0.25">
      <c r="A33" s="347">
        <v>30</v>
      </c>
      <c r="B33" s="356" t="s">
        <v>319</v>
      </c>
      <c r="C33" s="349" t="s">
        <v>342</v>
      </c>
      <c r="D33" s="349"/>
      <c r="E33" s="349"/>
      <c r="F33" s="349"/>
      <c r="G33" s="349"/>
      <c r="H33" s="349"/>
      <c r="I33" s="349"/>
      <c r="J33" s="349"/>
      <c r="K33" s="350"/>
      <c r="L33" s="350"/>
      <c r="M33" s="350">
        <v>0</v>
      </c>
      <c r="N33" s="350">
        <v>0</v>
      </c>
      <c r="O33" s="351">
        <v>1</v>
      </c>
      <c r="P33" s="351">
        <v>1</v>
      </c>
      <c r="Q33" s="351"/>
      <c r="R33" s="351"/>
      <c r="S33" s="351">
        <v>1</v>
      </c>
      <c r="T33" s="351">
        <v>1</v>
      </c>
      <c r="U33" s="349">
        <v>1</v>
      </c>
      <c r="V33" s="349"/>
      <c r="W33" s="349"/>
      <c r="X33" s="349"/>
      <c r="Y33" s="349">
        <v>4</v>
      </c>
      <c r="Z33" s="349">
        <v>0</v>
      </c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>
        <v>1</v>
      </c>
      <c r="AP33" s="349">
        <v>1</v>
      </c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>
        <v>2</v>
      </c>
      <c r="BD33" s="349">
        <v>0</v>
      </c>
      <c r="BE33" s="349"/>
      <c r="BF33" s="349"/>
      <c r="BG33" s="349"/>
      <c r="BH33" s="349"/>
      <c r="BI33" s="349"/>
      <c r="BJ33" s="349"/>
      <c r="BK33" s="349"/>
      <c r="BL33" s="349"/>
      <c r="BM33" s="349"/>
      <c r="BN33" s="349"/>
      <c r="BO33" s="349">
        <v>1</v>
      </c>
      <c r="BP33" s="349">
        <v>0</v>
      </c>
      <c r="BQ33" s="349"/>
      <c r="BR33" s="349"/>
      <c r="BS33" s="349"/>
      <c r="BT33" s="349"/>
      <c r="BU33" s="349"/>
      <c r="BV33" s="349"/>
      <c r="BW33" s="352">
        <v>4</v>
      </c>
      <c r="BX33" s="352">
        <v>2</v>
      </c>
      <c r="BY33" s="353">
        <f t="shared" si="12"/>
        <v>13</v>
      </c>
      <c r="BZ33" s="353">
        <f t="shared" si="12"/>
        <v>5</v>
      </c>
      <c r="CA33" s="354">
        <f t="shared" si="6"/>
        <v>0.38461538461538464</v>
      </c>
      <c r="CB33" s="355">
        <f t="shared" si="9"/>
        <v>0</v>
      </c>
      <c r="CC33" s="355">
        <f t="shared" si="10"/>
        <v>0</v>
      </c>
      <c r="CD33" s="354">
        <v>0</v>
      </c>
      <c r="CE33" s="355">
        <f t="shared" si="2"/>
        <v>2</v>
      </c>
      <c r="CF33" s="355">
        <f t="shared" si="3"/>
        <v>0</v>
      </c>
      <c r="CG33" s="354">
        <f t="shared" si="8"/>
        <v>0</v>
      </c>
      <c r="CH33" s="71">
        <v>0</v>
      </c>
      <c r="CI33" s="71">
        <v>0</v>
      </c>
      <c r="CJ33" s="71">
        <v>0</v>
      </c>
      <c r="CK33" s="71">
        <v>0</v>
      </c>
      <c r="CL33" s="71">
        <v>0</v>
      </c>
      <c r="CM33" s="71">
        <v>0</v>
      </c>
      <c r="CN33" s="71">
        <v>0</v>
      </c>
      <c r="CO33" s="71">
        <v>0</v>
      </c>
      <c r="CP33" s="71">
        <v>0</v>
      </c>
      <c r="CQ33" s="71">
        <v>0</v>
      </c>
      <c r="CR33" s="71">
        <v>0</v>
      </c>
      <c r="CS33" s="71">
        <v>0</v>
      </c>
      <c r="CT33" s="71">
        <v>0</v>
      </c>
      <c r="CU33" s="71">
        <v>0</v>
      </c>
      <c r="CV33" s="71">
        <v>0</v>
      </c>
      <c r="CW33" s="71">
        <v>0</v>
      </c>
      <c r="CX33" s="71">
        <v>0</v>
      </c>
      <c r="CY33" s="71">
        <v>0</v>
      </c>
      <c r="CZ33" s="71">
        <v>0</v>
      </c>
      <c r="DA33" s="71">
        <v>0</v>
      </c>
      <c r="DB33" s="71">
        <v>0</v>
      </c>
      <c r="DC33" s="71">
        <v>0</v>
      </c>
      <c r="DD33" s="71">
        <v>0</v>
      </c>
      <c r="DE33" s="71">
        <v>0</v>
      </c>
      <c r="DF33" s="71">
        <v>0</v>
      </c>
      <c r="DG33" s="71">
        <v>0</v>
      </c>
      <c r="DH33" s="71">
        <v>0</v>
      </c>
      <c r="DI33" s="71">
        <v>0</v>
      </c>
      <c r="DJ33" s="71">
        <v>0</v>
      </c>
      <c r="DK33" s="71">
        <v>0</v>
      </c>
    </row>
    <row r="34" spans="1:115" ht="15.75" x14ac:dyDescent="0.25">
      <c r="A34" s="347">
        <v>31</v>
      </c>
      <c r="B34" s="356" t="s">
        <v>164</v>
      </c>
      <c r="C34" s="349" t="s">
        <v>342</v>
      </c>
      <c r="D34" s="349"/>
      <c r="E34" s="349"/>
      <c r="F34" s="349"/>
      <c r="G34" s="349"/>
      <c r="H34" s="349"/>
      <c r="I34" s="349"/>
      <c r="J34" s="349"/>
      <c r="K34" s="350"/>
      <c r="L34" s="350"/>
      <c r="M34" s="350">
        <v>0</v>
      </c>
      <c r="N34" s="350">
        <v>0</v>
      </c>
      <c r="O34" s="351"/>
      <c r="P34" s="351"/>
      <c r="Q34" s="351"/>
      <c r="R34" s="351"/>
      <c r="S34" s="351"/>
      <c r="T34" s="351"/>
      <c r="U34" s="349">
        <v>2</v>
      </c>
      <c r="V34" s="349">
        <v>1</v>
      </c>
      <c r="W34" s="349">
        <v>1</v>
      </c>
      <c r="X34" s="349">
        <v>0</v>
      </c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>
        <v>4</v>
      </c>
      <c r="AP34" s="349">
        <v>1</v>
      </c>
      <c r="AQ34" s="349"/>
      <c r="AR34" s="349"/>
      <c r="AS34" s="349"/>
      <c r="AT34" s="349"/>
      <c r="AU34" s="349"/>
      <c r="AV34" s="349"/>
      <c r="AW34" s="349"/>
      <c r="AX34" s="349"/>
      <c r="AY34" s="349"/>
      <c r="AZ34" s="349"/>
      <c r="BA34" s="349"/>
      <c r="BB34" s="349"/>
      <c r="BC34" s="349"/>
      <c r="BD34" s="349"/>
      <c r="BE34" s="349"/>
      <c r="BF34" s="349"/>
      <c r="BG34" s="349"/>
      <c r="BH34" s="349"/>
      <c r="BI34" s="349"/>
      <c r="BJ34" s="349"/>
      <c r="BK34" s="349"/>
      <c r="BL34" s="349"/>
      <c r="BM34" s="349"/>
      <c r="BN34" s="349"/>
      <c r="BO34" s="349">
        <v>0</v>
      </c>
      <c r="BP34" s="349">
        <v>0</v>
      </c>
      <c r="BQ34" s="349"/>
      <c r="BR34" s="349"/>
      <c r="BS34" s="349"/>
      <c r="BT34" s="349"/>
      <c r="BU34" s="349"/>
      <c r="BV34" s="349"/>
      <c r="BW34" s="352"/>
      <c r="BX34" s="352"/>
      <c r="BY34" s="353">
        <f>U34+Y34+AC34+AG34+AK34+AO34+BO34+BS34+BW34+CH34+CL34+CP34+CT34+CX34+DB34+DF34</f>
        <v>6</v>
      </c>
      <c r="BZ34" s="353">
        <f>V34+Z34+AD34+AH34+AL34+AP34+BP34+BT34+BX34+CI34+CM34+CQ34+CU34+CY34+DC34+DG34</f>
        <v>2</v>
      </c>
      <c r="CA34" s="354">
        <f t="shared" si="6"/>
        <v>0.33333333333333331</v>
      </c>
      <c r="CB34" s="355">
        <f t="shared" si="9"/>
        <v>1</v>
      </c>
      <c r="CC34" s="355">
        <f t="shared" si="10"/>
        <v>0</v>
      </c>
      <c r="CD34" s="354">
        <f t="shared" si="7"/>
        <v>0</v>
      </c>
      <c r="CE34" s="355">
        <f t="shared" si="2"/>
        <v>0</v>
      </c>
      <c r="CF34" s="355">
        <f t="shared" si="3"/>
        <v>0</v>
      </c>
      <c r="CG34" s="354">
        <v>0</v>
      </c>
      <c r="CH34" s="71">
        <v>0</v>
      </c>
      <c r="CI34" s="71">
        <v>0</v>
      </c>
      <c r="CJ34" s="71">
        <v>0</v>
      </c>
      <c r="CK34" s="71">
        <v>0</v>
      </c>
      <c r="CL34" s="71">
        <v>0</v>
      </c>
      <c r="CM34" s="71">
        <v>0</v>
      </c>
      <c r="CN34" s="71">
        <v>0</v>
      </c>
      <c r="CO34" s="71">
        <v>0</v>
      </c>
      <c r="CP34" s="71">
        <v>0</v>
      </c>
      <c r="CQ34" s="71">
        <v>0</v>
      </c>
      <c r="CR34" s="71">
        <v>0</v>
      </c>
      <c r="CS34" s="71">
        <v>0</v>
      </c>
      <c r="CT34" s="71">
        <v>0</v>
      </c>
      <c r="CU34" s="71">
        <v>0</v>
      </c>
      <c r="CV34" s="71">
        <v>0</v>
      </c>
      <c r="CW34" s="71">
        <v>0</v>
      </c>
      <c r="CX34" s="71">
        <v>0</v>
      </c>
      <c r="CY34" s="71">
        <v>0</v>
      </c>
      <c r="CZ34" s="71">
        <v>0</v>
      </c>
      <c r="DA34" s="71">
        <v>0</v>
      </c>
      <c r="DB34" s="71">
        <v>0</v>
      </c>
      <c r="DC34" s="71">
        <v>0</v>
      </c>
      <c r="DD34" s="71">
        <v>0</v>
      </c>
      <c r="DE34" s="71">
        <v>0</v>
      </c>
      <c r="DF34" s="71">
        <v>0</v>
      </c>
      <c r="DG34" s="71">
        <v>0</v>
      </c>
      <c r="DH34" s="71">
        <v>0</v>
      </c>
      <c r="DI34" s="71">
        <v>0</v>
      </c>
      <c r="DJ34" s="71">
        <v>0</v>
      </c>
      <c r="DK34" s="71">
        <v>0</v>
      </c>
    </row>
    <row r="35" spans="1:115" ht="15.75" x14ac:dyDescent="0.25">
      <c r="A35" s="347">
        <v>32</v>
      </c>
      <c r="B35" s="356" t="s">
        <v>165</v>
      </c>
      <c r="C35" s="349" t="s">
        <v>342</v>
      </c>
      <c r="D35" s="349" t="s">
        <v>342</v>
      </c>
      <c r="E35" s="349"/>
      <c r="F35" s="349"/>
      <c r="G35" s="349"/>
      <c r="H35" s="349"/>
      <c r="I35" s="349"/>
      <c r="J35" s="349"/>
      <c r="K35" s="350">
        <v>4</v>
      </c>
      <c r="L35" s="350">
        <v>2</v>
      </c>
      <c r="M35" s="350">
        <v>2</v>
      </c>
      <c r="N35" s="350">
        <v>0</v>
      </c>
      <c r="O35" s="351"/>
      <c r="P35" s="351"/>
      <c r="Q35" s="351"/>
      <c r="R35" s="351"/>
      <c r="S35" s="351"/>
      <c r="T35" s="351"/>
      <c r="U35" s="349">
        <v>2</v>
      </c>
      <c r="V35" s="349">
        <v>1</v>
      </c>
      <c r="W35" s="349">
        <v>1</v>
      </c>
      <c r="X35" s="349">
        <v>1</v>
      </c>
      <c r="Y35" s="349">
        <v>4</v>
      </c>
      <c r="Z35" s="349">
        <v>0</v>
      </c>
      <c r="AA35" s="349"/>
      <c r="AB35" s="349"/>
      <c r="AC35" s="349"/>
      <c r="AD35" s="349"/>
      <c r="AE35" s="349">
        <v>1</v>
      </c>
      <c r="AF35" s="349">
        <v>1</v>
      </c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>
        <v>1</v>
      </c>
      <c r="AX35" s="349">
        <v>0</v>
      </c>
      <c r="AY35" s="349"/>
      <c r="AZ35" s="349"/>
      <c r="BA35" s="349"/>
      <c r="BB35" s="349"/>
      <c r="BC35" s="349">
        <v>2</v>
      </c>
      <c r="BD35" s="349">
        <v>0</v>
      </c>
      <c r="BE35" s="349">
        <v>1</v>
      </c>
      <c r="BF35" s="349">
        <v>0</v>
      </c>
      <c r="BG35" s="349"/>
      <c r="BH35" s="349"/>
      <c r="BI35" s="349"/>
      <c r="BJ35" s="349"/>
      <c r="BK35" s="349"/>
      <c r="BL35" s="349"/>
      <c r="BM35" s="349"/>
      <c r="BN35" s="349"/>
      <c r="BO35" s="349">
        <v>0</v>
      </c>
      <c r="BP35" s="349">
        <v>0</v>
      </c>
      <c r="BQ35" s="349"/>
      <c r="BR35" s="349"/>
      <c r="BS35" s="349"/>
      <c r="BT35" s="349"/>
      <c r="BU35" s="349"/>
      <c r="BV35" s="349"/>
      <c r="BW35" s="352"/>
      <c r="BX35" s="352"/>
      <c r="BY35" s="353">
        <f>K35+O35+S35+U35+Y35+AC35+AG35+AK35+AO35+BO35+BS35+BW35+CH35+CL35+CP35+CT35+CX35+DB35+DF35</f>
        <v>10</v>
      </c>
      <c r="BZ35" s="353">
        <f>L35+P35+T35+V35+Z35+AD35+AH35+AL35+AP35+BP35+BT35+BX35+CI35+CM35+CQ35+CU35+CY35+DC35+DG35</f>
        <v>3</v>
      </c>
      <c r="CA35" s="354">
        <f t="shared" si="6"/>
        <v>0.3</v>
      </c>
      <c r="CB35" s="355">
        <f t="shared" si="9"/>
        <v>6</v>
      </c>
      <c r="CC35" s="355">
        <f t="shared" si="10"/>
        <v>2</v>
      </c>
      <c r="CD35" s="354">
        <f t="shared" si="7"/>
        <v>0.33333333333333331</v>
      </c>
      <c r="CE35" s="355">
        <f t="shared" si="2"/>
        <v>2</v>
      </c>
      <c r="CF35" s="355">
        <f t="shared" si="3"/>
        <v>0</v>
      </c>
      <c r="CG35" s="354">
        <f t="shared" si="8"/>
        <v>0</v>
      </c>
      <c r="CH35" s="71">
        <v>0</v>
      </c>
      <c r="CI35" s="71">
        <v>0</v>
      </c>
      <c r="CJ35" s="71">
        <v>0</v>
      </c>
      <c r="CK35" s="71">
        <v>0</v>
      </c>
      <c r="CL35" s="71">
        <v>0</v>
      </c>
      <c r="CM35" s="71">
        <v>0</v>
      </c>
      <c r="CN35" s="72">
        <v>4</v>
      </c>
      <c r="CO35" s="71">
        <v>0</v>
      </c>
      <c r="CP35" s="71">
        <v>0</v>
      </c>
      <c r="CQ35" s="71">
        <v>0</v>
      </c>
      <c r="CR35" s="71">
        <v>0</v>
      </c>
      <c r="CS35" s="71">
        <v>0</v>
      </c>
      <c r="CT35" s="71">
        <v>0</v>
      </c>
      <c r="CU35" s="71">
        <v>0</v>
      </c>
      <c r="CV35" s="71">
        <v>0</v>
      </c>
      <c r="CW35" s="71">
        <v>0</v>
      </c>
      <c r="CX35" s="71">
        <v>0</v>
      </c>
      <c r="CY35" s="71">
        <v>0</v>
      </c>
      <c r="CZ35" s="71">
        <v>0</v>
      </c>
      <c r="DA35" s="71">
        <v>0</v>
      </c>
      <c r="DB35" s="71">
        <v>0</v>
      </c>
      <c r="DC35" s="71">
        <v>0</v>
      </c>
      <c r="DD35" s="71">
        <v>0</v>
      </c>
      <c r="DE35" s="71">
        <v>0</v>
      </c>
      <c r="DF35" s="71">
        <v>0</v>
      </c>
      <c r="DG35" s="71">
        <v>0</v>
      </c>
      <c r="DH35" s="71">
        <v>0</v>
      </c>
      <c r="DI35" s="71">
        <v>0</v>
      </c>
      <c r="DJ35" s="71">
        <v>0</v>
      </c>
      <c r="DK35" s="71">
        <v>0</v>
      </c>
    </row>
    <row r="36" spans="1:115" ht="15.75" x14ac:dyDescent="0.25">
      <c r="A36" s="347">
        <v>33</v>
      </c>
      <c r="B36" s="356" t="s">
        <v>166</v>
      </c>
      <c r="C36" s="349" t="s">
        <v>342</v>
      </c>
      <c r="D36" s="349" t="s">
        <v>342</v>
      </c>
      <c r="E36" s="349" t="s">
        <v>342</v>
      </c>
      <c r="F36" s="349"/>
      <c r="G36" s="349"/>
      <c r="H36" s="349"/>
      <c r="I36" s="349"/>
      <c r="J36" s="349"/>
      <c r="K36" s="350"/>
      <c r="L36" s="350"/>
      <c r="M36" s="350">
        <v>0</v>
      </c>
      <c r="N36" s="350">
        <v>0</v>
      </c>
      <c r="O36" s="351">
        <v>1</v>
      </c>
      <c r="P36" s="351">
        <v>0</v>
      </c>
      <c r="Q36" s="351"/>
      <c r="R36" s="351"/>
      <c r="S36" s="351">
        <v>1</v>
      </c>
      <c r="T36" s="351">
        <v>0</v>
      </c>
      <c r="U36" s="349">
        <v>2</v>
      </c>
      <c r="V36" s="349">
        <v>2</v>
      </c>
      <c r="W36" s="349">
        <v>2</v>
      </c>
      <c r="X36" s="349">
        <v>1</v>
      </c>
      <c r="Y36" s="349">
        <v>5</v>
      </c>
      <c r="Z36" s="349">
        <v>1</v>
      </c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>
        <v>2</v>
      </c>
      <c r="AP36" s="349">
        <v>0</v>
      </c>
      <c r="AQ36" s="349"/>
      <c r="AR36" s="349"/>
      <c r="AS36" s="349"/>
      <c r="AT36" s="349"/>
      <c r="AU36" s="349"/>
      <c r="AV36" s="349"/>
      <c r="AW36" s="349"/>
      <c r="AX36" s="349"/>
      <c r="AY36" s="349"/>
      <c r="AZ36" s="349"/>
      <c r="BA36" s="349"/>
      <c r="BB36" s="349"/>
      <c r="BC36" s="349"/>
      <c r="BD36" s="349"/>
      <c r="BE36" s="349"/>
      <c r="BF36" s="349"/>
      <c r="BG36" s="349"/>
      <c r="BH36" s="349"/>
      <c r="BI36" s="349">
        <v>1</v>
      </c>
      <c r="BJ36" s="349">
        <v>0</v>
      </c>
      <c r="BK36" s="349"/>
      <c r="BL36" s="349"/>
      <c r="BM36" s="349"/>
      <c r="BN36" s="349"/>
      <c r="BO36" s="349">
        <v>1</v>
      </c>
      <c r="BP36" s="349">
        <v>0</v>
      </c>
      <c r="BQ36" s="349"/>
      <c r="BR36" s="349"/>
      <c r="BS36" s="349"/>
      <c r="BT36" s="349"/>
      <c r="BU36" s="349"/>
      <c r="BV36" s="349"/>
      <c r="BW36" s="352"/>
      <c r="BX36" s="352"/>
      <c r="BY36" s="353">
        <f>O36+S36+U36+Y36+AC36+AG36+AK36+AO36+BO36+BS36+BW36+CH36+CL36+CP36+CT36+CX36+DB36+DF36</f>
        <v>12</v>
      </c>
      <c r="BZ36" s="353">
        <f>P36+T36+V36+Z36+AD36+AH36+AL36+AP36+BP36+BT36+BX36+CI36+CM36+CQ36+CU36+CY36+DC36+DG36</f>
        <v>3</v>
      </c>
      <c r="CA36" s="354">
        <f t="shared" si="6"/>
        <v>0.25</v>
      </c>
      <c r="CB36" s="353">
        <f>I36+M36+Q36+W36+AA36+AE36+AI36+AM36+AQ36+AS36+AW36+AY36+BA36+BE36+BI36+BU36</f>
        <v>3</v>
      </c>
      <c r="CC36" s="355">
        <f>F36+J36+N36+R36+X36+AB36+AF36+AJ36+AN36+AR36+AT36+AX36+AZ36+BB36+BF36+BJ36+BV36</f>
        <v>1</v>
      </c>
      <c r="CD36" s="354">
        <f t="shared" si="7"/>
        <v>0.33333333333333331</v>
      </c>
      <c r="CE36" s="355">
        <f t="shared" si="2"/>
        <v>0</v>
      </c>
      <c r="CF36" s="355">
        <f t="shared" si="3"/>
        <v>0</v>
      </c>
      <c r="CG36" s="354">
        <v>0</v>
      </c>
      <c r="CH36" s="71">
        <v>0</v>
      </c>
      <c r="CI36" s="71">
        <v>0</v>
      </c>
      <c r="CJ36" s="71">
        <v>0</v>
      </c>
      <c r="CK36" s="71">
        <v>0</v>
      </c>
      <c r="CL36" s="71">
        <v>0</v>
      </c>
      <c r="CM36" s="71">
        <v>0</v>
      </c>
      <c r="CN36" s="71">
        <v>0</v>
      </c>
      <c r="CO36" s="71">
        <v>0</v>
      </c>
      <c r="CP36" s="71">
        <v>0</v>
      </c>
      <c r="CQ36" s="71">
        <v>0</v>
      </c>
      <c r="CR36" s="71">
        <v>0</v>
      </c>
      <c r="CS36" s="71">
        <v>0</v>
      </c>
      <c r="CT36" s="71">
        <v>0</v>
      </c>
      <c r="CU36" s="71">
        <v>0</v>
      </c>
      <c r="CV36" s="71">
        <v>0</v>
      </c>
      <c r="CW36" s="71">
        <v>0</v>
      </c>
      <c r="CX36" s="71">
        <v>0</v>
      </c>
      <c r="CY36" s="71">
        <v>0</v>
      </c>
      <c r="CZ36" s="71">
        <v>0</v>
      </c>
      <c r="DA36" s="71">
        <v>0</v>
      </c>
      <c r="DB36" s="71">
        <v>0</v>
      </c>
      <c r="DC36" s="71">
        <v>0</v>
      </c>
      <c r="DD36" s="71">
        <v>0</v>
      </c>
      <c r="DE36" s="71">
        <v>0</v>
      </c>
      <c r="DF36" s="71">
        <v>0</v>
      </c>
      <c r="DG36" s="71">
        <v>0</v>
      </c>
      <c r="DH36" s="71">
        <v>0</v>
      </c>
      <c r="DI36" s="71">
        <v>0</v>
      </c>
      <c r="DJ36" s="71">
        <v>0</v>
      </c>
      <c r="DK36" s="71">
        <v>0</v>
      </c>
    </row>
    <row r="37" spans="1:115" ht="15.75" x14ac:dyDescent="0.25">
      <c r="A37" s="347">
        <v>34</v>
      </c>
      <c r="B37" s="356" t="s">
        <v>167</v>
      </c>
      <c r="C37" s="349" t="s">
        <v>342</v>
      </c>
      <c r="D37" s="349"/>
      <c r="E37" s="349"/>
      <c r="F37" s="349"/>
      <c r="G37" s="349"/>
      <c r="H37" s="349"/>
      <c r="I37" s="349"/>
      <c r="J37" s="349"/>
      <c r="K37" s="350"/>
      <c r="L37" s="350"/>
      <c r="M37" s="350">
        <v>0</v>
      </c>
      <c r="N37" s="350">
        <v>0</v>
      </c>
      <c r="O37" s="351">
        <v>1</v>
      </c>
      <c r="P37" s="351">
        <v>1</v>
      </c>
      <c r="Q37" s="351"/>
      <c r="R37" s="351"/>
      <c r="S37" s="351"/>
      <c r="T37" s="351"/>
      <c r="U37" s="349">
        <v>1</v>
      </c>
      <c r="V37" s="349">
        <v>1</v>
      </c>
      <c r="W37" s="349"/>
      <c r="X37" s="349"/>
      <c r="Y37" s="349">
        <v>4</v>
      </c>
      <c r="Z37" s="349">
        <v>0</v>
      </c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>
        <v>4</v>
      </c>
      <c r="AP37" s="349">
        <v>1</v>
      </c>
      <c r="AQ37" s="349"/>
      <c r="AR37" s="349"/>
      <c r="AS37" s="349"/>
      <c r="AT37" s="349"/>
      <c r="AU37" s="349"/>
      <c r="AV37" s="349"/>
      <c r="AW37" s="349"/>
      <c r="AX37" s="349"/>
      <c r="AY37" s="349">
        <v>1</v>
      </c>
      <c r="AZ37" s="349">
        <v>0</v>
      </c>
      <c r="BA37" s="349"/>
      <c r="BB37" s="349"/>
      <c r="BC37" s="349">
        <v>1</v>
      </c>
      <c r="BD37" s="349">
        <v>0</v>
      </c>
      <c r="BE37" s="349"/>
      <c r="BF37" s="349"/>
      <c r="BG37" s="349"/>
      <c r="BH37" s="349"/>
      <c r="BI37" s="349"/>
      <c r="BJ37" s="349"/>
      <c r="BK37" s="349"/>
      <c r="BL37" s="349"/>
      <c r="BM37" s="349">
        <v>1</v>
      </c>
      <c r="BN37" s="349">
        <v>0</v>
      </c>
      <c r="BO37" s="349">
        <v>0</v>
      </c>
      <c r="BP37" s="349">
        <v>0</v>
      </c>
      <c r="BQ37" s="349"/>
      <c r="BR37" s="349"/>
      <c r="BS37" s="349"/>
      <c r="BT37" s="349"/>
      <c r="BU37" s="349"/>
      <c r="BV37" s="349"/>
      <c r="BW37" s="352">
        <v>4</v>
      </c>
      <c r="BX37" s="352">
        <v>3</v>
      </c>
      <c r="BY37" s="353">
        <f t="shared" ref="BY37:BZ38" si="13">O37+S37+U37+Y37+AC37+AG37+AK37+AO37+BO37+BS37+BW37+CH37+CL37+CP37+CT37+CX37+DB37+DF37</f>
        <v>14</v>
      </c>
      <c r="BZ37" s="353">
        <f t="shared" si="13"/>
        <v>6</v>
      </c>
      <c r="CA37" s="354">
        <f t="shared" si="6"/>
        <v>0.42857142857142855</v>
      </c>
      <c r="CB37" s="355">
        <f>E37+I37+M37+Q37+W37+AA37+AE37+AI37+AM37+AQ37+AS37+AW37+AY37+BA37+BE37+BI37+BU37</f>
        <v>1</v>
      </c>
      <c r="CC37" s="355">
        <f>F37+J37+N37+R37+X37+AB37+AF37+AJ37+AN37+AR37+AT37+AX37+AZ37+BB37+BF37+BJ37+BV37</f>
        <v>0</v>
      </c>
      <c r="CD37" s="354">
        <f t="shared" si="7"/>
        <v>0</v>
      </c>
      <c r="CE37" s="355">
        <f t="shared" si="2"/>
        <v>1</v>
      </c>
      <c r="CF37" s="355">
        <f t="shared" si="3"/>
        <v>0</v>
      </c>
      <c r="CG37" s="354">
        <f t="shared" si="8"/>
        <v>0</v>
      </c>
      <c r="CH37" s="71">
        <v>0</v>
      </c>
      <c r="CI37" s="71">
        <v>0</v>
      </c>
      <c r="CJ37" s="71">
        <v>0</v>
      </c>
      <c r="CK37" s="71">
        <v>0</v>
      </c>
      <c r="CL37" s="71">
        <v>0</v>
      </c>
      <c r="CM37" s="71">
        <v>0</v>
      </c>
      <c r="CN37" s="71">
        <v>0</v>
      </c>
      <c r="CO37" s="71">
        <v>0</v>
      </c>
      <c r="CP37" s="71">
        <v>0</v>
      </c>
      <c r="CQ37" s="71">
        <v>0</v>
      </c>
      <c r="CR37" s="71">
        <v>0</v>
      </c>
      <c r="CS37" s="71">
        <v>0</v>
      </c>
      <c r="CT37" s="71">
        <v>0</v>
      </c>
      <c r="CU37" s="71">
        <v>0</v>
      </c>
      <c r="CV37" s="71">
        <v>0</v>
      </c>
      <c r="CW37" s="71">
        <v>0</v>
      </c>
      <c r="CX37" s="71">
        <v>0</v>
      </c>
      <c r="CY37" s="71">
        <v>0</v>
      </c>
      <c r="CZ37" s="72">
        <v>1</v>
      </c>
      <c r="DA37" s="72">
        <v>0</v>
      </c>
      <c r="DB37" s="71">
        <v>0</v>
      </c>
      <c r="DC37" s="71">
        <v>0</v>
      </c>
      <c r="DD37" s="72">
        <v>1</v>
      </c>
      <c r="DE37" s="72">
        <v>0</v>
      </c>
      <c r="DF37" s="71">
        <v>0</v>
      </c>
      <c r="DG37" s="71">
        <v>0</v>
      </c>
      <c r="DH37" s="71">
        <v>0</v>
      </c>
      <c r="DI37" s="71">
        <v>0</v>
      </c>
      <c r="DJ37" s="71">
        <v>0</v>
      </c>
      <c r="DK37" s="71">
        <v>0</v>
      </c>
    </row>
    <row r="38" spans="1:115" ht="15.75" x14ac:dyDescent="0.25">
      <c r="A38" s="347">
        <v>35</v>
      </c>
      <c r="B38" s="356" t="s">
        <v>168</v>
      </c>
      <c r="C38" s="349" t="s">
        <v>342</v>
      </c>
      <c r="D38" s="349"/>
      <c r="E38" s="349"/>
      <c r="F38" s="349"/>
      <c r="G38" s="349"/>
      <c r="H38" s="349"/>
      <c r="I38" s="349"/>
      <c r="J38" s="349"/>
      <c r="K38" s="350"/>
      <c r="L38" s="350"/>
      <c r="M38" s="350">
        <v>0</v>
      </c>
      <c r="N38" s="350">
        <v>0</v>
      </c>
      <c r="O38" s="351">
        <v>0</v>
      </c>
      <c r="P38" s="351">
        <v>0</v>
      </c>
      <c r="Q38" s="351"/>
      <c r="R38" s="351"/>
      <c r="S38" s="351"/>
      <c r="T38" s="351"/>
      <c r="U38" s="349">
        <v>1</v>
      </c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>
        <v>4</v>
      </c>
      <c r="AP38" s="349">
        <v>0</v>
      </c>
      <c r="AQ38" s="349"/>
      <c r="AR38" s="349"/>
      <c r="AS38" s="349"/>
      <c r="AT38" s="349"/>
      <c r="AU38" s="349"/>
      <c r="AV38" s="349"/>
      <c r="AW38" s="349"/>
      <c r="AX38" s="349"/>
      <c r="AY38" s="349"/>
      <c r="AZ38" s="349"/>
      <c r="BA38" s="349"/>
      <c r="BB38" s="349"/>
      <c r="BC38" s="349"/>
      <c r="BD38" s="349"/>
      <c r="BE38" s="349"/>
      <c r="BF38" s="349"/>
      <c r="BG38" s="349"/>
      <c r="BH38" s="349"/>
      <c r="BI38" s="349"/>
      <c r="BJ38" s="349"/>
      <c r="BK38" s="349"/>
      <c r="BL38" s="349"/>
      <c r="BM38" s="349"/>
      <c r="BN38" s="349"/>
      <c r="BO38" s="349">
        <v>1</v>
      </c>
      <c r="BP38" s="349">
        <v>0</v>
      </c>
      <c r="BQ38" s="349"/>
      <c r="BR38" s="349"/>
      <c r="BS38" s="349"/>
      <c r="BT38" s="349"/>
      <c r="BU38" s="349"/>
      <c r="BV38" s="349"/>
      <c r="BW38" s="352"/>
      <c r="BX38" s="352"/>
      <c r="BY38" s="353">
        <f t="shared" si="13"/>
        <v>6</v>
      </c>
      <c r="BZ38" s="353">
        <f t="shared" si="13"/>
        <v>0</v>
      </c>
      <c r="CA38" s="354">
        <f t="shared" si="6"/>
        <v>0</v>
      </c>
      <c r="CB38" s="355">
        <f>E38+I38+M38+Q38+W38+AA38+AE38+AI38+AM38+AQ38+AS38+AW38+AY38+BA38+BE38+BI38+BU38</f>
        <v>0</v>
      </c>
      <c r="CC38" s="355">
        <f>F38+J38+N38+R38+X38+AB38+AF38+AJ38+AN38+AR38+AT38+AX38+AZ38+BB38+BF38+BJ38+BV38</f>
        <v>0</v>
      </c>
      <c r="CD38" s="354">
        <v>0</v>
      </c>
      <c r="CE38" s="355">
        <f t="shared" si="2"/>
        <v>0</v>
      </c>
      <c r="CF38" s="355">
        <f t="shared" si="3"/>
        <v>0</v>
      </c>
      <c r="CG38" s="354">
        <v>0</v>
      </c>
      <c r="CH38" s="71">
        <v>0</v>
      </c>
      <c r="CI38" s="71">
        <v>0</v>
      </c>
      <c r="CJ38" s="71">
        <v>0</v>
      </c>
      <c r="CK38" s="71">
        <v>0</v>
      </c>
      <c r="CL38" s="71">
        <v>0</v>
      </c>
      <c r="CM38" s="71">
        <v>0</v>
      </c>
      <c r="CN38" s="71">
        <v>0</v>
      </c>
      <c r="CO38" s="71">
        <v>0</v>
      </c>
      <c r="CP38" s="71">
        <v>0</v>
      </c>
      <c r="CQ38" s="71">
        <v>0</v>
      </c>
      <c r="CR38" s="71">
        <v>0</v>
      </c>
      <c r="CS38" s="71">
        <v>0</v>
      </c>
      <c r="CT38" s="71">
        <v>0</v>
      </c>
      <c r="CU38" s="71">
        <v>0</v>
      </c>
      <c r="CV38" s="71">
        <v>0</v>
      </c>
      <c r="CW38" s="71">
        <v>0</v>
      </c>
      <c r="CX38" s="71">
        <v>0</v>
      </c>
      <c r="CY38" s="71">
        <v>0</v>
      </c>
      <c r="CZ38" s="71">
        <v>0</v>
      </c>
      <c r="DA38" s="71">
        <v>0</v>
      </c>
      <c r="DB38" s="71">
        <v>0</v>
      </c>
      <c r="DC38" s="71">
        <v>0</v>
      </c>
      <c r="DD38" s="71">
        <v>0</v>
      </c>
      <c r="DE38" s="71">
        <v>0</v>
      </c>
      <c r="DF38" s="71">
        <v>0</v>
      </c>
      <c r="DG38" s="71">
        <v>0</v>
      </c>
      <c r="DH38" s="71">
        <v>0</v>
      </c>
      <c r="DI38" s="71">
        <v>0</v>
      </c>
      <c r="DJ38" s="71">
        <v>0</v>
      </c>
      <c r="DK38" s="71">
        <v>0</v>
      </c>
    </row>
    <row r="39" spans="1:115" ht="15.75" x14ac:dyDescent="0.25">
      <c r="A39" s="347">
        <v>36</v>
      </c>
      <c r="B39" s="356" t="s">
        <v>169</v>
      </c>
      <c r="C39" s="349" t="s">
        <v>342</v>
      </c>
      <c r="D39" s="349"/>
      <c r="E39" s="349"/>
      <c r="F39" s="349"/>
      <c r="G39" s="349"/>
      <c r="H39" s="349"/>
      <c r="I39" s="349"/>
      <c r="J39" s="349"/>
      <c r="K39" s="350"/>
      <c r="L39" s="350"/>
      <c r="M39" s="350">
        <v>0</v>
      </c>
      <c r="N39" s="350">
        <v>0</v>
      </c>
      <c r="O39" s="351"/>
      <c r="P39" s="351"/>
      <c r="Q39" s="351"/>
      <c r="R39" s="351"/>
      <c r="S39" s="351"/>
      <c r="T39" s="351"/>
      <c r="U39" s="349"/>
      <c r="V39" s="349"/>
      <c r="W39" s="349"/>
      <c r="X39" s="349"/>
      <c r="Y39" s="349">
        <v>3</v>
      </c>
      <c r="Z39" s="349">
        <v>0</v>
      </c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>
        <v>10</v>
      </c>
      <c r="AP39" s="349">
        <v>1</v>
      </c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49">
        <v>1</v>
      </c>
      <c r="BD39" s="349">
        <v>0</v>
      </c>
      <c r="BE39" s="349"/>
      <c r="BF39" s="349"/>
      <c r="BG39" s="349"/>
      <c r="BH39" s="349"/>
      <c r="BI39" s="349">
        <v>1</v>
      </c>
      <c r="BJ39" s="349">
        <v>0</v>
      </c>
      <c r="BK39" s="349"/>
      <c r="BL39" s="349"/>
      <c r="BM39" s="349"/>
      <c r="BN39" s="349"/>
      <c r="BO39" s="349">
        <v>0</v>
      </c>
      <c r="BP39" s="349">
        <v>0</v>
      </c>
      <c r="BQ39" s="349"/>
      <c r="BR39" s="349"/>
      <c r="BS39" s="349"/>
      <c r="BT39" s="349"/>
      <c r="BU39" s="349"/>
      <c r="BV39" s="349"/>
      <c r="BW39" s="352">
        <v>2</v>
      </c>
      <c r="BX39" s="352">
        <v>0</v>
      </c>
      <c r="BY39" s="353">
        <f>Y39+AC39+AG39+AK39+AO39+BO39+BS39+BW39+CH39+CL39+CP39+CT39+CX39+DB39+DF39</f>
        <v>16</v>
      </c>
      <c r="BZ39" s="353">
        <f>Z39+AD39+AH39+AL39+AP39+BP39+BT39+BX39+CI39+CM39+CQ39+CU39+CY39+DC39+DG39</f>
        <v>2</v>
      </c>
      <c r="CA39" s="354">
        <f t="shared" si="6"/>
        <v>0.125</v>
      </c>
      <c r="CB39" s="355">
        <f>E39+I39+M39+Q39+W39+AA39+AE39+AI39+AM39+AQ39+AS39+AW39+AY39+BA39+BE39+BI39+BU39</f>
        <v>1</v>
      </c>
      <c r="CC39" s="355">
        <f>F39+J39+N39+R39+X39+AB39+AF39+AJ39+AN39+AR39+AT39+AX39+AZ39+BB39+BF39+BJ39+BV39</f>
        <v>0</v>
      </c>
      <c r="CD39" s="354">
        <f t="shared" si="7"/>
        <v>0</v>
      </c>
      <c r="CE39" s="355">
        <f t="shared" si="2"/>
        <v>1</v>
      </c>
      <c r="CF39" s="355">
        <f t="shared" si="3"/>
        <v>0</v>
      </c>
      <c r="CG39" s="354">
        <f t="shared" si="8"/>
        <v>0</v>
      </c>
      <c r="CH39" s="71">
        <v>1</v>
      </c>
      <c r="CI39" s="71">
        <v>1</v>
      </c>
      <c r="CJ39" s="71">
        <v>0</v>
      </c>
      <c r="CK39" s="71">
        <v>0</v>
      </c>
      <c r="CL39" s="71">
        <v>0</v>
      </c>
      <c r="CM39" s="71">
        <v>0</v>
      </c>
      <c r="CN39" s="71">
        <v>0</v>
      </c>
      <c r="CO39" s="71">
        <v>0</v>
      </c>
      <c r="CP39" s="71">
        <v>0</v>
      </c>
      <c r="CQ39" s="71">
        <v>0</v>
      </c>
      <c r="CR39" s="71">
        <v>0</v>
      </c>
      <c r="CS39" s="71">
        <v>0</v>
      </c>
      <c r="CT39" s="71">
        <v>0</v>
      </c>
      <c r="CU39" s="71">
        <v>0</v>
      </c>
      <c r="CV39" s="71">
        <v>0</v>
      </c>
      <c r="CW39" s="71">
        <v>0</v>
      </c>
      <c r="CX39" s="71">
        <v>0</v>
      </c>
      <c r="CY39" s="71">
        <v>0</v>
      </c>
      <c r="CZ39" s="71">
        <v>0</v>
      </c>
      <c r="DA39" s="71">
        <v>0</v>
      </c>
      <c r="DB39" s="71">
        <v>0</v>
      </c>
      <c r="DC39" s="71">
        <v>0</v>
      </c>
      <c r="DD39" s="71">
        <v>0</v>
      </c>
      <c r="DE39" s="71">
        <v>0</v>
      </c>
      <c r="DF39" s="71">
        <v>0</v>
      </c>
      <c r="DG39" s="71">
        <v>0</v>
      </c>
      <c r="DH39" s="71">
        <v>0</v>
      </c>
      <c r="DI39" s="71">
        <v>0</v>
      </c>
      <c r="DJ39" s="71">
        <v>0</v>
      </c>
      <c r="DK39" s="71">
        <v>0</v>
      </c>
    </row>
    <row r="40" spans="1:115" ht="15.75" x14ac:dyDescent="0.25">
      <c r="A40" s="347">
        <v>37</v>
      </c>
      <c r="B40" s="356" t="s">
        <v>170</v>
      </c>
      <c r="C40" s="349" t="s">
        <v>342</v>
      </c>
      <c r="D40" s="349" t="s">
        <v>342</v>
      </c>
      <c r="E40" s="349" t="s">
        <v>342</v>
      </c>
      <c r="F40" s="349"/>
      <c r="G40" s="349"/>
      <c r="H40" s="349"/>
      <c r="I40" s="349"/>
      <c r="J40" s="349"/>
      <c r="K40" s="350">
        <v>17</v>
      </c>
      <c r="L40" s="350">
        <v>9</v>
      </c>
      <c r="M40" s="350">
        <v>9</v>
      </c>
      <c r="N40" s="350">
        <v>2</v>
      </c>
      <c r="O40" s="351">
        <v>1</v>
      </c>
      <c r="P40" s="351">
        <v>0</v>
      </c>
      <c r="Q40" s="351"/>
      <c r="R40" s="351"/>
      <c r="S40" s="351">
        <v>1</v>
      </c>
      <c r="T40" s="351">
        <v>1</v>
      </c>
      <c r="U40" s="349">
        <v>2</v>
      </c>
      <c r="V40" s="349">
        <v>1</v>
      </c>
      <c r="W40" s="349"/>
      <c r="X40" s="349"/>
      <c r="Y40" s="349">
        <v>3</v>
      </c>
      <c r="Z40" s="349">
        <v>1</v>
      </c>
      <c r="AA40" s="349">
        <v>3</v>
      </c>
      <c r="AB40" s="349">
        <v>2</v>
      </c>
      <c r="AC40" s="349">
        <v>1</v>
      </c>
      <c r="AD40" s="349">
        <v>1</v>
      </c>
      <c r="AE40" s="349"/>
      <c r="AF40" s="349"/>
      <c r="AG40" s="349">
        <v>1</v>
      </c>
      <c r="AH40" s="349">
        <v>1</v>
      </c>
      <c r="AI40" s="349"/>
      <c r="AJ40" s="349"/>
      <c r="AK40" s="349"/>
      <c r="AL40" s="349"/>
      <c r="AM40" s="349"/>
      <c r="AN40" s="349"/>
      <c r="AO40" s="349">
        <v>7</v>
      </c>
      <c r="AP40" s="349">
        <v>2</v>
      </c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49">
        <v>1</v>
      </c>
      <c r="BD40" s="349">
        <v>0</v>
      </c>
      <c r="BE40" s="349">
        <v>2</v>
      </c>
      <c r="BF40" s="349">
        <v>1</v>
      </c>
      <c r="BG40" s="349"/>
      <c r="BH40" s="349"/>
      <c r="BI40" s="349">
        <v>3</v>
      </c>
      <c r="BJ40" s="349">
        <v>0</v>
      </c>
      <c r="BK40" s="349"/>
      <c r="BL40" s="349"/>
      <c r="BM40" s="349"/>
      <c r="BN40" s="349"/>
      <c r="BO40" s="349">
        <v>0</v>
      </c>
      <c r="BP40" s="349">
        <v>0</v>
      </c>
      <c r="BQ40" s="349"/>
      <c r="BR40" s="349"/>
      <c r="BS40" s="349"/>
      <c r="BT40" s="349"/>
      <c r="BU40" s="349"/>
      <c r="BV40" s="349"/>
      <c r="BW40" s="352">
        <v>2</v>
      </c>
      <c r="BX40" s="352">
        <v>2</v>
      </c>
      <c r="BY40" s="353">
        <f t="shared" ref="BY40:BZ41" si="14">K40+O40+S40+U40+Y40+AC40+AG40+AK40+AO40+BO40+BS40+BW40+CH40+CL40+CP40+CT40+CX40+DB40+DF40</f>
        <v>35</v>
      </c>
      <c r="BZ40" s="353">
        <f t="shared" si="14"/>
        <v>18</v>
      </c>
      <c r="CA40" s="354">
        <f t="shared" si="7"/>
        <v>0.51428571428571423</v>
      </c>
      <c r="CB40" s="355">
        <f>AU40+BC40+BG40+BK40</f>
        <v>1</v>
      </c>
      <c r="CC40" s="355">
        <f>AV40+BD40+BH40+BL40</f>
        <v>0</v>
      </c>
      <c r="CD40" s="354">
        <f t="shared" si="8"/>
        <v>0</v>
      </c>
      <c r="CE40" s="355">
        <f t="shared" ref="CE40:CF41" si="15">AU40+BC40+BG40+BK40</f>
        <v>1</v>
      </c>
      <c r="CF40" s="355">
        <f t="shared" si="15"/>
        <v>0</v>
      </c>
      <c r="CG40" s="354">
        <f t="shared" si="8"/>
        <v>0</v>
      </c>
      <c r="CH40" s="71">
        <v>0</v>
      </c>
      <c r="CI40" s="71">
        <v>0</v>
      </c>
      <c r="CJ40" s="71">
        <v>0</v>
      </c>
      <c r="CK40" s="71">
        <v>0</v>
      </c>
      <c r="CL40" s="71">
        <v>0</v>
      </c>
      <c r="CM40" s="71">
        <v>0</v>
      </c>
      <c r="CN40" s="71">
        <v>0</v>
      </c>
      <c r="CO40" s="71">
        <v>0</v>
      </c>
      <c r="CP40" s="71">
        <v>0</v>
      </c>
      <c r="CQ40" s="71">
        <v>0</v>
      </c>
      <c r="CR40" s="71">
        <v>0</v>
      </c>
      <c r="CS40" s="71">
        <v>0</v>
      </c>
      <c r="CT40" s="71">
        <v>0</v>
      </c>
      <c r="CU40" s="71">
        <v>0</v>
      </c>
      <c r="CV40" s="71">
        <v>0</v>
      </c>
      <c r="CW40" s="71">
        <v>0</v>
      </c>
      <c r="CX40" s="71">
        <v>0</v>
      </c>
      <c r="CY40" s="71">
        <v>0</v>
      </c>
      <c r="CZ40" s="71">
        <v>0</v>
      </c>
      <c r="DA40" s="71">
        <v>0</v>
      </c>
      <c r="DB40" s="71">
        <v>0</v>
      </c>
      <c r="DC40" s="71">
        <v>0</v>
      </c>
      <c r="DD40" s="71">
        <v>0</v>
      </c>
      <c r="DE40" s="71">
        <v>0</v>
      </c>
      <c r="DF40" s="71">
        <v>0</v>
      </c>
      <c r="DG40" s="71">
        <v>0</v>
      </c>
      <c r="DH40" s="71">
        <v>0</v>
      </c>
      <c r="DI40" s="71">
        <v>0</v>
      </c>
      <c r="DJ40" s="71">
        <v>0</v>
      </c>
      <c r="DK40" s="71">
        <v>0</v>
      </c>
    </row>
    <row r="41" spans="1:115" ht="15.75" x14ac:dyDescent="0.25">
      <c r="A41" s="437">
        <v>38</v>
      </c>
      <c r="B41" s="438" t="s">
        <v>171</v>
      </c>
      <c r="C41" s="439" t="s">
        <v>342</v>
      </c>
      <c r="D41" s="439" t="s">
        <v>342</v>
      </c>
      <c r="E41" s="439" t="s">
        <v>342</v>
      </c>
      <c r="F41" s="439"/>
      <c r="G41" s="439"/>
      <c r="H41" s="439"/>
      <c r="I41" s="439"/>
      <c r="J41" s="439"/>
      <c r="K41" s="440">
        <v>1</v>
      </c>
      <c r="L41" s="440">
        <v>0</v>
      </c>
      <c r="M41" s="440">
        <v>0</v>
      </c>
      <c r="N41" s="440">
        <v>0</v>
      </c>
      <c r="O41" s="441"/>
      <c r="P41" s="441"/>
      <c r="Q41" s="441"/>
      <c r="R41" s="441"/>
      <c r="S41" s="441"/>
      <c r="T41" s="441"/>
      <c r="U41" s="439">
        <v>2</v>
      </c>
      <c r="V41" s="439">
        <v>1</v>
      </c>
      <c r="W41" s="439"/>
      <c r="X41" s="439"/>
      <c r="Y41" s="439">
        <v>3</v>
      </c>
      <c r="Z41" s="439">
        <v>0</v>
      </c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39"/>
      <c r="AL41" s="439"/>
      <c r="AM41" s="439"/>
      <c r="AN41" s="439"/>
      <c r="AO41" s="439">
        <v>5</v>
      </c>
      <c r="AP41" s="439">
        <v>1</v>
      </c>
      <c r="AQ41" s="439"/>
      <c r="AR41" s="439"/>
      <c r="AS41" s="439"/>
      <c r="AT41" s="439"/>
      <c r="AU41" s="439">
        <v>1</v>
      </c>
      <c r="AV41" s="439">
        <v>0</v>
      </c>
      <c r="AW41" s="439"/>
      <c r="AX41" s="439"/>
      <c r="AY41" s="439"/>
      <c r="AZ41" s="439"/>
      <c r="BA41" s="439"/>
      <c r="BB41" s="439"/>
      <c r="BC41" s="439">
        <v>2</v>
      </c>
      <c r="BD41" s="439">
        <v>0</v>
      </c>
      <c r="BE41" s="439"/>
      <c r="BF41" s="439"/>
      <c r="BG41" s="439"/>
      <c r="BH41" s="439"/>
      <c r="BI41" s="439">
        <v>1</v>
      </c>
      <c r="BJ41" s="439">
        <v>0</v>
      </c>
      <c r="BK41" s="439"/>
      <c r="BL41" s="439"/>
      <c r="BM41" s="439"/>
      <c r="BN41" s="439"/>
      <c r="BO41" s="439">
        <v>0</v>
      </c>
      <c r="BP41" s="439">
        <v>0</v>
      </c>
      <c r="BQ41" s="439"/>
      <c r="BR41" s="439"/>
      <c r="BS41" s="439"/>
      <c r="BT41" s="439"/>
      <c r="BU41" s="439"/>
      <c r="BV41" s="439"/>
      <c r="BW41" s="442">
        <v>2</v>
      </c>
      <c r="BX41" s="442">
        <v>1</v>
      </c>
      <c r="BY41" s="353">
        <f t="shared" si="14"/>
        <v>13</v>
      </c>
      <c r="BZ41" s="353">
        <f t="shared" si="14"/>
        <v>3</v>
      </c>
      <c r="CA41" s="443">
        <v>0.17599999999999999</v>
      </c>
      <c r="CB41" s="444">
        <f>AU41+BC41+BG41+BK41</f>
        <v>3</v>
      </c>
      <c r="CC41" s="444">
        <f>AV41+BD41+BH41+BL41</f>
        <v>0</v>
      </c>
      <c r="CD41" s="443">
        <v>0</v>
      </c>
      <c r="CE41" s="444">
        <f t="shared" si="15"/>
        <v>3</v>
      </c>
      <c r="CF41" s="444">
        <f t="shared" si="15"/>
        <v>0</v>
      </c>
      <c r="CG41" s="443">
        <v>0</v>
      </c>
      <c r="CH41" s="71">
        <v>0</v>
      </c>
      <c r="CI41" s="71">
        <v>0</v>
      </c>
      <c r="CJ41" s="71">
        <v>0</v>
      </c>
      <c r="CK41" s="71">
        <v>0</v>
      </c>
      <c r="CL41" s="71">
        <v>0</v>
      </c>
      <c r="CM41" s="71">
        <v>0</v>
      </c>
      <c r="CN41" s="71">
        <v>0</v>
      </c>
      <c r="CO41" s="71">
        <v>0</v>
      </c>
      <c r="CP41" s="71">
        <v>0</v>
      </c>
      <c r="CQ41" s="71">
        <v>0</v>
      </c>
      <c r="CR41" s="71">
        <v>0</v>
      </c>
      <c r="CS41" s="71">
        <v>0</v>
      </c>
      <c r="CT41" s="71">
        <v>0</v>
      </c>
      <c r="CU41" s="71">
        <v>0</v>
      </c>
      <c r="CV41" s="71">
        <v>0</v>
      </c>
      <c r="CW41" s="71">
        <v>0</v>
      </c>
      <c r="CX41" s="71">
        <v>0</v>
      </c>
      <c r="CY41" s="71">
        <v>0</v>
      </c>
      <c r="CZ41" s="71">
        <v>0</v>
      </c>
      <c r="DA41" s="71">
        <v>0</v>
      </c>
      <c r="DB41" s="71">
        <v>0</v>
      </c>
      <c r="DC41" s="71">
        <v>0</v>
      </c>
      <c r="DD41" s="71">
        <v>0</v>
      </c>
      <c r="DE41" s="71">
        <v>0</v>
      </c>
      <c r="DF41" s="71">
        <v>0</v>
      </c>
      <c r="DG41" s="71">
        <v>0</v>
      </c>
      <c r="DH41" s="71">
        <v>0</v>
      </c>
      <c r="DI41" s="71">
        <v>0</v>
      </c>
      <c r="DJ41" s="71">
        <v>0</v>
      </c>
      <c r="DK41" s="71">
        <v>0</v>
      </c>
    </row>
    <row r="42" spans="1:115" s="370" customFormat="1" ht="15.75" customHeight="1" x14ac:dyDescent="0.25">
      <c r="A42" s="681" t="s">
        <v>118</v>
      </c>
      <c r="B42" s="681"/>
      <c r="C42" s="451">
        <f>SUM(C4:C41)</f>
        <v>3</v>
      </c>
      <c r="D42" s="451">
        <f t="shared" ref="D42:BO42" si="16">SUM(D4:D41)</f>
        <v>3</v>
      </c>
      <c r="E42" s="451">
        <f t="shared" si="16"/>
        <v>1</v>
      </c>
      <c r="F42" s="451">
        <f t="shared" si="16"/>
        <v>1</v>
      </c>
      <c r="G42" s="451">
        <f t="shared" si="16"/>
        <v>10</v>
      </c>
      <c r="H42" s="451">
        <f t="shared" si="16"/>
        <v>7</v>
      </c>
      <c r="I42" s="451">
        <f t="shared" si="16"/>
        <v>4</v>
      </c>
      <c r="J42" s="451">
        <f t="shared" si="16"/>
        <v>3</v>
      </c>
      <c r="K42" s="451">
        <f t="shared" si="16"/>
        <v>56</v>
      </c>
      <c r="L42" s="451">
        <f t="shared" si="16"/>
        <v>20</v>
      </c>
      <c r="M42" s="451">
        <f t="shared" si="16"/>
        <v>20</v>
      </c>
      <c r="N42" s="451">
        <f t="shared" si="16"/>
        <v>5</v>
      </c>
      <c r="O42" s="451">
        <f t="shared" si="16"/>
        <v>16</v>
      </c>
      <c r="P42" s="451">
        <f t="shared" si="16"/>
        <v>12</v>
      </c>
      <c r="Q42" s="451">
        <f t="shared" si="16"/>
        <v>3</v>
      </c>
      <c r="R42" s="451">
        <f t="shared" si="16"/>
        <v>3</v>
      </c>
      <c r="S42" s="451">
        <f t="shared" si="16"/>
        <v>24</v>
      </c>
      <c r="T42" s="451">
        <f t="shared" si="16"/>
        <v>21</v>
      </c>
      <c r="U42" s="451">
        <f t="shared" si="16"/>
        <v>51</v>
      </c>
      <c r="V42" s="451">
        <f t="shared" si="16"/>
        <v>26</v>
      </c>
      <c r="W42" s="451">
        <f t="shared" si="16"/>
        <v>8</v>
      </c>
      <c r="X42" s="451">
        <f t="shared" si="16"/>
        <v>5</v>
      </c>
      <c r="Y42" s="451">
        <f t="shared" si="16"/>
        <v>98</v>
      </c>
      <c r="Z42" s="451">
        <f t="shared" si="16"/>
        <v>13</v>
      </c>
      <c r="AA42" s="451">
        <f t="shared" si="16"/>
        <v>8</v>
      </c>
      <c r="AB42" s="451">
        <f t="shared" si="16"/>
        <v>5</v>
      </c>
      <c r="AC42" s="451">
        <f t="shared" si="16"/>
        <v>5</v>
      </c>
      <c r="AD42" s="451">
        <f t="shared" si="16"/>
        <v>4</v>
      </c>
      <c r="AE42" s="451">
        <f t="shared" si="16"/>
        <v>4</v>
      </c>
      <c r="AF42" s="451">
        <f t="shared" si="16"/>
        <v>4</v>
      </c>
      <c r="AG42" s="451">
        <f t="shared" si="16"/>
        <v>10</v>
      </c>
      <c r="AH42" s="451">
        <f t="shared" si="16"/>
        <v>10</v>
      </c>
      <c r="AI42" s="451">
        <f t="shared" si="16"/>
        <v>4</v>
      </c>
      <c r="AJ42" s="451">
        <f t="shared" si="16"/>
        <v>3</v>
      </c>
      <c r="AK42" s="451">
        <f t="shared" si="16"/>
        <v>2</v>
      </c>
      <c r="AL42" s="451">
        <f t="shared" si="16"/>
        <v>2</v>
      </c>
      <c r="AM42" s="451">
        <f t="shared" si="16"/>
        <v>1</v>
      </c>
      <c r="AN42" s="451">
        <f t="shared" si="16"/>
        <v>0</v>
      </c>
      <c r="AO42" s="451">
        <f t="shared" si="16"/>
        <v>143</v>
      </c>
      <c r="AP42" s="451">
        <f t="shared" si="16"/>
        <v>41</v>
      </c>
      <c r="AQ42" s="451">
        <f t="shared" si="16"/>
        <v>9</v>
      </c>
      <c r="AR42" s="451">
        <f t="shared" si="16"/>
        <v>0</v>
      </c>
      <c r="AS42" s="451">
        <f t="shared" si="16"/>
        <v>0</v>
      </c>
      <c r="AT42" s="451">
        <f t="shared" si="16"/>
        <v>0</v>
      </c>
      <c r="AU42" s="451">
        <f t="shared" si="16"/>
        <v>9</v>
      </c>
      <c r="AV42" s="451">
        <f t="shared" si="16"/>
        <v>0</v>
      </c>
      <c r="AW42" s="451">
        <f t="shared" si="16"/>
        <v>3</v>
      </c>
      <c r="AX42" s="451">
        <f t="shared" si="16"/>
        <v>0</v>
      </c>
      <c r="AY42" s="451">
        <f t="shared" si="16"/>
        <v>14</v>
      </c>
      <c r="AZ42" s="451">
        <f t="shared" si="16"/>
        <v>0</v>
      </c>
      <c r="BA42" s="451">
        <f t="shared" si="16"/>
        <v>0</v>
      </c>
      <c r="BB42" s="451">
        <f t="shared" si="16"/>
        <v>0</v>
      </c>
      <c r="BC42" s="451">
        <f t="shared" si="16"/>
        <v>28</v>
      </c>
      <c r="BD42" s="451">
        <f t="shared" si="16"/>
        <v>1</v>
      </c>
      <c r="BE42" s="451">
        <f t="shared" si="16"/>
        <v>11</v>
      </c>
      <c r="BF42" s="451">
        <f t="shared" si="16"/>
        <v>1</v>
      </c>
      <c r="BG42" s="451">
        <f t="shared" si="16"/>
        <v>0</v>
      </c>
      <c r="BH42" s="451">
        <f t="shared" si="16"/>
        <v>0</v>
      </c>
      <c r="BI42" s="451">
        <f t="shared" si="16"/>
        <v>27</v>
      </c>
      <c r="BJ42" s="451">
        <f t="shared" si="16"/>
        <v>2</v>
      </c>
      <c r="BK42" s="451">
        <f t="shared" si="16"/>
        <v>0</v>
      </c>
      <c r="BL42" s="451">
        <f t="shared" si="16"/>
        <v>0</v>
      </c>
      <c r="BM42" s="451">
        <f t="shared" si="16"/>
        <v>2</v>
      </c>
      <c r="BN42" s="451">
        <f t="shared" si="16"/>
        <v>0</v>
      </c>
      <c r="BO42" s="451">
        <f t="shared" si="16"/>
        <v>11</v>
      </c>
      <c r="BP42" s="451">
        <f t="shared" ref="BP42:CF42" si="17">SUM(BP4:BP41)</f>
        <v>2</v>
      </c>
      <c r="BQ42" s="451">
        <f t="shared" si="17"/>
        <v>2</v>
      </c>
      <c r="BR42" s="451">
        <f t="shared" si="17"/>
        <v>0</v>
      </c>
      <c r="BS42" s="451">
        <f t="shared" si="17"/>
        <v>0</v>
      </c>
      <c r="BT42" s="451">
        <f t="shared" si="17"/>
        <v>0</v>
      </c>
      <c r="BU42" s="451">
        <f t="shared" si="17"/>
        <v>2</v>
      </c>
      <c r="BV42" s="451">
        <f t="shared" si="17"/>
        <v>2</v>
      </c>
      <c r="BW42" s="451">
        <f t="shared" si="17"/>
        <v>45</v>
      </c>
      <c r="BX42" s="451">
        <f t="shared" si="17"/>
        <v>18</v>
      </c>
      <c r="BY42" s="451">
        <f t="shared" si="17"/>
        <v>493</v>
      </c>
      <c r="BZ42" s="451">
        <f t="shared" si="17"/>
        <v>186</v>
      </c>
      <c r="CA42" s="452">
        <f>BZ42/BY42</f>
        <v>0.37728194726166331</v>
      </c>
      <c r="CB42" s="451">
        <f t="shared" si="17"/>
        <v>105</v>
      </c>
      <c r="CC42" s="451">
        <f t="shared" si="17"/>
        <v>29</v>
      </c>
      <c r="CD42" s="452">
        <f t="shared" ref="CD42" si="18">CC42/CB42</f>
        <v>0.27619047619047621</v>
      </c>
      <c r="CE42" s="451">
        <f t="shared" si="17"/>
        <v>37</v>
      </c>
      <c r="CF42" s="451">
        <f t="shared" si="17"/>
        <v>1</v>
      </c>
      <c r="CG42" s="452">
        <f t="shared" ref="CG42" si="19">CF42/CE42</f>
        <v>2.7027027027027029E-2</v>
      </c>
      <c r="CH42" s="512">
        <f t="shared" ref="CH42:DK42" si="20">SUM(CH4:CH41)</f>
        <v>19</v>
      </c>
      <c r="CI42" s="512">
        <f t="shared" si="20"/>
        <v>7</v>
      </c>
      <c r="CJ42" s="512">
        <f t="shared" si="20"/>
        <v>1</v>
      </c>
      <c r="CK42" s="512">
        <f t="shared" si="20"/>
        <v>0</v>
      </c>
      <c r="CL42" s="512">
        <f t="shared" si="20"/>
        <v>0</v>
      </c>
      <c r="CM42" s="512">
        <f t="shared" si="20"/>
        <v>0</v>
      </c>
      <c r="CN42" s="512">
        <f t="shared" si="20"/>
        <v>4</v>
      </c>
      <c r="CO42" s="512">
        <f t="shared" si="20"/>
        <v>0</v>
      </c>
      <c r="CP42" s="512">
        <f t="shared" si="20"/>
        <v>0</v>
      </c>
      <c r="CQ42" s="512">
        <f t="shared" si="20"/>
        <v>0</v>
      </c>
      <c r="CR42" s="512">
        <f t="shared" si="20"/>
        <v>2</v>
      </c>
      <c r="CS42" s="512">
        <f t="shared" si="20"/>
        <v>1</v>
      </c>
      <c r="CT42" s="512">
        <f t="shared" si="20"/>
        <v>0</v>
      </c>
      <c r="CU42" s="512">
        <f t="shared" si="20"/>
        <v>0</v>
      </c>
      <c r="CV42" s="512">
        <f t="shared" si="20"/>
        <v>2</v>
      </c>
      <c r="CW42" s="512">
        <f t="shared" si="20"/>
        <v>0</v>
      </c>
      <c r="CX42" s="512">
        <f t="shared" si="20"/>
        <v>0</v>
      </c>
      <c r="CY42" s="512">
        <f t="shared" si="20"/>
        <v>0</v>
      </c>
      <c r="CZ42" s="512">
        <f t="shared" si="20"/>
        <v>2</v>
      </c>
      <c r="DA42" s="512">
        <f t="shared" si="20"/>
        <v>1</v>
      </c>
      <c r="DB42" s="512">
        <f t="shared" si="20"/>
        <v>0</v>
      </c>
      <c r="DC42" s="512">
        <f t="shared" si="20"/>
        <v>0</v>
      </c>
      <c r="DD42" s="512">
        <f t="shared" si="20"/>
        <v>1</v>
      </c>
      <c r="DE42" s="512">
        <f t="shared" si="20"/>
        <v>0</v>
      </c>
      <c r="DF42" s="512">
        <f t="shared" si="20"/>
        <v>0</v>
      </c>
      <c r="DG42" s="512">
        <f t="shared" si="20"/>
        <v>0</v>
      </c>
      <c r="DH42" s="512">
        <f t="shared" si="20"/>
        <v>0</v>
      </c>
      <c r="DI42" s="512">
        <f t="shared" si="20"/>
        <v>0</v>
      </c>
      <c r="DJ42" s="512">
        <f t="shared" si="20"/>
        <v>17</v>
      </c>
      <c r="DK42" s="512">
        <f t="shared" si="20"/>
        <v>0</v>
      </c>
    </row>
    <row r="43" spans="1:115" s="370" customFormat="1" x14ac:dyDescent="0.25">
      <c r="A43" s="445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5"/>
      <c r="AE43" s="445"/>
      <c r="AF43" s="445"/>
      <c r="AG43" s="445"/>
      <c r="AH43" s="445"/>
      <c r="AI43" s="445"/>
      <c r="AJ43" s="445"/>
      <c r="AK43" s="445"/>
      <c r="AL43" s="445"/>
      <c r="AM43" s="445"/>
      <c r="AN43" s="445"/>
      <c r="AO43" s="445"/>
      <c r="AP43" s="445"/>
      <c r="AQ43" s="445"/>
      <c r="AR43" s="445"/>
      <c r="AS43" s="445"/>
      <c r="AT43" s="445"/>
      <c r="AU43" s="445"/>
      <c r="AV43" s="445"/>
      <c r="AW43" s="445"/>
      <c r="AX43" s="445"/>
      <c r="AY43" s="445"/>
      <c r="AZ43" s="445"/>
      <c r="BA43" s="445"/>
      <c r="BB43" s="445"/>
      <c r="BC43" s="445"/>
      <c r="BD43" s="445"/>
      <c r="BE43" s="445"/>
      <c r="BF43" s="445"/>
      <c r="BG43" s="445"/>
      <c r="BH43" s="445"/>
      <c r="BI43" s="445"/>
      <c r="BJ43" s="445"/>
      <c r="BK43" s="445"/>
      <c r="BL43" s="445"/>
      <c r="BM43" s="445"/>
      <c r="BN43" s="445"/>
      <c r="BO43" s="445"/>
      <c r="BP43" s="445"/>
      <c r="BQ43" s="445"/>
      <c r="BR43" s="445"/>
      <c r="BS43" s="445"/>
      <c r="BT43" s="445"/>
      <c r="BU43" s="445"/>
      <c r="BV43" s="445"/>
      <c r="BW43" s="445"/>
      <c r="BX43" s="445"/>
      <c r="BY43" s="445"/>
      <c r="BZ43" s="445"/>
      <c r="CA43" s="445"/>
      <c r="CB43" s="445"/>
      <c r="CC43" s="445"/>
      <c r="CD43" s="445"/>
      <c r="CE43" s="445"/>
      <c r="CF43" s="445"/>
      <c r="CG43" s="445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</row>
    <row r="44" spans="1:115" s="370" customFormat="1" x14ac:dyDescent="0.25">
      <c r="A44" s="445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5"/>
      <c r="AV44" s="445"/>
      <c r="AW44" s="445"/>
      <c r="AX44" s="445"/>
      <c r="AY44" s="445"/>
      <c r="AZ44" s="445"/>
      <c r="BA44" s="445"/>
      <c r="BB44" s="445"/>
      <c r="BC44" s="445"/>
      <c r="BD44" s="445"/>
      <c r="BE44" s="445"/>
      <c r="BF44" s="445"/>
      <c r="BG44" s="445"/>
      <c r="BH44" s="445"/>
      <c r="BI44" s="445"/>
      <c r="BJ44" s="445"/>
      <c r="BK44" s="445"/>
      <c r="BL44" s="445"/>
      <c r="BM44" s="445"/>
      <c r="BN44" s="445"/>
      <c r="BO44" s="445"/>
      <c r="BP44" s="445"/>
      <c r="BQ44" s="445"/>
      <c r="BR44" s="445"/>
      <c r="BS44" s="445"/>
      <c r="BT44" s="445"/>
      <c r="BU44" s="445"/>
      <c r="BV44" s="445"/>
      <c r="BW44" s="445"/>
      <c r="BX44" s="445"/>
      <c r="BY44" s="445"/>
      <c r="BZ44" s="445"/>
      <c r="CA44" s="445"/>
      <c r="CB44" s="445"/>
      <c r="CC44" s="445"/>
      <c r="CD44" s="445"/>
      <c r="CE44" s="445"/>
      <c r="CF44" s="445"/>
      <c r="CG44" s="445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15" s="370" customFormat="1" ht="21" customHeight="1" x14ac:dyDescent="0.25">
      <c r="A45" s="120">
        <v>1</v>
      </c>
      <c r="B45" s="120" t="s">
        <v>174</v>
      </c>
      <c r="C45" s="95"/>
      <c r="D45" s="313"/>
      <c r="E45" s="313"/>
      <c r="F45" s="313"/>
      <c r="G45" s="313"/>
      <c r="H45" s="313"/>
      <c r="I45" s="313"/>
      <c r="J45" s="313"/>
      <c r="K45" s="449">
        <v>2</v>
      </c>
      <c r="L45" s="449">
        <v>2</v>
      </c>
      <c r="M45" s="449">
        <v>2</v>
      </c>
      <c r="N45" s="449">
        <v>1</v>
      </c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13"/>
      <c r="BW45" s="313"/>
      <c r="BX45" s="313"/>
      <c r="BY45" s="446">
        <f t="shared" ref="BY45" si="21">G45+K45+O45+S45+U45+Y45+AC45+AG45+AK45+AO45+BO45+BS45+BW45</f>
        <v>2</v>
      </c>
      <c r="BZ45" s="446">
        <f>H45+L45+P45+T45+V45+Z45+AD45+AH45+AL45+AP45+BP45+BT45+BX45</f>
        <v>2</v>
      </c>
      <c r="CA45" s="447">
        <f t="shared" ref="CA45" si="22">BZ45/BY45</f>
        <v>1</v>
      </c>
      <c r="CB45" s="449">
        <v>2</v>
      </c>
      <c r="CC45" s="449">
        <v>1</v>
      </c>
      <c r="CD45" s="447">
        <f>CC45/CB45</f>
        <v>0.5</v>
      </c>
      <c r="CE45" s="448"/>
      <c r="CF45" s="448"/>
      <c r="CG45" s="447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15" s="370" customFormat="1" ht="15.75" x14ac:dyDescent="0.25">
      <c r="A46" s="120">
        <v>2</v>
      </c>
      <c r="B46" s="120" t="s">
        <v>175</v>
      </c>
      <c r="C46" s="95"/>
      <c r="D46" s="313"/>
      <c r="E46" s="313"/>
      <c r="F46" s="313"/>
      <c r="G46" s="313"/>
      <c r="H46" s="313"/>
      <c r="I46" s="313"/>
      <c r="J46" s="313"/>
      <c r="K46" s="449">
        <v>7</v>
      </c>
      <c r="L46" s="449">
        <v>0</v>
      </c>
      <c r="M46" s="449">
        <v>0</v>
      </c>
      <c r="N46" s="449">
        <v>0</v>
      </c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  <c r="BP46" s="313"/>
      <c r="BQ46" s="313"/>
      <c r="BR46" s="313"/>
      <c r="BS46" s="313"/>
      <c r="BT46" s="313"/>
      <c r="BU46" s="313"/>
      <c r="BV46" s="313"/>
      <c r="BW46" s="313"/>
      <c r="BX46" s="313"/>
      <c r="BY46" s="446">
        <f t="shared" ref="BY46:BY47" si="23">G46+K46+O46+S46+U46+Y46+AC46+AG46+AK46+AO46+BO46+BS46+BW46</f>
        <v>7</v>
      </c>
      <c r="BZ46" s="446">
        <f t="shared" ref="BZ46:BZ47" si="24">H46+L46+P46+T46+V46+Z46+AD46+AH46+AL46+AP46+BP46+BT46+BX46</f>
        <v>0</v>
      </c>
      <c r="CA46" s="447">
        <f t="shared" ref="CA46" si="25">BZ46/BY46</f>
        <v>0</v>
      </c>
      <c r="CB46" s="449">
        <v>0</v>
      </c>
      <c r="CC46" s="449">
        <v>0</v>
      </c>
      <c r="CD46" s="447">
        <v>0</v>
      </c>
      <c r="CE46" s="448"/>
      <c r="CF46" s="448"/>
      <c r="CG46" s="447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</row>
    <row r="47" spans="1:115" s="370" customFormat="1" ht="25.5" x14ac:dyDescent="0.25">
      <c r="A47" s="120">
        <v>3</v>
      </c>
      <c r="B47" s="120" t="s">
        <v>176</v>
      </c>
      <c r="C47" s="95"/>
      <c r="D47" s="320"/>
      <c r="E47" s="320"/>
      <c r="F47" s="320"/>
      <c r="G47" s="320"/>
      <c r="H47" s="320"/>
      <c r="I47" s="320"/>
      <c r="J47" s="320"/>
      <c r="K47" s="453">
        <v>0</v>
      </c>
      <c r="L47" s="453">
        <v>0</v>
      </c>
      <c r="M47" s="453">
        <v>0</v>
      </c>
      <c r="N47" s="453">
        <v>0</v>
      </c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0"/>
      <c r="BT47" s="320"/>
      <c r="BU47" s="320"/>
      <c r="BV47" s="320"/>
      <c r="BW47" s="320"/>
      <c r="BX47" s="320"/>
      <c r="BY47" s="446">
        <f t="shared" si="23"/>
        <v>0</v>
      </c>
      <c r="BZ47" s="446">
        <f t="shared" si="24"/>
        <v>0</v>
      </c>
      <c r="CA47" s="447">
        <v>0</v>
      </c>
      <c r="CB47" s="453">
        <v>0</v>
      </c>
      <c r="CC47" s="453">
        <v>0</v>
      </c>
      <c r="CD47" s="447">
        <v>0</v>
      </c>
      <c r="CE47" s="448"/>
      <c r="CF47" s="448"/>
      <c r="CG47" s="4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</row>
    <row r="48" spans="1:115" s="370" customFormat="1" ht="15" customHeight="1" x14ac:dyDescent="0.25">
      <c r="A48" s="681" t="s">
        <v>118</v>
      </c>
      <c r="B48" s="681"/>
      <c r="C48" s="450"/>
      <c r="D48" s="450"/>
      <c r="E48" s="450"/>
      <c r="F48" s="450"/>
      <c r="G48" s="450"/>
      <c r="H48" s="450"/>
      <c r="I48" s="450"/>
      <c r="J48" s="450"/>
      <c r="K48" s="451">
        <f>SUM(K45:K47)</f>
        <v>9</v>
      </c>
      <c r="L48" s="451">
        <f t="shared" ref="L48:N48" si="26">SUM(L45:L47)</f>
        <v>2</v>
      </c>
      <c r="M48" s="451">
        <f t="shared" si="26"/>
        <v>2</v>
      </c>
      <c r="N48" s="451">
        <f t="shared" si="26"/>
        <v>1</v>
      </c>
      <c r="O48" s="450"/>
      <c r="P48" s="450"/>
      <c r="Q48" s="450"/>
      <c r="R48" s="450"/>
      <c r="S48" s="450"/>
      <c r="T48" s="450"/>
      <c r="U48" s="450"/>
      <c r="V48" s="450"/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0"/>
      <c r="AH48" s="450"/>
      <c r="AI48" s="450"/>
      <c r="AJ48" s="450"/>
      <c r="AK48" s="450"/>
      <c r="AL48" s="450"/>
      <c r="AM48" s="450"/>
      <c r="AN48" s="450"/>
      <c r="AO48" s="450"/>
      <c r="AP48" s="450"/>
      <c r="AQ48" s="450"/>
      <c r="AR48" s="450"/>
      <c r="AS48" s="450"/>
      <c r="AT48" s="450"/>
      <c r="AU48" s="450"/>
      <c r="AV48" s="450"/>
      <c r="AW48" s="450"/>
      <c r="AX48" s="450"/>
      <c r="AY48" s="450"/>
      <c r="AZ48" s="450"/>
      <c r="BA48" s="450"/>
      <c r="BB48" s="450"/>
      <c r="BC48" s="450"/>
      <c r="BD48" s="450"/>
      <c r="BE48" s="450"/>
      <c r="BF48" s="450"/>
      <c r="BG48" s="450"/>
      <c r="BH48" s="450"/>
      <c r="BI48" s="450"/>
      <c r="BJ48" s="450"/>
      <c r="BK48" s="450"/>
      <c r="BL48" s="450"/>
      <c r="BM48" s="450"/>
      <c r="BN48" s="450"/>
      <c r="BO48" s="450"/>
      <c r="BP48" s="450"/>
      <c r="BQ48" s="450"/>
      <c r="BR48" s="450"/>
      <c r="BS48" s="450"/>
      <c r="BT48" s="450"/>
      <c r="BU48" s="450"/>
      <c r="BV48" s="450"/>
      <c r="BW48" s="450"/>
      <c r="BX48" s="450"/>
      <c r="BY48" s="450">
        <f>SUM(BY45:BY47)</f>
        <v>9</v>
      </c>
      <c r="BZ48" s="450">
        <f>SUM(BZ45:BZ47)</f>
        <v>2</v>
      </c>
      <c r="CA48" s="452">
        <f>BZ48/BY48</f>
        <v>0.22222222222222221</v>
      </c>
      <c r="CB48" s="450">
        <f>SUM(CB45:CB47)</f>
        <v>2</v>
      </c>
      <c r="CC48" s="450">
        <f>SUM(CC45:CC47)</f>
        <v>1</v>
      </c>
      <c r="CD48" s="452">
        <f>AVERAGE(CD45:CD47)</f>
        <v>0.16666666666666666</v>
      </c>
      <c r="CE48" s="450"/>
      <c r="CF48" s="450"/>
      <c r="CG48" s="450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</row>
    <row r="49" spans="1:115" s="370" customFormat="1" x14ac:dyDescent="0.25">
      <c r="A49" s="445"/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  <c r="AN49" s="445"/>
      <c r="AO49" s="445"/>
      <c r="AP49" s="445"/>
      <c r="AQ49" s="445"/>
      <c r="AR49" s="445"/>
      <c r="AS49" s="445"/>
      <c r="AT49" s="445"/>
      <c r="AU49" s="445"/>
      <c r="AV49" s="445"/>
      <c r="AW49" s="445"/>
      <c r="AX49" s="445"/>
      <c r="AY49" s="445"/>
      <c r="AZ49" s="445"/>
      <c r="BA49" s="445"/>
      <c r="BB49" s="445"/>
      <c r="BC49" s="445"/>
      <c r="BD49" s="445"/>
      <c r="BE49" s="445"/>
      <c r="BF49" s="445"/>
      <c r="BG49" s="445"/>
      <c r="BH49" s="445"/>
      <c r="BI49" s="445"/>
      <c r="BJ49" s="445"/>
      <c r="BK49" s="445"/>
      <c r="BL49" s="445"/>
      <c r="BM49" s="445"/>
      <c r="BN49" s="445"/>
      <c r="BO49" s="445"/>
      <c r="BP49" s="445"/>
      <c r="BQ49" s="445"/>
      <c r="BR49" s="445"/>
      <c r="BS49" s="445"/>
      <c r="BT49" s="445"/>
      <c r="BU49" s="445"/>
      <c r="BV49" s="445"/>
      <c r="BW49" s="445"/>
      <c r="BX49" s="445"/>
      <c r="BY49" s="445"/>
      <c r="BZ49" s="445"/>
      <c r="CA49" s="445"/>
      <c r="CB49" s="445"/>
      <c r="CC49" s="445"/>
      <c r="CD49" s="445"/>
      <c r="CE49" s="445"/>
      <c r="CF49" s="445"/>
      <c r="CG49" s="445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</row>
  </sheetData>
  <sheetProtection algorithmName="SHA-512" hashValue="NfHhThCLAJZz5nVJQWORa1uoaM4Z5prWTJJwE5i2bVPVpG/JFHEFf7/Hj1F3K/DzdIoPUkMcHIQd6f6NdZg9dw==" saltValue="Fa1kbUp/ugoCrHo7V8aqIQ==" spinCount="100000" sheet="1" objects="1" selectLockedCells="1" selectUnlockedCells="1"/>
  <mergeCells count="87">
    <mergeCell ref="DJ2:DK2"/>
    <mergeCell ref="DB1:DE1"/>
    <mergeCell ref="DF1:DK1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CH1:CK1"/>
    <mergeCell ref="CL1:CO1"/>
    <mergeCell ref="CP1:CS1"/>
    <mergeCell ref="CT1:CW1"/>
    <mergeCell ref="CX1:DA1"/>
    <mergeCell ref="A42:B42"/>
    <mergeCell ref="BM1:BN1"/>
    <mergeCell ref="BO1:BR1"/>
    <mergeCell ref="BS1:BV1"/>
    <mergeCell ref="BW1:BX1"/>
    <mergeCell ref="AU2:AV2"/>
    <mergeCell ref="AW2:AX2"/>
    <mergeCell ref="AW1:AX1"/>
    <mergeCell ref="AY1:AZ1"/>
    <mergeCell ref="BA1:BD1"/>
    <mergeCell ref="BE1:BH1"/>
    <mergeCell ref="BI1:BL1"/>
    <mergeCell ref="AM2:AN2"/>
    <mergeCell ref="AO2:AP2"/>
    <mergeCell ref="AQ2:AR2"/>
    <mergeCell ref="AS2:AT2"/>
    <mergeCell ref="C1:F1"/>
    <mergeCell ref="G1:J1"/>
    <mergeCell ref="K1:N1"/>
    <mergeCell ref="O1:R1"/>
    <mergeCell ref="S1:T1"/>
    <mergeCell ref="U1:X1"/>
    <mergeCell ref="Y1:AB1"/>
    <mergeCell ref="AC1:AF1"/>
    <mergeCell ref="AG1:AJ1"/>
    <mergeCell ref="AK1:AN1"/>
    <mergeCell ref="AO1:AR1"/>
    <mergeCell ref="AS1:AV1"/>
    <mergeCell ref="BY1:CG1"/>
    <mergeCell ref="A2:A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CB2:CD2"/>
    <mergeCell ref="CE2:CG2"/>
    <mergeCell ref="A48:B48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AE2:AF2"/>
    <mergeCell ref="AG2:AH2"/>
    <mergeCell ref="BW2:BX2"/>
    <mergeCell ref="BY2:CA2"/>
    <mergeCell ref="AI2:AJ2"/>
    <mergeCell ref="AK2:AL2"/>
    <mergeCell ref="BQ2:BR2"/>
    <mergeCell ref="BS2:BT2"/>
    <mergeCell ref="BU2:B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ИТОГ </vt:lpstr>
      <vt:lpstr>1.1. 1-4</vt:lpstr>
      <vt:lpstr>1.2.10 Проф</vt:lpstr>
      <vt:lpstr>1.2. 20</vt:lpstr>
      <vt:lpstr>1.3. 20</vt:lpstr>
      <vt:lpstr>2.1.1. УУД "4+5"</vt:lpstr>
      <vt:lpstr>2.1.2. УУД "2" </vt:lpstr>
      <vt:lpstr>2.1.3. ВсОШ</vt:lpstr>
      <vt:lpstr>2.1.4. Конкурсы</vt:lpstr>
      <vt:lpstr>2.1.6. Спорт</vt:lpstr>
      <vt:lpstr>2.1.5. МАН</vt:lpstr>
      <vt:lpstr>2.1. 20</vt:lpstr>
      <vt:lpstr>2.2. 20</vt:lpstr>
      <vt:lpstr>2.3.5.Исп.дисц</vt:lpstr>
      <vt:lpstr>2.3. 20</vt:lpstr>
      <vt:lpstr>2.4. 20</vt:lpstr>
      <vt:lpstr>Справка 20</vt:lpstr>
      <vt:lpstr>'1.1. 1-4'!Область_печати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nezirewa</cp:lastModifiedBy>
  <cp:lastPrinted>2020-08-20T19:23:39Z</cp:lastPrinted>
  <dcterms:created xsi:type="dcterms:W3CDTF">2018-02-04T20:59:32Z</dcterms:created>
  <dcterms:modified xsi:type="dcterms:W3CDTF">2020-09-23T09:11:35Z</dcterms:modified>
</cp:coreProperties>
</file>